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ktdobrasil-my.sharepoint.com/personal/iionescu_dkt_com_br/Documents/Documentos/Outlook Files/"/>
    </mc:Choice>
  </mc:AlternateContent>
  <xr:revisionPtr revIDLastSave="0" documentId="8_{DB0EEC64-CD9F-4EF7-B23B-E086CA5EFC0F}" xr6:coauthVersionLast="47" xr6:coauthVersionMax="47" xr10:uidLastSave="{00000000-0000-0000-0000-000000000000}"/>
  <bookViews>
    <workbookView xWindow="-120" yWindow="-120" windowWidth="29040" windowHeight="15720" activeTab="2" xr2:uid="{5272430D-2A86-4E9F-AFDF-13EEA1C88E92}"/>
  </bookViews>
  <sheets>
    <sheet name="Curva ABC" sheetId="1" r:id="rId1"/>
    <sheet name="Gestao de estoque" sheetId="6" r:id="rId2"/>
    <sheet name="Estoque de seguranca, ROP" sheetId="5" r:id="rId3"/>
  </sheets>
  <externalReferences>
    <externalReference r:id="rId4"/>
    <externalReference r:id="rId5"/>
    <externalReference r:id="rId6"/>
  </externalReferences>
  <definedNames>
    <definedName name="_xlnm._FilterDatabase" localSheetId="0" hidden="1">'Curva ABC'!$A$3:$D$48</definedName>
    <definedName name="_xlnm._FilterDatabase" localSheetId="2" hidden="1">'Estoque de seguranca, ROP'!$A$4:$HS$76</definedName>
    <definedName name="_xlnm._FilterDatabase" localSheetId="1" hidden="1">'Gestao de estoque'!$A$4:$AG$72</definedName>
  </definedNames>
  <calcPr calcId="191029" calcCompleted="0" calcOnSave="0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23" i="5" l="1"/>
  <c r="DI24" i="5"/>
  <c r="DI25" i="5"/>
  <c r="DI26" i="5"/>
  <c r="DI27" i="5"/>
  <c r="DI28" i="5"/>
  <c r="DI29" i="5"/>
  <c r="DI30" i="5"/>
  <c r="DI31" i="5"/>
  <c r="DI32" i="5"/>
  <c r="DI33" i="5"/>
  <c r="DI34" i="5"/>
  <c r="DI35" i="5"/>
  <c r="DI36" i="5"/>
  <c r="DI37" i="5"/>
  <c r="DI38" i="5"/>
  <c r="DI39" i="5"/>
  <c r="DI40" i="5"/>
  <c r="DI41" i="5"/>
  <c r="DI42" i="5"/>
  <c r="DI43" i="5"/>
  <c r="DI44" i="5"/>
  <c r="DI45" i="5"/>
  <c r="DI46" i="5"/>
  <c r="DI47" i="5"/>
  <c r="EO47" i="5" s="1"/>
  <c r="DI48" i="5"/>
  <c r="DI49" i="5"/>
  <c r="DI50" i="5"/>
  <c r="DI51" i="5"/>
  <c r="DI52" i="5"/>
  <c r="DI53" i="5"/>
  <c r="DI54" i="5"/>
  <c r="DI55" i="5"/>
  <c r="DI56" i="5"/>
  <c r="DI57" i="5"/>
  <c r="DI58" i="5"/>
  <c r="DI59" i="5"/>
  <c r="DI60" i="5"/>
  <c r="DI61" i="5"/>
  <c r="DI62" i="5"/>
  <c r="DI63" i="5"/>
  <c r="DI64" i="5"/>
  <c r="DI65" i="5"/>
  <c r="DI66" i="5"/>
  <c r="DI67" i="5"/>
  <c r="DI68" i="5"/>
  <c r="DI69" i="5"/>
  <c r="DI70" i="5"/>
  <c r="DI71" i="5"/>
  <c r="DI72" i="5"/>
  <c r="DI73" i="5"/>
  <c r="DI74" i="5"/>
  <c r="DI6" i="5"/>
  <c r="DI7" i="5"/>
  <c r="DI8" i="5"/>
  <c r="DI9" i="5"/>
  <c r="DI10" i="5"/>
  <c r="DI11" i="5"/>
  <c r="DI12" i="5"/>
  <c r="DI13" i="5"/>
  <c r="DI14" i="5"/>
  <c r="DI15" i="5"/>
  <c r="DI16" i="5"/>
  <c r="DI17" i="5"/>
  <c r="DI18" i="5"/>
  <c r="DI19" i="5"/>
  <c r="DI20" i="5"/>
  <c r="DI21" i="5"/>
  <c r="DI22" i="5"/>
  <c r="DI5" i="5"/>
  <c r="FL47" i="5" l="1"/>
  <c r="FK47" i="5"/>
  <c r="FD47" i="5"/>
  <c r="FC47" i="5"/>
  <c r="EV47" i="5"/>
  <c r="EU47" i="5"/>
  <c r="FJ47" i="5"/>
  <c r="FB47" i="5"/>
  <c r="ET47" i="5"/>
  <c r="FI47" i="5"/>
  <c r="FA47" i="5"/>
  <c r="ES47" i="5"/>
  <c r="FH47" i="5"/>
  <c r="EZ47" i="5"/>
  <c r="ER47" i="5"/>
  <c r="FG47" i="5"/>
  <c r="EY47" i="5"/>
  <c r="EQ47" i="5"/>
  <c r="EN47" i="5"/>
  <c r="FF47" i="5"/>
  <c r="EX47" i="5"/>
  <c r="EP47" i="5"/>
  <c r="FM47" i="5"/>
  <c r="FE47" i="5"/>
  <c r="EW47" i="5"/>
  <c r="B87" i="6" l="1"/>
  <c r="B86" i="6"/>
  <c r="B85" i="6"/>
  <c r="B84" i="6"/>
  <c r="B80" i="6"/>
  <c r="B79" i="6"/>
  <c r="B78" i="6"/>
  <c r="B77" i="6"/>
  <c r="AG68" i="6"/>
  <c r="AF68" i="6"/>
  <c r="AE68" i="6"/>
  <c r="AD68" i="6"/>
  <c r="AC68" i="6"/>
  <c r="AB68" i="6"/>
  <c r="AA68" i="6"/>
  <c r="Z68" i="6"/>
  <c r="Y68" i="6"/>
  <c r="W68" i="6"/>
  <c r="V68" i="6"/>
  <c r="U68" i="6"/>
  <c r="T68" i="6"/>
  <c r="S68" i="6"/>
  <c r="R68" i="6"/>
  <c r="Q68" i="6"/>
  <c r="Q68" i="6" a="1"/>
  <c r="P68" i="6"/>
  <c r="O68" i="6"/>
  <c r="AG67" i="6"/>
  <c r="AF67" i="6"/>
  <c r="AE67" i="6"/>
  <c r="AD67" i="6"/>
  <c r="AC67" i="6"/>
  <c r="AB67" i="6"/>
  <c r="AA67" i="6"/>
  <c r="Z67" i="6"/>
  <c r="Y67" i="6"/>
  <c r="W67" i="6"/>
  <c r="V67" i="6"/>
  <c r="U67" i="6"/>
  <c r="T67" i="6"/>
  <c r="S67" i="6"/>
  <c r="R67" i="6"/>
  <c r="Q67" i="6"/>
  <c r="Q67" i="6" a="1"/>
  <c r="P67" i="6"/>
  <c r="O67" i="6"/>
  <c r="AG66" i="6"/>
  <c r="AF66" i="6"/>
  <c r="AE66" i="6"/>
  <c r="AD66" i="6"/>
  <c r="AC66" i="6"/>
  <c r="AB66" i="6"/>
  <c r="AA66" i="6"/>
  <c r="Z66" i="6"/>
  <c r="Y66" i="6"/>
  <c r="W66" i="6"/>
  <c r="V66" i="6"/>
  <c r="U66" i="6"/>
  <c r="T66" i="6"/>
  <c r="S66" i="6"/>
  <c r="R66" i="6"/>
  <c r="Q66" i="6"/>
  <c r="Q66" i="6" a="1"/>
  <c r="P66" i="6"/>
  <c r="O66" i="6"/>
  <c r="AG65" i="6"/>
  <c r="AF65" i="6"/>
  <c r="AE65" i="6"/>
  <c r="AD65" i="6"/>
  <c r="AC65" i="6"/>
  <c r="AB65" i="6"/>
  <c r="AA65" i="6"/>
  <c r="Z65" i="6"/>
  <c r="Y65" i="6"/>
  <c r="W65" i="6"/>
  <c r="V65" i="6"/>
  <c r="U65" i="6"/>
  <c r="T65" i="6"/>
  <c r="S65" i="6"/>
  <c r="R65" i="6"/>
  <c r="Q65" i="6"/>
  <c r="Q65" i="6" a="1"/>
  <c r="P65" i="6"/>
  <c r="O65" i="6"/>
  <c r="AG64" i="6"/>
  <c r="AF64" i="6"/>
  <c r="AE64" i="6"/>
  <c r="AD64" i="6"/>
  <c r="AC64" i="6"/>
  <c r="AB64" i="6"/>
  <c r="AA64" i="6"/>
  <c r="Z64" i="6"/>
  <c r="Y64" i="6"/>
  <c r="W64" i="6"/>
  <c r="V64" i="6"/>
  <c r="U64" i="6"/>
  <c r="T64" i="6"/>
  <c r="S64" i="6"/>
  <c r="R64" i="6"/>
  <c r="Q64" i="6"/>
  <c r="Q64" i="6" a="1"/>
  <c r="P64" i="6"/>
  <c r="O64" i="6"/>
  <c r="AG63" i="6"/>
  <c r="AF63" i="6"/>
  <c r="AE63" i="6"/>
  <c r="AD63" i="6"/>
  <c r="AC63" i="6"/>
  <c r="AB63" i="6"/>
  <c r="AA63" i="6"/>
  <c r="Z63" i="6"/>
  <c r="Y63" i="6"/>
  <c r="W63" i="6"/>
  <c r="V63" i="6"/>
  <c r="U63" i="6"/>
  <c r="T63" i="6"/>
  <c r="S63" i="6"/>
  <c r="R63" i="6"/>
  <c r="Q63" i="6"/>
  <c r="Q63" i="6" a="1"/>
  <c r="P63" i="6"/>
  <c r="O63" i="6"/>
  <c r="AG62" i="6"/>
  <c r="AF62" i="6"/>
  <c r="AE62" i="6"/>
  <c r="AD62" i="6"/>
  <c r="AC62" i="6"/>
  <c r="AB62" i="6"/>
  <c r="AA62" i="6"/>
  <c r="Z62" i="6"/>
  <c r="Y62" i="6"/>
  <c r="W62" i="6"/>
  <c r="V62" i="6"/>
  <c r="U62" i="6"/>
  <c r="T62" i="6"/>
  <c r="S62" i="6"/>
  <c r="R62" i="6"/>
  <c r="Q62" i="6"/>
  <c r="Q62" i="6" a="1"/>
  <c r="P62" i="6"/>
  <c r="O62" i="6"/>
  <c r="AG61" i="6"/>
  <c r="AF61" i="6"/>
  <c r="AE61" i="6"/>
  <c r="AD61" i="6"/>
  <c r="AC61" i="6"/>
  <c r="AB61" i="6"/>
  <c r="AA61" i="6"/>
  <c r="Z61" i="6"/>
  <c r="Y61" i="6"/>
  <c r="W61" i="6"/>
  <c r="V61" i="6"/>
  <c r="U61" i="6"/>
  <c r="T61" i="6"/>
  <c r="S61" i="6"/>
  <c r="R61" i="6"/>
  <c r="Q61" i="6"/>
  <c r="Q61" i="6" a="1"/>
  <c r="P61" i="6"/>
  <c r="O61" i="6"/>
  <c r="AG60" i="6"/>
  <c r="AF60" i="6"/>
  <c r="AE60" i="6"/>
  <c r="AD60" i="6"/>
  <c r="AC60" i="6"/>
  <c r="AB60" i="6"/>
  <c r="AA60" i="6"/>
  <c r="Z60" i="6"/>
  <c r="Y60" i="6"/>
  <c r="W60" i="6"/>
  <c r="V60" i="6"/>
  <c r="U60" i="6"/>
  <c r="T60" i="6"/>
  <c r="S60" i="6"/>
  <c r="R60" i="6"/>
  <c r="Q60" i="6"/>
  <c r="Q60" i="6" a="1"/>
  <c r="P60" i="6"/>
  <c r="O60" i="6"/>
  <c r="AG59" i="6"/>
  <c r="AF59" i="6"/>
  <c r="AE59" i="6"/>
  <c r="AD59" i="6"/>
  <c r="AC59" i="6"/>
  <c r="AB59" i="6"/>
  <c r="AA59" i="6"/>
  <c r="Z59" i="6"/>
  <c r="Y59" i="6"/>
  <c r="W59" i="6"/>
  <c r="V59" i="6"/>
  <c r="U59" i="6"/>
  <c r="T59" i="6"/>
  <c r="S59" i="6"/>
  <c r="R59" i="6"/>
  <c r="Q59" i="6"/>
  <c r="Q59" i="6" a="1"/>
  <c r="P59" i="6"/>
  <c r="O59" i="6"/>
  <c r="AG58" i="6"/>
  <c r="AF58" i="6"/>
  <c r="AE58" i="6"/>
  <c r="AD58" i="6"/>
  <c r="AC58" i="6"/>
  <c r="AB58" i="6"/>
  <c r="AA58" i="6"/>
  <c r="Z58" i="6"/>
  <c r="Y58" i="6"/>
  <c r="W58" i="6"/>
  <c r="V58" i="6"/>
  <c r="U58" i="6"/>
  <c r="T58" i="6"/>
  <c r="S58" i="6"/>
  <c r="R58" i="6"/>
  <c r="Q58" i="6"/>
  <c r="Q58" i="6" a="1"/>
  <c r="P58" i="6"/>
  <c r="O58" i="6"/>
  <c r="AG57" i="6"/>
  <c r="AF57" i="6"/>
  <c r="AE57" i="6"/>
  <c r="AD57" i="6"/>
  <c r="AC57" i="6"/>
  <c r="AB57" i="6"/>
  <c r="AA57" i="6"/>
  <c r="Z57" i="6"/>
  <c r="Y57" i="6"/>
  <c r="W57" i="6"/>
  <c r="V57" i="6"/>
  <c r="U57" i="6"/>
  <c r="T57" i="6"/>
  <c r="S57" i="6"/>
  <c r="R57" i="6"/>
  <c r="Q57" i="6"/>
  <c r="Q57" i="6" a="1"/>
  <c r="P57" i="6"/>
  <c r="O57" i="6"/>
  <c r="AG56" i="6"/>
  <c r="AF56" i="6"/>
  <c r="AE56" i="6"/>
  <c r="AD56" i="6"/>
  <c r="AC56" i="6"/>
  <c r="AB56" i="6"/>
  <c r="AA56" i="6"/>
  <c r="Z56" i="6"/>
  <c r="Y56" i="6"/>
  <c r="W56" i="6"/>
  <c r="V56" i="6"/>
  <c r="U56" i="6"/>
  <c r="T56" i="6"/>
  <c r="S56" i="6"/>
  <c r="R56" i="6"/>
  <c r="Q56" i="6"/>
  <c r="Q56" i="6" a="1"/>
  <c r="P56" i="6"/>
  <c r="O56" i="6"/>
  <c r="AG55" i="6"/>
  <c r="AF55" i="6"/>
  <c r="AE55" i="6"/>
  <c r="AD55" i="6"/>
  <c r="AC55" i="6"/>
  <c r="AB55" i="6"/>
  <c r="AA55" i="6"/>
  <c r="Z55" i="6"/>
  <c r="Y55" i="6"/>
  <c r="W55" i="6"/>
  <c r="V55" i="6"/>
  <c r="U55" i="6"/>
  <c r="T55" i="6"/>
  <c r="S55" i="6"/>
  <c r="R55" i="6"/>
  <c r="Q55" i="6"/>
  <c r="Q55" i="6" a="1"/>
  <c r="P55" i="6"/>
  <c r="O55" i="6"/>
  <c r="AG54" i="6"/>
  <c r="AF54" i="6"/>
  <c r="AE54" i="6"/>
  <c r="AD54" i="6"/>
  <c r="AC54" i="6"/>
  <c r="AB54" i="6"/>
  <c r="AA54" i="6"/>
  <c r="Z54" i="6"/>
  <c r="Y54" i="6"/>
  <c r="W54" i="6"/>
  <c r="V54" i="6"/>
  <c r="U54" i="6"/>
  <c r="T54" i="6"/>
  <c r="S54" i="6"/>
  <c r="R54" i="6"/>
  <c r="Q54" i="6"/>
  <c r="Q54" i="6" a="1"/>
  <c r="P54" i="6"/>
  <c r="O54" i="6"/>
  <c r="AG53" i="6"/>
  <c r="AF53" i="6"/>
  <c r="AE53" i="6"/>
  <c r="AD53" i="6"/>
  <c r="AC53" i="6"/>
  <c r="AB53" i="6"/>
  <c r="AA53" i="6"/>
  <c r="Z53" i="6"/>
  <c r="Y53" i="6"/>
  <c r="W53" i="6"/>
  <c r="V53" i="6"/>
  <c r="U53" i="6"/>
  <c r="T53" i="6"/>
  <c r="S53" i="6"/>
  <c r="R53" i="6"/>
  <c r="Q53" i="6"/>
  <c r="Q53" i="6" a="1"/>
  <c r="P53" i="6"/>
  <c r="O53" i="6"/>
  <c r="AG52" i="6"/>
  <c r="AF52" i="6"/>
  <c r="AE52" i="6"/>
  <c r="AD52" i="6"/>
  <c r="AC52" i="6"/>
  <c r="AB52" i="6"/>
  <c r="AA52" i="6"/>
  <c r="Z52" i="6"/>
  <c r="Y52" i="6"/>
  <c r="W52" i="6"/>
  <c r="V52" i="6"/>
  <c r="U52" i="6"/>
  <c r="T52" i="6"/>
  <c r="S52" i="6"/>
  <c r="R52" i="6"/>
  <c r="Q52" i="6"/>
  <c r="Q52" i="6" a="1"/>
  <c r="P52" i="6"/>
  <c r="O52" i="6"/>
  <c r="AG51" i="6"/>
  <c r="AF51" i="6"/>
  <c r="AE51" i="6"/>
  <c r="AD51" i="6"/>
  <c r="AC51" i="6"/>
  <c r="AB51" i="6"/>
  <c r="AA51" i="6"/>
  <c r="Z51" i="6"/>
  <c r="Y51" i="6"/>
  <c r="W51" i="6"/>
  <c r="V51" i="6"/>
  <c r="U51" i="6"/>
  <c r="T51" i="6"/>
  <c r="S51" i="6"/>
  <c r="R51" i="6"/>
  <c r="Q51" i="6"/>
  <c r="Q51" i="6" a="1"/>
  <c r="P51" i="6"/>
  <c r="O51" i="6"/>
  <c r="AG50" i="6"/>
  <c r="AF50" i="6"/>
  <c r="AE50" i="6"/>
  <c r="AD50" i="6"/>
  <c r="AC50" i="6"/>
  <c r="AB50" i="6"/>
  <c r="AA50" i="6"/>
  <c r="Z50" i="6"/>
  <c r="Y50" i="6"/>
  <c r="W50" i="6"/>
  <c r="V50" i="6"/>
  <c r="U50" i="6"/>
  <c r="T50" i="6"/>
  <c r="S50" i="6"/>
  <c r="R50" i="6"/>
  <c r="Q50" i="6"/>
  <c r="Q50" i="6" a="1"/>
  <c r="P50" i="6"/>
  <c r="O50" i="6"/>
  <c r="AG49" i="6"/>
  <c r="AF49" i="6"/>
  <c r="AE49" i="6"/>
  <c r="AD49" i="6"/>
  <c r="AC49" i="6"/>
  <c r="AB49" i="6"/>
  <c r="AA49" i="6"/>
  <c r="Z49" i="6"/>
  <c r="Y49" i="6"/>
  <c r="W49" i="6"/>
  <c r="V49" i="6"/>
  <c r="U49" i="6"/>
  <c r="T49" i="6"/>
  <c r="S49" i="6"/>
  <c r="R49" i="6"/>
  <c r="Q49" i="6"/>
  <c r="Q49" i="6" a="1"/>
  <c r="P49" i="6"/>
  <c r="O49" i="6"/>
  <c r="AG48" i="6"/>
  <c r="AF48" i="6"/>
  <c r="AE48" i="6"/>
  <c r="AD48" i="6"/>
  <c r="AC48" i="6"/>
  <c r="AB48" i="6"/>
  <c r="AA48" i="6"/>
  <c r="Z48" i="6"/>
  <c r="Y48" i="6"/>
  <c r="W48" i="6"/>
  <c r="V48" i="6"/>
  <c r="U48" i="6"/>
  <c r="T48" i="6"/>
  <c r="S48" i="6"/>
  <c r="R48" i="6"/>
  <c r="Q48" i="6"/>
  <c r="Q48" i="6" a="1"/>
  <c r="P48" i="6"/>
  <c r="O48" i="6"/>
  <c r="AG47" i="6"/>
  <c r="AF47" i="6"/>
  <c r="AE47" i="6"/>
  <c r="AD47" i="6"/>
  <c r="AC47" i="6"/>
  <c r="AA47" i="6"/>
  <c r="Z47" i="6"/>
  <c r="Y47" i="6"/>
  <c r="W47" i="6"/>
  <c r="V47" i="6"/>
  <c r="U47" i="6"/>
  <c r="T47" i="6"/>
  <c r="S47" i="6"/>
  <c r="R47" i="6"/>
  <c r="Q47" i="6"/>
  <c r="Q47" i="6" a="1"/>
  <c r="P47" i="6"/>
  <c r="O47" i="6"/>
  <c r="AG46" i="6"/>
  <c r="AF46" i="6"/>
  <c r="AE46" i="6"/>
  <c r="AD46" i="6"/>
  <c r="AC46" i="6"/>
  <c r="AA46" i="6"/>
  <c r="Z46" i="6"/>
  <c r="Y46" i="6"/>
  <c r="W46" i="6"/>
  <c r="V46" i="6"/>
  <c r="U46" i="6"/>
  <c r="T46" i="6"/>
  <c r="S46" i="6"/>
  <c r="R46" i="6"/>
  <c r="Q46" i="6"/>
  <c r="Q46" i="6" a="1"/>
  <c r="P46" i="6"/>
  <c r="O46" i="6"/>
  <c r="AG45" i="6"/>
  <c r="AF45" i="6"/>
  <c r="AE45" i="6"/>
  <c r="AD45" i="6"/>
  <c r="AC45" i="6"/>
  <c r="AA45" i="6"/>
  <c r="Z45" i="6"/>
  <c r="Y45" i="6"/>
  <c r="W45" i="6"/>
  <c r="V45" i="6"/>
  <c r="U45" i="6"/>
  <c r="T45" i="6"/>
  <c r="S45" i="6"/>
  <c r="R45" i="6"/>
  <c r="Q45" i="6"/>
  <c r="Q45" i="6" a="1"/>
  <c r="P45" i="6"/>
  <c r="O45" i="6"/>
  <c r="AG44" i="6"/>
  <c r="AF44" i="6"/>
  <c r="AE44" i="6"/>
  <c r="AD44" i="6"/>
  <c r="AC44" i="6"/>
  <c r="AB44" i="6"/>
  <c r="AA44" i="6"/>
  <c r="Z44" i="6"/>
  <c r="Y44" i="6"/>
  <c r="W44" i="6"/>
  <c r="V44" i="6"/>
  <c r="U44" i="6"/>
  <c r="T44" i="6"/>
  <c r="S44" i="6"/>
  <c r="R44" i="6"/>
  <c r="Q44" i="6"/>
  <c r="Q44" i="6" a="1"/>
  <c r="P44" i="6"/>
  <c r="O44" i="6"/>
  <c r="AG43" i="6"/>
  <c r="AF43" i="6"/>
  <c r="AE43" i="6"/>
  <c r="AD43" i="6"/>
  <c r="AC43" i="6"/>
  <c r="AB43" i="6"/>
  <c r="AA43" i="6"/>
  <c r="Z43" i="6"/>
  <c r="Y43" i="6"/>
  <c r="W43" i="6"/>
  <c r="V43" i="6"/>
  <c r="U43" i="6"/>
  <c r="T43" i="6"/>
  <c r="S43" i="6"/>
  <c r="R43" i="6"/>
  <c r="Q43" i="6"/>
  <c r="Q43" i="6" a="1"/>
  <c r="P43" i="6"/>
  <c r="O43" i="6"/>
  <c r="AG42" i="6"/>
  <c r="AF42" i="6"/>
  <c r="AE42" i="6"/>
  <c r="AD42" i="6"/>
  <c r="AC42" i="6"/>
  <c r="AB42" i="6"/>
  <c r="AA42" i="6"/>
  <c r="Z42" i="6"/>
  <c r="Y42" i="6"/>
  <c r="W42" i="6"/>
  <c r="V42" i="6"/>
  <c r="U42" i="6"/>
  <c r="T42" i="6"/>
  <c r="S42" i="6"/>
  <c r="R42" i="6"/>
  <c r="Q42" i="6"/>
  <c r="Q42" i="6" a="1"/>
  <c r="P42" i="6"/>
  <c r="O42" i="6"/>
  <c r="AG41" i="6"/>
  <c r="AF41" i="6"/>
  <c r="AE41" i="6"/>
  <c r="AD41" i="6"/>
  <c r="AC41" i="6"/>
  <c r="AB41" i="6"/>
  <c r="AA41" i="6"/>
  <c r="Z41" i="6"/>
  <c r="Y41" i="6"/>
  <c r="W41" i="6"/>
  <c r="V41" i="6"/>
  <c r="U41" i="6"/>
  <c r="T41" i="6"/>
  <c r="S41" i="6"/>
  <c r="R41" i="6"/>
  <c r="Q41" i="6"/>
  <c r="Q41" i="6" a="1"/>
  <c r="P41" i="6"/>
  <c r="O41" i="6"/>
  <c r="AG40" i="6"/>
  <c r="AF40" i="6"/>
  <c r="AE40" i="6"/>
  <c r="AD40" i="6"/>
  <c r="AC40" i="6"/>
  <c r="AB40" i="6"/>
  <c r="AA40" i="6"/>
  <c r="Z40" i="6"/>
  <c r="Y40" i="6"/>
  <c r="W40" i="6"/>
  <c r="V40" i="6"/>
  <c r="U40" i="6"/>
  <c r="T40" i="6"/>
  <c r="S40" i="6"/>
  <c r="R40" i="6"/>
  <c r="Q40" i="6"/>
  <c r="Q40" i="6" a="1"/>
  <c r="P40" i="6"/>
  <c r="O40" i="6"/>
  <c r="AG39" i="6"/>
  <c r="AF39" i="6"/>
  <c r="AE39" i="6"/>
  <c r="AD39" i="6"/>
  <c r="AC39" i="6"/>
  <c r="AB39" i="6"/>
  <c r="AA39" i="6"/>
  <c r="Z39" i="6"/>
  <c r="Y39" i="6"/>
  <c r="W39" i="6"/>
  <c r="V39" i="6"/>
  <c r="U39" i="6"/>
  <c r="T39" i="6"/>
  <c r="S39" i="6"/>
  <c r="R39" i="6"/>
  <c r="Q39" i="6"/>
  <c r="Q39" i="6" a="1"/>
  <c r="P39" i="6"/>
  <c r="O39" i="6"/>
  <c r="AG38" i="6"/>
  <c r="AF38" i="6"/>
  <c r="AE38" i="6"/>
  <c r="AD38" i="6"/>
  <c r="AC38" i="6"/>
  <c r="AB38" i="6"/>
  <c r="AA38" i="6"/>
  <c r="Z38" i="6"/>
  <c r="Y38" i="6"/>
  <c r="W38" i="6"/>
  <c r="V38" i="6"/>
  <c r="U38" i="6"/>
  <c r="T38" i="6"/>
  <c r="S38" i="6"/>
  <c r="R38" i="6"/>
  <c r="Q38" i="6"/>
  <c r="Q38" i="6" a="1"/>
  <c r="P38" i="6"/>
  <c r="O38" i="6"/>
  <c r="AG37" i="6"/>
  <c r="AF37" i="6"/>
  <c r="AE37" i="6"/>
  <c r="AD37" i="6"/>
  <c r="AC37" i="6"/>
  <c r="AB37" i="6"/>
  <c r="AA37" i="6"/>
  <c r="Z37" i="6"/>
  <c r="Y37" i="6"/>
  <c r="W37" i="6"/>
  <c r="V37" i="6"/>
  <c r="U37" i="6"/>
  <c r="T37" i="6"/>
  <c r="S37" i="6"/>
  <c r="R37" i="6"/>
  <c r="Q37" i="6"/>
  <c r="Q37" i="6" a="1"/>
  <c r="P37" i="6"/>
  <c r="O37" i="6"/>
  <c r="AG36" i="6"/>
  <c r="AF36" i="6"/>
  <c r="AE36" i="6"/>
  <c r="AD36" i="6"/>
  <c r="AC36" i="6"/>
  <c r="AB36" i="6"/>
  <c r="AA36" i="6"/>
  <c r="Z36" i="6"/>
  <c r="Y36" i="6"/>
  <c r="W36" i="6"/>
  <c r="V36" i="6"/>
  <c r="U36" i="6"/>
  <c r="T36" i="6"/>
  <c r="S36" i="6"/>
  <c r="R36" i="6"/>
  <c r="Q36" i="6"/>
  <c r="Q36" i="6" a="1"/>
  <c r="P36" i="6"/>
  <c r="O36" i="6"/>
  <c r="AG35" i="6"/>
  <c r="AF35" i="6"/>
  <c r="AE35" i="6"/>
  <c r="AD35" i="6"/>
  <c r="AC35" i="6"/>
  <c r="AB35" i="6"/>
  <c r="AA35" i="6"/>
  <c r="Z35" i="6"/>
  <c r="Y35" i="6"/>
  <c r="W35" i="6"/>
  <c r="V35" i="6"/>
  <c r="U35" i="6"/>
  <c r="T35" i="6"/>
  <c r="S35" i="6"/>
  <c r="R35" i="6"/>
  <c r="Q35" i="6"/>
  <c r="Q35" i="6" a="1"/>
  <c r="P35" i="6"/>
  <c r="O35" i="6"/>
  <c r="AG34" i="6"/>
  <c r="AF34" i="6"/>
  <c r="AE34" i="6"/>
  <c r="AD34" i="6"/>
  <c r="AC34" i="6"/>
  <c r="AB34" i="6"/>
  <c r="AA34" i="6"/>
  <c r="Z34" i="6"/>
  <c r="Y34" i="6"/>
  <c r="W34" i="6"/>
  <c r="V34" i="6"/>
  <c r="U34" i="6"/>
  <c r="T34" i="6"/>
  <c r="S34" i="6"/>
  <c r="R34" i="6"/>
  <c r="Q34" i="6"/>
  <c r="Q34" i="6" a="1"/>
  <c r="P34" i="6"/>
  <c r="O34" i="6"/>
  <c r="AG33" i="6"/>
  <c r="AF33" i="6"/>
  <c r="AE33" i="6"/>
  <c r="AD33" i="6"/>
  <c r="AC33" i="6"/>
  <c r="AB33" i="6"/>
  <c r="AA33" i="6"/>
  <c r="Z33" i="6"/>
  <c r="Y33" i="6"/>
  <c r="W33" i="6"/>
  <c r="V33" i="6"/>
  <c r="U33" i="6"/>
  <c r="T33" i="6"/>
  <c r="S33" i="6"/>
  <c r="R33" i="6"/>
  <c r="Q33" i="6"/>
  <c r="Q33" i="6" a="1"/>
  <c r="P33" i="6"/>
  <c r="O33" i="6"/>
  <c r="AG32" i="6"/>
  <c r="AF32" i="6"/>
  <c r="AE32" i="6"/>
  <c r="AD32" i="6"/>
  <c r="AC32" i="6"/>
  <c r="AB32" i="6"/>
  <c r="AA32" i="6"/>
  <c r="Z32" i="6"/>
  <c r="Y32" i="6"/>
  <c r="W32" i="6"/>
  <c r="V32" i="6"/>
  <c r="U32" i="6"/>
  <c r="T32" i="6"/>
  <c r="S32" i="6"/>
  <c r="R32" i="6"/>
  <c r="Q32" i="6"/>
  <c r="Q32" i="6" a="1"/>
  <c r="P32" i="6"/>
  <c r="O32" i="6"/>
  <c r="AG31" i="6"/>
  <c r="AF31" i="6"/>
  <c r="AE31" i="6"/>
  <c r="AD31" i="6"/>
  <c r="AC31" i="6"/>
  <c r="AB31" i="6"/>
  <c r="AA31" i="6"/>
  <c r="Z31" i="6"/>
  <c r="Y31" i="6"/>
  <c r="W31" i="6"/>
  <c r="V31" i="6"/>
  <c r="U31" i="6"/>
  <c r="T31" i="6"/>
  <c r="S31" i="6"/>
  <c r="R31" i="6"/>
  <c r="Q31" i="6"/>
  <c r="Q31" i="6" a="1"/>
  <c r="P31" i="6"/>
  <c r="O31" i="6"/>
  <c r="AG30" i="6"/>
  <c r="AF30" i="6"/>
  <c r="AE30" i="6"/>
  <c r="AD30" i="6"/>
  <c r="AC30" i="6"/>
  <c r="AB30" i="6"/>
  <c r="AA30" i="6"/>
  <c r="Z30" i="6"/>
  <c r="Y30" i="6"/>
  <c r="W30" i="6"/>
  <c r="V30" i="6"/>
  <c r="U30" i="6"/>
  <c r="T30" i="6"/>
  <c r="S30" i="6"/>
  <c r="R30" i="6"/>
  <c r="Q30" i="6"/>
  <c r="Q30" i="6" a="1"/>
  <c r="P30" i="6"/>
  <c r="O30" i="6"/>
  <c r="AG29" i="6"/>
  <c r="AF29" i="6"/>
  <c r="AE29" i="6"/>
  <c r="AD29" i="6"/>
  <c r="AC29" i="6"/>
  <c r="AB29" i="6"/>
  <c r="AA29" i="6"/>
  <c r="Z29" i="6"/>
  <c r="Y29" i="6"/>
  <c r="W29" i="6"/>
  <c r="V29" i="6"/>
  <c r="U29" i="6"/>
  <c r="T29" i="6"/>
  <c r="S29" i="6"/>
  <c r="R29" i="6"/>
  <c r="Q29" i="6"/>
  <c r="Q29" i="6" a="1"/>
  <c r="P29" i="6"/>
  <c r="O29" i="6"/>
  <c r="AG28" i="6"/>
  <c r="AF28" i="6"/>
  <c r="AE28" i="6"/>
  <c r="AD28" i="6"/>
  <c r="AC28" i="6"/>
  <c r="AB28" i="6"/>
  <c r="AA28" i="6"/>
  <c r="Z28" i="6"/>
  <c r="Y28" i="6"/>
  <c r="W28" i="6"/>
  <c r="V28" i="6"/>
  <c r="U28" i="6"/>
  <c r="T28" i="6"/>
  <c r="S28" i="6"/>
  <c r="R28" i="6"/>
  <c r="Q28" i="6"/>
  <c r="Q28" i="6" a="1"/>
  <c r="P28" i="6"/>
  <c r="O28" i="6"/>
  <c r="AG27" i="6"/>
  <c r="AF27" i="6"/>
  <c r="AE27" i="6"/>
  <c r="AD27" i="6"/>
  <c r="AC27" i="6"/>
  <c r="AB27" i="6"/>
  <c r="AA27" i="6"/>
  <c r="Z27" i="6"/>
  <c r="Y27" i="6"/>
  <c r="W27" i="6"/>
  <c r="V27" i="6"/>
  <c r="U27" i="6"/>
  <c r="T27" i="6"/>
  <c r="S27" i="6"/>
  <c r="R27" i="6"/>
  <c r="Q27" i="6"/>
  <c r="Q27" i="6" a="1"/>
  <c r="P27" i="6"/>
  <c r="O27" i="6"/>
  <c r="AG26" i="6"/>
  <c r="AF26" i="6"/>
  <c r="AE26" i="6"/>
  <c r="AD26" i="6"/>
  <c r="AC26" i="6"/>
  <c r="AB26" i="6"/>
  <c r="AA26" i="6"/>
  <c r="Z26" i="6"/>
  <c r="Y26" i="6"/>
  <c r="W26" i="6"/>
  <c r="V26" i="6"/>
  <c r="U26" i="6"/>
  <c r="T26" i="6"/>
  <c r="S26" i="6"/>
  <c r="R26" i="6"/>
  <c r="Q26" i="6"/>
  <c r="Q26" i="6" a="1"/>
  <c r="P26" i="6"/>
  <c r="O26" i="6"/>
  <c r="AG25" i="6"/>
  <c r="AF25" i="6"/>
  <c r="AE25" i="6"/>
  <c r="AD25" i="6"/>
  <c r="AC25" i="6"/>
  <c r="AB25" i="6"/>
  <c r="AA25" i="6"/>
  <c r="Z25" i="6"/>
  <c r="Y25" i="6"/>
  <c r="W25" i="6"/>
  <c r="V25" i="6"/>
  <c r="U25" i="6"/>
  <c r="T25" i="6"/>
  <c r="S25" i="6"/>
  <c r="R25" i="6"/>
  <c r="Q25" i="6"/>
  <c r="Q25" i="6" a="1"/>
  <c r="P25" i="6"/>
  <c r="O25" i="6"/>
  <c r="AG24" i="6"/>
  <c r="AF24" i="6"/>
  <c r="AE24" i="6"/>
  <c r="AD24" i="6"/>
  <c r="AC24" i="6"/>
  <c r="AB24" i="6"/>
  <c r="AA24" i="6"/>
  <c r="Z24" i="6"/>
  <c r="Y24" i="6"/>
  <c r="W24" i="6"/>
  <c r="V24" i="6"/>
  <c r="U24" i="6"/>
  <c r="T24" i="6"/>
  <c r="S24" i="6"/>
  <c r="R24" i="6"/>
  <c r="Q24" i="6"/>
  <c r="Q24" i="6" a="1"/>
  <c r="P24" i="6"/>
  <c r="O24" i="6"/>
  <c r="AG23" i="6"/>
  <c r="AF23" i="6"/>
  <c r="AE23" i="6"/>
  <c r="AD23" i="6"/>
  <c r="AC23" i="6"/>
  <c r="AB23" i="6"/>
  <c r="AA23" i="6"/>
  <c r="Z23" i="6"/>
  <c r="Y23" i="6"/>
  <c r="W23" i="6"/>
  <c r="V23" i="6"/>
  <c r="U23" i="6"/>
  <c r="T23" i="6"/>
  <c r="S23" i="6"/>
  <c r="R23" i="6"/>
  <c r="Q23" i="6"/>
  <c r="Q23" i="6" a="1"/>
  <c r="P23" i="6"/>
  <c r="O23" i="6"/>
  <c r="AG22" i="6"/>
  <c r="AF22" i="6"/>
  <c r="AE22" i="6"/>
  <c r="AD22" i="6"/>
  <c r="AC22" i="6"/>
  <c r="AB22" i="6"/>
  <c r="AA22" i="6"/>
  <c r="Z22" i="6"/>
  <c r="Y22" i="6"/>
  <c r="W22" i="6"/>
  <c r="V22" i="6"/>
  <c r="U22" i="6"/>
  <c r="T22" i="6"/>
  <c r="S22" i="6"/>
  <c r="R22" i="6"/>
  <c r="Q22" i="6"/>
  <c r="Q22" i="6" a="1"/>
  <c r="P22" i="6"/>
  <c r="O22" i="6"/>
  <c r="AG21" i="6"/>
  <c r="AF21" i="6"/>
  <c r="AE21" i="6"/>
  <c r="AD21" i="6"/>
  <c r="AC21" i="6"/>
  <c r="AB21" i="6"/>
  <c r="AA21" i="6"/>
  <c r="Z21" i="6"/>
  <c r="Y21" i="6"/>
  <c r="W21" i="6"/>
  <c r="V21" i="6"/>
  <c r="U21" i="6"/>
  <c r="T21" i="6"/>
  <c r="S21" i="6"/>
  <c r="R21" i="6"/>
  <c r="Q21" i="6"/>
  <c r="Q21" i="6" a="1"/>
  <c r="P21" i="6"/>
  <c r="O21" i="6"/>
  <c r="AG20" i="6"/>
  <c r="AF20" i="6"/>
  <c r="AE20" i="6"/>
  <c r="AD20" i="6"/>
  <c r="AC20" i="6"/>
  <c r="AB20" i="6"/>
  <c r="AA20" i="6"/>
  <c r="Z20" i="6"/>
  <c r="Y20" i="6"/>
  <c r="W20" i="6"/>
  <c r="V20" i="6"/>
  <c r="U20" i="6"/>
  <c r="T20" i="6"/>
  <c r="S20" i="6"/>
  <c r="R20" i="6"/>
  <c r="Q20" i="6"/>
  <c r="Q20" i="6" a="1"/>
  <c r="P20" i="6"/>
  <c r="O20" i="6"/>
  <c r="AG19" i="6"/>
  <c r="AF19" i="6"/>
  <c r="AE19" i="6"/>
  <c r="AD19" i="6"/>
  <c r="AC19" i="6"/>
  <c r="AB19" i="6"/>
  <c r="AA19" i="6"/>
  <c r="Z19" i="6"/>
  <c r="Y19" i="6"/>
  <c r="W19" i="6"/>
  <c r="V19" i="6"/>
  <c r="U19" i="6"/>
  <c r="T19" i="6"/>
  <c r="S19" i="6"/>
  <c r="R19" i="6"/>
  <c r="Q19" i="6"/>
  <c r="Q19" i="6" a="1"/>
  <c r="P19" i="6"/>
  <c r="O19" i="6"/>
  <c r="AG18" i="6"/>
  <c r="AF18" i="6"/>
  <c r="AE18" i="6"/>
  <c r="AD18" i="6"/>
  <c r="AC18" i="6"/>
  <c r="AB18" i="6"/>
  <c r="AA18" i="6"/>
  <c r="Z18" i="6"/>
  <c r="Y18" i="6"/>
  <c r="W18" i="6"/>
  <c r="V18" i="6"/>
  <c r="U18" i="6"/>
  <c r="T18" i="6"/>
  <c r="S18" i="6"/>
  <c r="R18" i="6"/>
  <c r="Q18" i="6"/>
  <c r="Q18" i="6" a="1"/>
  <c r="P18" i="6"/>
  <c r="O18" i="6"/>
  <c r="AG17" i="6"/>
  <c r="AF17" i="6"/>
  <c r="AE17" i="6"/>
  <c r="AD17" i="6"/>
  <c r="AC17" i="6"/>
  <c r="AB17" i="6"/>
  <c r="AA17" i="6"/>
  <c r="Z17" i="6"/>
  <c r="Y17" i="6"/>
  <c r="W17" i="6"/>
  <c r="V17" i="6"/>
  <c r="U17" i="6"/>
  <c r="T17" i="6"/>
  <c r="S17" i="6"/>
  <c r="R17" i="6"/>
  <c r="Q17" i="6"/>
  <c r="Q17" i="6" a="1"/>
  <c r="P17" i="6"/>
  <c r="O17" i="6"/>
  <c r="AG16" i="6"/>
  <c r="AF16" i="6"/>
  <c r="AE16" i="6"/>
  <c r="AD16" i="6"/>
  <c r="AC16" i="6"/>
  <c r="AB16" i="6"/>
  <c r="AA16" i="6"/>
  <c r="Z16" i="6"/>
  <c r="Y16" i="6"/>
  <c r="W16" i="6"/>
  <c r="V16" i="6"/>
  <c r="U16" i="6"/>
  <c r="T16" i="6"/>
  <c r="S16" i="6"/>
  <c r="R16" i="6"/>
  <c r="Q16" i="6"/>
  <c r="Q16" i="6" a="1"/>
  <c r="P16" i="6"/>
  <c r="O16" i="6"/>
  <c r="AG15" i="6"/>
  <c r="AF15" i="6"/>
  <c r="AE15" i="6"/>
  <c r="AD15" i="6"/>
  <c r="AC15" i="6"/>
  <c r="AB15" i="6"/>
  <c r="AA15" i="6"/>
  <c r="Z15" i="6"/>
  <c r="Y15" i="6"/>
  <c r="W15" i="6"/>
  <c r="V15" i="6"/>
  <c r="U15" i="6"/>
  <c r="T15" i="6"/>
  <c r="S15" i="6"/>
  <c r="R15" i="6"/>
  <c r="Q15" i="6"/>
  <c r="Q15" i="6" a="1"/>
  <c r="P15" i="6"/>
  <c r="O15" i="6"/>
  <c r="AG14" i="6"/>
  <c r="AF14" i="6"/>
  <c r="AE14" i="6"/>
  <c r="AD14" i="6"/>
  <c r="AC14" i="6"/>
  <c r="AB14" i="6"/>
  <c r="AA14" i="6"/>
  <c r="Z14" i="6"/>
  <c r="Y14" i="6"/>
  <c r="W14" i="6"/>
  <c r="V14" i="6"/>
  <c r="U14" i="6"/>
  <c r="T14" i="6"/>
  <c r="S14" i="6"/>
  <c r="R14" i="6"/>
  <c r="Q14" i="6"/>
  <c r="Q14" i="6" a="1"/>
  <c r="P14" i="6"/>
  <c r="O14" i="6"/>
  <c r="AG13" i="6"/>
  <c r="AF13" i="6"/>
  <c r="AE13" i="6"/>
  <c r="AD13" i="6"/>
  <c r="AC13" i="6"/>
  <c r="AB13" i="6"/>
  <c r="AA13" i="6"/>
  <c r="Z13" i="6"/>
  <c r="Y13" i="6"/>
  <c r="W13" i="6"/>
  <c r="V13" i="6"/>
  <c r="U13" i="6"/>
  <c r="T13" i="6"/>
  <c r="S13" i="6"/>
  <c r="R13" i="6"/>
  <c r="Q13" i="6"/>
  <c r="Q13" i="6" a="1"/>
  <c r="P13" i="6"/>
  <c r="O13" i="6"/>
  <c r="AG12" i="6"/>
  <c r="AF12" i="6"/>
  <c r="AE12" i="6"/>
  <c r="AD12" i="6"/>
  <c r="AC12" i="6"/>
  <c r="AB12" i="6"/>
  <c r="AA12" i="6"/>
  <c r="Z12" i="6"/>
  <c r="Y12" i="6"/>
  <c r="W12" i="6"/>
  <c r="V12" i="6"/>
  <c r="U12" i="6"/>
  <c r="T12" i="6"/>
  <c r="S12" i="6"/>
  <c r="R12" i="6"/>
  <c r="Q12" i="6"/>
  <c r="Q12" i="6" a="1"/>
  <c r="P12" i="6"/>
  <c r="O12" i="6"/>
  <c r="AG11" i="6"/>
  <c r="AF11" i="6"/>
  <c r="AE11" i="6"/>
  <c r="AD11" i="6"/>
  <c r="AC11" i="6"/>
  <c r="AB11" i="6"/>
  <c r="AA11" i="6"/>
  <c r="Z11" i="6"/>
  <c r="Y11" i="6"/>
  <c r="W11" i="6"/>
  <c r="V11" i="6"/>
  <c r="U11" i="6"/>
  <c r="T11" i="6"/>
  <c r="S11" i="6"/>
  <c r="R11" i="6"/>
  <c r="Q11" i="6"/>
  <c r="Q11" i="6" a="1"/>
  <c r="P11" i="6"/>
  <c r="O11" i="6"/>
  <c r="AG10" i="6"/>
  <c r="AF10" i="6"/>
  <c r="AE10" i="6"/>
  <c r="AD10" i="6"/>
  <c r="AC10" i="6"/>
  <c r="AB10" i="6"/>
  <c r="AA10" i="6"/>
  <c r="Z10" i="6"/>
  <c r="Y10" i="6"/>
  <c r="W10" i="6"/>
  <c r="V10" i="6"/>
  <c r="U10" i="6"/>
  <c r="T10" i="6"/>
  <c r="S10" i="6"/>
  <c r="R10" i="6"/>
  <c r="Q10" i="6"/>
  <c r="Q10" i="6" a="1"/>
  <c r="P10" i="6"/>
  <c r="O10" i="6"/>
  <c r="AG9" i="6"/>
  <c r="AF9" i="6"/>
  <c r="AE9" i="6"/>
  <c r="AD9" i="6"/>
  <c r="AC9" i="6"/>
  <c r="AB9" i="6"/>
  <c r="AA9" i="6"/>
  <c r="Z9" i="6"/>
  <c r="Y9" i="6"/>
  <c r="W9" i="6"/>
  <c r="V9" i="6"/>
  <c r="U9" i="6"/>
  <c r="T9" i="6"/>
  <c r="S9" i="6"/>
  <c r="R9" i="6"/>
  <c r="Q9" i="6"/>
  <c r="Q9" i="6" a="1"/>
  <c r="P9" i="6"/>
  <c r="O9" i="6"/>
  <c r="AG8" i="6"/>
  <c r="AF8" i="6"/>
  <c r="AE8" i="6"/>
  <c r="AD8" i="6"/>
  <c r="AC8" i="6"/>
  <c r="AB8" i="6"/>
  <c r="AA8" i="6"/>
  <c r="Z8" i="6"/>
  <c r="Y8" i="6"/>
  <c r="W8" i="6"/>
  <c r="V8" i="6"/>
  <c r="U8" i="6"/>
  <c r="T8" i="6"/>
  <c r="S8" i="6"/>
  <c r="R8" i="6"/>
  <c r="Q8" i="6"/>
  <c r="Q8" i="6" a="1"/>
  <c r="P8" i="6"/>
  <c r="O8" i="6"/>
  <c r="AG7" i="6"/>
  <c r="AF7" i="6"/>
  <c r="AE7" i="6"/>
  <c r="AD7" i="6"/>
  <c r="AC7" i="6"/>
  <c r="AB7" i="6"/>
  <c r="AA7" i="6"/>
  <c r="Z7" i="6"/>
  <c r="Y7" i="6"/>
  <c r="W7" i="6"/>
  <c r="V7" i="6"/>
  <c r="U7" i="6"/>
  <c r="T7" i="6"/>
  <c r="S7" i="6"/>
  <c r="R7" i="6"/>
  <c r="Q7" i="6"/>
  <c r="Q7" i="6" a="1"/>
  <c r="P7" i="6"/>
  <c r="O7" i="6"/>
  <c r="AG6" i="6"/>
  <c r="AF6" i="6"/>
  <c r="AE6" i="6"/>
  <c r="AD6" i="6"/>
  <c r="AC6" i="6"/>
  <c r="AB6" i="6"/>
  <c r="AA6" i="6"/>
  <c r="Z6" i="6"/>
  <c r="Y6" i="6"/>
  <c r="W6" i="6"/>
  <c r="V6" i="6"/>
  <c r="U6" i="6"/>
  <c r="T6" i="6"/>
  <c r="S6" i="6"/>
  <c r="R6" i="6"/>
  <c r="Q6" i="6"/>
  <c r="Q6" i="6" a="1"/>
  <c r="P6" i="6"/>
  <c r="O6" i="6"/>
  <c r="AG5" i="6"/>
  <c r="AF5" i="6"/>
  <c r="AE5" i="6"/>
  <c r="AD5" i="6"/>
  <c r="AC5" i="6"/>
  <c r="AB5" i="6"/>
  <c r="AA5" i="6"/>
  <c r="Z5" i="6"/>
  <c r="Y5" i="6"/>
  <c r="W5" i="6"/>
  <c r="V5" i="6"/>
  <c r="U5" i="6"/>
  <c r="T5" i="6"/>
  <c r="S5" i="6"/>
  <c r="R5" i="6"/>
  <c r="Q5" i="6"/>
  <c r="Q5" i="6" a="1"/>
  <c r="P5" i="6"/>
  <c r="O5" i="6"/>
  <c r="HS74" i="5" l="1"/>
  <c r="HQ74" i="5"/>
  <c r="HP74" i="5"/>
  <c r="HO74" i="5"/>
  <c r="HN74" i="5"/>
  <c r="HM74" i="5"/>
  <c r="HL74" i="5"/>
  <c r="HK74" i="5"/>
  <c r="HJ74" i="5"/>
  <c r="HI74" i="5"/>
  <c r="HH74" i="5"/>
  <c r="HG74" i="5"/>
  <c r="HF74" i="5"/>
  <c r="HE74" i="5"/>
  <c r="HD74" i="5"/>
  <c r="HC74" i="5"/>
  <c r="HB74" i="5"/>
  <c r="HA74" i="5"/>
  <c r="GZ74" i="5"/>
  <c r="GY74" i="5"/>
  <c r="GX74" i="5"/>
  <c r="GW74" i="5"/>
  <c r="GV74" i="5"/>
  <c r="GU74" i="5"/>
  <c r="GT74" i="5"/>
  <c r="FQ74" i="5"/>
  <c r="FP74" i="5"/>
  <c r="FO74" i="5"/>
  <c r="FN74" i="5"/>
  <c r="FM74" i="5"/>
  <c r="FL74" i="5"/>
  <c r="FK74" i="5"/>
  <c r="FJ74" i="5"/>
  <c r="FI74" i="5"/>
  <c r="FH74" i="5"/>
  <c r="FG74" i="5"/>
  <c r="FF74" i="5"/>
  <c r="FE74" i="5"/>
  <c r="FD74" i="5"/>
  <c r="FC74" i="5"/>
  <c r="FB74" i="5"/>
  <c r="FA74" i="5"/>
  <c r="EZ74" i="5"/>
  <c r="EY74" i="5"/>
  <c r="EX74" i="5"/>
  <c r="EW74" i="5"/>
  <c r="EV74" i="5"/>
  <c r="EU74" i="5"/>
  <c r="ET74" i="5"/>
  <c r="ES74" i="5"/>
  <c r="ER74" i="5"/>
  <c r="EQ74" i="5"/>
  <c r="EP74" i="5"/>
  <c r="EO74" i="5"/>
  <c r="EN74" i="5"/>
  <c r="EM74" i="5"/>
  <c r="EL74" i="5"/>
  <c r="DQ74" i="5"/>
  <c r="DP74" i="5"/>
  <c r="DO74" i="5"/>
  <c r="FW74" i="5" s="1"/>
  <c r="DN74" i="5"/>
  <c r="FV74" i="5" s="1"/>
  <c r="DM74" i="5"/>
  <c r="DL74" i="5"/>
  <c r="DK74" i="5"/>
  <c r="DJ74" i="5"/>
  <c r="CE74" i="5"/>
  <c r="AJ74" i="5"/>
  <c r="AK74" i="5" s="1"/>
  <c r="Q74" i="5"/>
  <c r="G74" i="5"/>
  <c r="J74" i="5" s="1"/>
  <c r="HS73" i="5"/>
  <c r="HQ73" i="5"/>
  <c r="HP73" i="5"/>
  <c r="HO73" i="5"/>
  <c r="HN73" i="5"/>
  <c r="HM73" i="5"/>
  <c r="HL73" i="5"/>
  <c r="HK73" i="5"/>
  <c r="HJ73" i="5"/>
  <c r="HI73" i="5"/>
  <c r="HH73" i="5"/>
  <c r="HG73" i="5"/>
  <c r="HF73" i="5"/>
  <c r="HE73" i="5"/>
  <c r="HD73" i="5"/>
  <c r="HC73" i="5"/>
  <c r="HB73" i="5"/>
  <c r="HA73" i="5"/>
  <c r="GZ73" i="5"/>
  <c r="GY73" i="5"/>
  <c r="GX73" i="5"/>
  <c r="GW73" i="5"/>
  <c r="GV73" i="5"/>
  <c r="GU73" i="5"/>
  <c r="GT73" i="5"/>
  <c r="FQ73" i="5"/>
  <c r="FP73" i="5"/>
  <c r="FO73" i="5"/>
  <c r="FN73" i="5"/>
  <c r="FM73" i="5"/>
  <c r="FL73" i="5"/>
  <c r="FK73" i="5"/>
  <c r="FJ73" i="5"/>
  <c r="FI73" i="5"/>
  <c r="FH73" i="5"/>
  <c r="FG73" i="5"/>
  <c r="FF73" i="5"/>
  <c r="FE73" i="5"/>
  <c r="FD73" i="5"/>
  <c r="FC73" i="5"/>
  <c r="FB73" i="5"/>
  <c r="FA73" i="5"/>
  <c r="EZ73" i="5"/>
  <c r="EY73" i="5"/>
  <c r="EX73" i="5"/>
  <c r="EW73" i="5"/>
  <c r="EV73" i="5"/>
  <c r="EU73" i="5"/>
  <c r="ET73" i="5"/>
  <c r="ES73" i="5"/>
  <c r="ER73" i="5"/>
  <c r="EQ73" i="5"/>
  <c r="EP73" i="5"/>
  <c r="EO73" i="5"/>
  <c r="EN73" i="5"/>
  <c r="EM73" i="5"/>
  <c r="EL73" i="5"/>
  <c r="DQ73" i="5"/>
  <c r="DP73" i="5"/>
  <c r="DO73" i="5"/>
  <c r="DN73" i="5"/>
  <c r="DM73" i="5"/>
  <c r="DL73" i="5"/>
  <c r="DK73" i="5"/>
  <c r="DJ73" i="5"/>
  <c r="CE73" i="5"/>
  <c r="AJ73" i="5"/>
  <c r="DR73" i="5" s="1"/>
  <c r="Q73" i="5"/>
  <c r="G73" i="5"/>
  <c r="J73" i="5" s="1"/>
  <c r="HS72" i="5"/>
  <c r="HQ72" i="5"/>
  <c r="HP72" i="5"/>
  <c r="HO72" i="5"/>
  <c r="HN72" i="5"/>
  <c r="HM72" i="5"/>
  <c r="HL72" i="5"/>
  <c r="HK72" i="5"/>
  <c r="HJ72" i="5"/>
  <c r="HI72" i="5"/>
  <c r="HH72" i="5"/>
  <c r="HG72" i="5"/>
  <c r="HF72" i="5"/>
  <c r="HE72" i="5"/>
  <c r="HD72" i="5"/>
  <c r="HC72" i="5"/>
  <c r="HB72" i="5"/>
  <c r="HA72" i="5"/>
  <c r="GZ72" i="5"/>
  <c r="GY72" i="5"/>
  <c r="GX72" i="5"/>
  <c r="GW72" i="5"/>
  <c r="GV72" i="5"/>
  <c r="GU72" i="5"/>
  <c r="GT72" i="5"/>
  <c r="FQ72" i="5"/>
  <c r="FP72" i="5"/>
  <c r="FO72" i="5"/>
  <c r="FN72" i="5"/>
  <c r="FM72" i="5"/>
  <c r="FL72" i="5"/>
  <c r="FK72" i="5"/>
  <c r="FJ72" i="5"/>
  <c r="FI72" i="5"/>
  <c r="FH72" i="5"/>
  <c r="FG72" i="5"/>
  <c r="FF72" i="5"/>
  <c r="FE72" i="5"/>
  <c r="FD72" i="5"/>
  <c r="FC72" i="5"/>
  <c r="FB72" i="5"/>
  <c r="FA72" i="5"/>
  <c r="EZ72" i="5"/>
  <c r="EY72" i="5"/>
  <c r="EX72" i="5"/>
  <c r="EW72" i="5"/>
  <c r="EV72" i="5"/>
  <c r="EU72" i="5"/>
  <c r="ET72" i="5"/>
  <c r="ES72" i="5"/>
  <c r="ER72" i="5"/>
  <c r="EQ72" i="5"/>
  <c r="EP72" i="5"/>
  <c r="EO72" i="5"/>
  <c r="EN72" i="5"/>
  <c r="EM72" i="5"/>
  <c r="EL72" i="5"/>
  <c r="DQ72" i="5"/>
  <c r="DP72" i="5"/>
  <c r="FX72" i="5" s="1"/>
  <c r="DO72" i="5"/>
  <c r="DN72" i="5"/>
  <c r="DM72" i="5"/>
  <c r="FU72" i="5" s="1"/>
  <c r="DL72" i="5"/>
  <c r="DK72" i="5"/>
  <c r="DJ72" i="5"/>
  <c r="CE72" i="5"/>
  <c r="AJ72" i="5"/>
  <c r="DR72" i="5" s="1"/>
  <c r="Q72" i="5"/>
  <c r="G72" i="5"/>
  <c r="I72" i="5" s="1"/>
  <c r="M72" i="5" s="1"/>
  <c r="O72" i="5" s="1"/>
  <c r="HS71" i="5"/>
  <c r="HQ71" i="5"/>
  <c r="HP71" i="5"/>
  <c r="HO71" i="5"/>
  <c r="HN71" i="5"/>
  <c r="HM71" i="5"/>
  <c r="HL71" i="5"/>
  <c r="HK71" i="5"/>
  <c r="HJ71" i="5"/>
  <c r="HI71" i="5"/>
  <c r="HH71" i="5"/>
  <c r="HG71" i="5"/>
  <c r="HF71" i="5"/>
  <c r="HE71" i="5"/>
  <c r="HD71" i="5"/>
  <c r="HC71" i="5"/>
  <c r="HB71" i="5"/>
  <c r="HA71" i="5"/>
  <c r="GZ71" i="5"/>
  <c r="GY71" i="5"/>
  <c r="GX71" i="5"/>
  <c r="GW71" i="5"/>
  <c r="GV71" i="5"/>
  <c r="GU71" i="5"/>
  <c r="GT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DQ71" i="5"/>
  <c r="DP71" i="5"/>
  <c r="DO71" i="5"/>
  <c r="DN71" i="5"/>
  <c r="DM71" i="5"/>
  <c r="DL71" i="5"/>
  <c r="DK71" i="5"/>
  <c r="DJ71" i="5"/>
  <c r="CE71" i="5"/>
  <c r="AJ71" i="5"/>
  <c r="AK71" i="5" s="1"/>
  <c r="DS71" i="5" s="1"/>
  <c r="Q71" i="5"/>
  <c r="G71" i="5"/>
  <c r="HS70" i="5"/>
  <c r="HQ70" i="5"/>
  <c r="HP70" i="5"/>
  <c r="HO70" i="5"/>
  <c r="HN70" i="5"/>
  <c r="HM70" i="5"/>
  <c r="HL70" i="5"/>
  <c r="HK70" i="5"/>
  <c r="HJ70" i="5"/>
  <c r="HI70" i="5"/>
  <c r="HH70" i="5"/>
  <c r="HG70" i="5"/>
  <c r="HF70" i="5"/>
  <c r="HE70" i="5"/>
  <c r="HD70" i="5"/>
  <c r="HC70" i="5"/>
  <c r="HB70" i="5"/>
  <c r="HA70" i="5"/>
  <c r="GZ70" i="5"/>
  <c r="GY70" i="5"/>
  <c r="GX70" i="5"/>
  <c r="GW70" i="5"/>
  <c r="GV70" i="5"/>
  <c r="GU70" i="5"/>
  <c r="GT70" i="5"/>
  <c r="FQ70" i="5"/>
  <c r="FP70" i="5"/>
  <c r="FO70" i="5"/>
  <c r="FM70" i="5"/>
  <c r="FL70" i="5"/>
  <c r="FJ70" i="5"/>
  <c r="FI70" i="5"/>
  <c r="FH70" i="5"/>
  <c r="FE70" i="5"/>
  <c r="FD70" i="5"/>
  <c r="FB70" i="5"/>
  <c r="FA70" i="5"/>
  <c r="EZ70" i="5"/>
  <c r="EW70" i="5"/>
  <c r="EV70" i="5"/>
  <c r="ET70" i="5"/>
  <c r="ES70" i="5"/>
  <c r="ER70" i="5"/>
  <c r="EO70" i="5"/>
  <c r="EN70" i="5"/>
  <c r="EM70" i="5"/>
  <c r="EL70" i="5"/>
  <c r="DO70" i="5"/>
  <c r="FW70" i="5" s="1"/>
  <c r="DN70" i="5"/>
  <c r="DL70" i="5"/>
  <c r="DK70" i="5"/>
  <c r="DJ70" i="5"/>
  <c r="FK70" i="5"/>
  <c r="CR70" i="5"/>
  <c r="FN70" i="5" s="1"/>
  <c r="CE70" i="5"/>
  <c r="AJ70" i="5"/>
  <c r="AK70" i="5" s="1"/>
  <c r="Q70" i="5"/>
  <c r="G70" i="5"/>
  <c r="I70" i="5" s="1"/>
  <c r="M70" i="5" s="1"/>
  <c r="HS69" i="5"/>
  <c r="HQ69" i="5"/>
  <c r="HP69" i="5"/>
  <c r="HO69" i="5"/>
  <c r="HN69" i="5"/>
  <c r="HM69" i="5"/>
  <c r="HL69" i="5"/>
  <c r="HK69" i="5"/>
  <c r="HJ69" i="5"/>
  <c r="HI69" i="5"/>
  <c r="HH69" i="5"/>
  <c r="HG69" i="5"/>
  <c r="HF69" i="5"/>
  <c r="HE69" i="5"/>
  <c r="HD69" i="5"/>
  <c r="HC69" i="5"/>
  <c r="HB69" i="5"/>
  <c r="HA69" i="5"/>
  <c r="GZ69" i="5"/>
  <c r="GY69" i="5"/>
  <c r="GX69" i="5"/>
  <c r="GW69" i="5"/>
  <c r="GV69" i="5"/>
  <c r="GU69" i="5"/>
  <c r="GT69" i="5"/>
  <c r="FQ69" i="5"/>
  <c r="FP69" i="5"/>
  <c r="FO69" i="5"/>
  <c r="FH69" i="5"/>
  <c r="FC69" i="5"/>
  <c r="EM69" i="5"/>
  <c r="EL69" i="5"/>
  <c r="CR69" i="5"/>
  <c r="FN69" i="5" s="1"/>
  <c r="CE69" i="5"/>
  <c r="AJ69" i="5"/>
  <c r="Q69" i="5"/>
  <c r="G69" i="5"/>
  <c r="I69" i="5" s="1"/>
  <c r="M69" i="5" s="1"/>
  <c r="HS68" i="5"/>
  <c r="HQ68" i="5"/>
  <c r="HP68" i="5"/>
  <c r="HO68" i="5"/>
  <c r="HN68" i="5"/>
  <c r="HM68" i="5"/>
  <c r="HL68" i="5"/>
  <c r="HK68" i="5"/>
  <c r="HJ68" i="5"/>
  <c r="HI68" i="5"/>
  <c r="HH68" i="5"/>
  <c r="HG68" i="5"/>
  <c r="HF68" i="5"/>
  <c r="HE68" i="5"/>
  <c r="HD68" i="5"/>
  <c r="HC68" i="5"/>
  <c r="HB68" i="5"/>
  <c r="HA68" i="5"/>
  <c r="GZ68" i="5"/>
  <c r="GY68" i="5"/>
  <c r="GX68" i="5"/>
  <c r="GW68" i="5"/>
  <c r="GV68" i="5"/>
  <c r="GU68" i="5"/>
  <c r="GT68" i="5"/>
  <c r="FQ68" i="5"/>
  <c r="FP68" i="5"/>
  <c r="FO68" i="5"/>
  <c r="EV68" i="5"/>
  <c r="EM68" i="5"/>
  <c r="EL68" i="5"/>
  <c r="FJ68" i="5"/>
  <c r="CR68" i="5"/>
  <c r="FN68" i="5" s="1"/>
  <c r="CE68" i="5"/>
  <c r="AJ68" i="5"/>
  <c r="Q68" i="5"/>
  <c r="G68" i="5"/>
  <c r="J68" i="5" s="1"/>
  <c r="K68" i="5" s="1"/>
  <c r="HS67" i="5"/>
  <c r="HQ67" i="5"/>
  <c r="HP67" i="5"/>
  <c r="HO67" i="5"/>
  <c r="HN67" i="5"/>
  <c r="HM67" i="5"/>
  <c r="HL67" i="5"/>
  <c r="HK67" i="5"/>
  <c r="HJ67" i="5"/>
  <c r="HI67" i="5"/>
  <c r="HH67" i="5"/>
  <c r="HG67" i="5"/>
  <c r="HF67" i="5"/>
  <c r="HE67" i="5"/>
  <c r="HD67" i="5"/>
  <c r="HC67" i="5"/>
  <c r="HB67" i="5"/>
  <c r="HA67" i="5"/>
  <c r="GZ67" i="5"/>
  <c r="GY67" i="5"/>
  <c r="GX67" i="5"/>
  <c r="GW67" i="5"/>
  <c r="GV67" i="5"/>
  <c r="GU67" i="5"/>
  <c r="GT67" i="5"/>
  <c r="FQ67" i="5"/>
  <c r="FP67" i="5"/>
  <c r="FO67" i="5"/>
  <c r="FL67" i="5"/>
  <c r="FK67" i="5"/>
  <c r="FI67" i="5"/>
  <c r="FF67" i="5"/>
  <c r="FD67" i="5"/>
  <c r="EW67" i="5"/>
  <c r="EU67" i="5"/>
  <c r="ET67" i="5"/>
  <c r="ES67" i="5"/>
  <c r="EP67" i="5"/>
  <c r="EM67" i="5"/>
  <c r="EL67" i="5"/>
  <c r="DQ67" i="5"/>
  <c r="DP67" i="5"/>
  <c r="DN67" i="5"/>
  <c r="CR67" i="5"/>
  <c r="FN67" i="5" s="1"/>
  <c r="CE67" i="5"/>
  <c r="AJ67" i="5"/>
  <c r="DR67" i="5" s="1"/>
  <c r="Q67" i="5"/>
  <c r="G67" i="5"/>
  <c r="I67" i="5" s="1"/>
  <c r="HS66" i="5"/>
  <c r="HQ66" i="5"/>
  <c r="HP66" i="5"/>
  <c r="HO66" i="5"/>
  <c r="HN66" i="5"/>
  <c r="HM66" i="5"/>
  <c r="HL66" i="5"/>
  <c r="HK66" i="5"/>
  <c r="HJ66" i="5"/>
  <c r="HI66" i="5"/>
  <c r="HH66" i="5"/>
  <c r="HG66" i="5"/>
  <c r="HF66" i="5"/>
  <c r="HE66" i="5"/>
  <c r="HD66" i="5"/>
  <c r="HC66" i="5"/>
  <c r="HB66" i="5"/>
  <c r="HA66" i="5"/>
  <c r="GZ66" i="5"/>
  <c r="GY66" i="5"/>
  <c r="GX66" i="5"/>
  <c r="GW66" i="5"/>
  <c r="GV66" i="5"/>
  <c r="GU66" i="5"/>
  <c r="GT66" i="5"/>
  <c r="FQ66" i="5"/>
  <c r="FP66" i="5"/>
  <c r="FO66" i="5"/>
  <c r="FM66" i="5"/>
  <c r="FF66" i="5"/>
  <c r="FE66" i="5"/>
  <c r="FC66" i="5"/>
  <c r="FA66" i="5"/>
  <c r="EY66" i="5"/>
  <c r="ES66" i="5"/>
  <c r="EQ66" i="5"/>
  <c r="EP66" i="5"/>
  <c r="EO66" i="5"/>
  <c r="EM66" i="5"/>
  <c r="EL66" i="5"/>
  <c r="DQ66" i="5"/>
  <c r="DP66" i="5"/>
  <c r="DO66" i="5"/>
  <c r="DM66" i="5"/>
  <c r="FU66" i="5" s="1"/>
  <c r="FG66" i="5"/>
  <c r="CR66" i="5"/>
  <c r="FN66" i="5" s="1"/>
  <c r="CE66" i="5"/>
  <c r="AJ66" i="5"/>
  <c r="Q66" i="5"/>
  <c r="G66" i="5"/>
  <c r="J66" i="5" s="1"/>
  <c r="L66" i="5" s="1"/>
  <c r="HS65" i="5"/>
  <c r="HQ65" i="5"/>
  <c r="HP65" i="5"/>
  <c r="HO65" i="5"/>
  <c r="HN65" i="5"/>
  <c r="HM65" i="5"/>
  <c r="HL65" i="5"/>
  <c r="HK65" i="5"/>
  <c r="HJ65" i="5"/>
  <c r="HI65" i="5"/>
  <c r="HH65" i="5"/>
  <c r="HG65" i="5"/>
  <c r="HF65" i="5"/>
  <c r="HE65" i="5"/>
  <c r="HD65" i="5"/>
  <c r="HC65" i="5"/>
  <c r="HB65" i="5"/>
  <c r="HA65" i="5"/>
  <c r="GZ65" i="5"/>
  <c r="GY65" i="5"/>
  <c r="GX65" i="5"/>
  <c r="GW65" i="5"/>
  <c r="GV65" i="5"/>
  <c r="GU65" i="5"/>
  <c r="GT65" i="5"/>
  <c r="FQ65" i="5"/>
  <c r="FP65" i="5"/>
  <c r="FO65" i="5"/>
  <c r="FM65" i="5"/>
  <c r="FL65" i="5"/>
  <c r="FJ65" i="5"/>
  <c r="FH65" i="5"/>
  <c r="FF65" i="5"/>
  <c r="FE65" i="5"/>
  <c r="FD65" i="5"/>
  <c r="FB65" i="5"/>
  <c r="EZ65" i="5"/>
  <c r="EX65" i="5"/>
  <c r="EW65" i="5"/>
  <c r="EV65" i="5"/>
  <c r="ET65" i="5"/>
  <c r="ER65" i="5"/>
  <c r="EP65" i="5"/>
  <c r="EO65" i="5"/>
  <c r="EN65" i="5"/>
  <c r="EM65" i="5"/>
  <c r="EL65" i="5"/>
  <c r="DP65" i="5"/>
  <c r="DO65" i="5"/>
  <c r="DN65" i="5"/>
  <c r="DL65" i="5"/>
  <c r="FT65" i="5" s="1"/>
  <c r="DJ65" i="5"/>
  <c r="FG65" i="5"/>
  <c r="CR65" i="5"/>
  <c r="FN65" i="5" s="1"/>
  <c r="CE65" i="5"/>
  <c r="AJ65" i="5"/>
  <c r="AK65" i="5" s="1"/>
  <c r="Q65" i="5"/>
  <c r="G65" i="5"/>
  <c r="I65" i="5" s="1"/>
  <c r="HS64" i="5"/>
  <c r="HQ64" i="5"/>
  <c r="HP64" i="5"/>
  <c r="HO64" i="5"/>
  <c r="HN64" i="5"/>
  <c r="HM64" i="5"/>
  <c r="HL64" i="5"/>
  <c r="HK64" i="5"/>
  <c r="HJ64" i="5"/>
  <c r="HI64" i="5"/>
  <c r="HH64" i="5"/>
  <c r="HG64" i="5"/>
  <c r="HF64" i="5"/>
  <c r="HE64" i="5"/>
  <c r="HD64" i="5"/>
  <c r="HC64" i="5"/>
  <c r="HB64" i="5"/>
  <c r="HA64" i="5"/>
  <c r="GZ64" i="5"/>
  <c r="GY64" i="5"/>
  <c r="GX64" i="5"/>
  <c r="GW64" i="5"/>
  <c r="GV64" i="5"/>
  <c r="GU64" i="5"/>
  <c r="GT64" i="5"/>
  <c r="FQ64" i="5"/>
  <c r="FP64" i="5"/>
  <c r="FO64" i="5"/>
  <c r="EM64" i="5"/>
  <c r="EL64" i="5"/>
  <c r="CR64" i="5"/>
  <c r="FN64" i="5" s="1"/>
  <c r="CE64" i="5"/>
  <c r="AJ64" i="5"/>
  <c r="AK64" i="5" s="1"/>
  <c r="Q64" i="5"/>
  <c r="G64" i="5"/>
  <c r="HS63" i="5"/>
  <c r="HQ63" i="5"/>
  <c r="HP63" i="5"/>
  <c r="HO63" i="5"/>
  <c r="HN63" i="5"/>
  <c r="HM63" i="5"/>
  <c r="HL63" i="5"/>
  <c r="HK63" i="5"/>
  <c r="HJ63" i="5"/>
  <c r="HI63" i="5"/>
  <c r="HH63" i="5"/>
  <c r="HG63" i="5"/>
  <c r="HF63" i="5"/>
  <c r="HE63" i="5"/>
  <c r="HD63" i="5"/>
  <c r="HC63" i="5"/>
  <c r="HB63" i="5"/>
  <c r="HA63" i="5"/>
  <c r="GZ63" i="5"/>
  <c r="GY63" i="5"/>
  <c r="GX63" i="5"/>
  <c r="GW63" i="5"/>
  <c r="GV63" i="5"/>
  <c r="GU63" i="5"/>
  <c r="GT63" i="5"/>
  <c r="FQ63" i="5"/>
  <c r="FP63" i="5"/>
  <c r="FO63" i="5"/>
  <c r="FN63" i="5"/>
  <c r="FM63" i="5"/>
  <c r="FL63" i="5"/>
  <c r="FK63" i="5"/>
  <c r="FJ63" i="5"/>
  <c r="FH63" i="5"/>
  <c r="FF63" i="5"/>
  <c r="FE63" i="5"/>
  <c r="FD63" i="5"/>
  <c r="FC63" i="5"/>
  <c r="FB63" i="5"/>
  <c r="EZ63" i="5"/>
  <c r="EX63" i="5"/>
  <c r="EW63" i="5"/>
  <c r="EV63" i="5"/>
  <c r="EU63" i="5"/>
  <c r="ET63" i="5"/>
  <c r="ER63" i="5"/>
  <c r="EP63" i="5"/>
  <c r="EO63" i="5"/>
  <c r="EN63" i="5"/>
  <c r="EM63" i="5"/>
  <c r="EL63" i="5"/>
  <c r="DP63" i="5"/>
  <c r="DO63" i="5"/>
  <c r="DN63" i="5"/>
  <c r="FV63" i="5" s="1"/>
  <c r="DM63" i="5"/>
  <c r="DL63" i="5"/>
  <c r="DJ63" i="5"/>
  <c r="FR63" i="5" s="1"/>
  <c r="FI63" i="5"/>
  <c r="CE63" i="5"/>
  <c r="AJ63" i="5"/>
  <c r="Q63" i="5"/>
  <c r="G63" i="5"/>
  <c r="J63" i="5" s="1"/>
  <c r="K63" i="5" s="1"/>
  <c r="HS62" i="5"/>
  <c r="HH62" i="5"/>
  <c r="HG62" i="5"/>
  <c r="HF62" i="5"/>
  <c r="HE62" i="5"/>
  <c r="HD62" i="5"/>
  <c r="HC62" i="5"/>
  <c r="HB62" i="5"/>
  <c r="HA62" i="5"/>
  <c r="GZ62" i="5"/>
  <c r="GY62" i="5"/>
  <c r="GX62" i="5"/>
  <c r="GW62" i="5"/>
  <c r="GV62" i="5"/>
  <c r="GU62" i="5"/>
  <c r="GT62" i="5"/>
  <c r="FQ62" i="5"/>
  <c r="FP62" i="5"/>
  <c r="FJ62" i="5"/>
  <c r="EW62" i="5"/>
  <c r="EM62" i="5"/>
  <c r="EL62" i="5"/>
  <c r="DK62" i="5"/>
  <c r="FE62" i="5"/>
  <c r="CX62" i="5"/>
  <c r="CW62" i="5"/>
  <c r="CV62" i="5"/>
  <c r="CS62" i="5"/>
  <c r="CE62" i="5"/>
  <c r="AJ62" i="5"/>
  <c r="DR62" i="5" s="1"/>
  <c r="Q62" i="5"/>
  <c r="G62" i="5"/>
  <c r="J62" i="5" s="1"/>
  <c r="K62" i="5" s="1"/>
  <c r="HS61" i="5"/>
  <c r="HQ61" i="5"/>
  <c r="HP61" i="5"/>
  <c r="HO61" i="5"/>
  <c r="HN61" i="5"/>
  <c r="HM61" i="5"/>
  <c r="HL61" i="5"/>
  <c r="HK61" i="5"/>
  <c r="HI61" i="5"/>
  <c r="HH61" i="5"/>
  <c r="HG61" i="5"/>
  <c r="HF61" i="5"/>
  <c r="HE61" i="5"/>
  <c r="HD61" i="5"/>
  <c r="HC61" i="5"/>
  <c r="HB61" i="5"/>
  <c r="HA61" i="5"/>
  <c r="GZ61" i="5"/>
  <c r="GY61" i="5"/>
  <c r="GX61" i="5"/>
  <c r="GW61" i="5"/>
  <c r="GV61" i="5"/>
  <c r="GU61" i="5"/>
  <c r="GT61" i="5"/>
  <c r="FQ61" i="5"/>
  <c r="FP61" i="5"/>
  <c r="FO61" i="5"/>
  <c r="FK61" i="5"/>
  <c r="FJ61" i="5"/>
  <c r="FI61" i="5"/>
  <c r="FE61" i="5"/>
  <c r="FD61" i="5"/>
  <c r="FB61" i="5"/>
  <c r="EZ61" i="5"/>
  <c r="EW61" i="5"/>
  <c r="EV61" i="5"/>
  <c r="EU61" i="5"/>
  <c r="ES61" i="5"/>
  <c r="ER61" i="5"/>
  <c r="EQ61" i="5"/>
  <c r="EN61" i="5"/>
  <c r="EM61" i="5"/>
  <c r="EL61" i="5"/>
  <c r="DQ61" i="5"/>
  <c r="DO61" i="5"/>
  <c r="DN61" i="5"/>
  <c r="DM61" i="5"/>
  <c r="DK61" i="5"/>
  <c r="DJ61" i="5"/>
  <c r="FR61" i="5" s="1"/>
  <c r="CS61" i="5"/>
  <c r="CQ61" i="5"/>
  <c r="BW61" i="5"/>
  <c r="HJ61" i="5" s="1"/>
  <c r="AJ61" i="5"/>
  <c r="AK61" i="5" s="1"/>
  <c r="DS61" i="5" s="1"/>
  <c r="Q61" i="5"/>
  <c r="G61" i="5"/>
  <c r="J61" i="5" s="1"/>
  <c r="L61" i="5" s="1"/>
  <c r="HS60" i="5"/>
  <c r="HQ60" i="5"/>
  <c r="HP60" i="5"/>
  <c r="HO60" i="5"/>
  <c r="HN60" i="5"/>
  <c r="HM60" i="5"/>
  <c r="HL60" i="5"/>
  <c r="HK60" i="5"/>
  <c r="HJ60" i="5"/>
  <c r="HI60" i="5"/>
  <c r="HH60" i="5"/>
  <c r="HG60" i="5"/>
  <c r="HF60" i="5"/>
  <c r="HE60" i="5"/>
  <c r="HD60" i="5"/>
  <c r="HC60" i="5"/>
  <c r="HB60" i="5"/>
  <c r="HA60" i="5"/>
  <c r="GZ60" i="5"/>
  <c r="GY60" i="5"/>
  <c r="GX60" i="5"/>
  <c r="GW60" i="5"/>
  <c r="GV60" i="5"/>
  <c r="GU60" i="5"/>
  <c r="GT60" i="5"/>
  <c r="FQ60" i="5"/>
  <c r="FP60" i="5"/>
  <c r="FO60" i="5"/>
  <c r="FN60" i="5"/>
  <c r="FM60" i="5"/>
  <c r="FL60" i="5"/>
  <c r="FK60" i="5"/>
  <c r="FJ60" i="5"/>
  <c r="FI60" i="5"/>
  <c r="FH60" i="5"/>
  <c r="FG60" i="5"/>
  <c r="FF60" i="5"/>
  <c r="FE60" i="5"/>
  <c r="FD60" i="5"/>
  <c r="FC60" i="5"/>
  <c r="FB60" i="5"/>
  <c r="FA60" i="5"/>
  <c r="EZ60" i="5"/>
  <c r="EY60" i="5"/>
  <c r="EX60" i="5"/>
  <c r="EW60" i="5"/>
  <c r="EV60" i="5"/>
  <c r="EU60" i="5"/>
  <c r="ET60" i="5"/>
  <c r="ES60" i="5"/>
  <c r="ER60" i="5"/>
  <c r="EQ60" i="5"/>
  <c r="EP60" i="5"/>
  <c r="EO60" i="5"/>
  <c r="EN60" i="5"/>
  <c r="EM60" i="5"/>
  <c r="EL60" i="5"/>
  <c r="DQ60" i="5"/>
  <c r="DP60" i="5"/>
  <c r="DO60" i="5"/>
  <c r="DN60" i="5"/>
  <c r="DM60" i="5"/>
  <c r="DL60" i="5"/>
  <c r="DK60" i="5"/>
  <c r="FS60" i="5" s="1"/>
  <c r="DJ60" i="5"/>
  <c r="CE60" i="5"/>
  <c r="AJ60" i="5"/>
  <c r="AK60" i="5" s="1"/>
  <c r="Q60" i="5"/>
  <c r="G60" i="5"/>
  <c r="J60" i="5" s="1"/>
  <c r="HS59" i="5"/>
  <c r="HQ59" i="5"/>
  <c r="HP59" i="5"/>
  <c r="HO59" i="5"/>
  <c r="HN59" i="5"/>
  <c r="HM59" i="5"/>
  <c r="HL59" i="5"/>
  <c r="HK59" i="5"/>
  <c r="HI59" i="5"/>
  <c r="HH59" i="5"/>
  <c r="HG59" i="5"/>
  <c r="HF59" i="5"/>
  <c r="HE59" i="5"/>
  <c r="HD59" i="5"/>
  <c r="HC59" i="5"/>
  <c r="HB59" i="5"/>
  <c r="HA59" i="5"/>
  <c r="GZ59" i="5"/>
  <c r="GY59" i="5"/>
  <c r="GX59" i="5"/>
  <c r="GW59" i="5"/>
  <c r="GV59" i="5"/>
  <c r="GU59" i="5"/>
  <c r="GT59" i="5"/>
  <c r="FQ59" i="5"/>
  <c r="FP59" i="5"/>
  <c r="FO59" i="5"/>
  <c r="FN59" i="5"/>
  <c r="FE59" i="5"/>
  <c r="ET59" i="5"/>
  <c r="EM59" i="5"/>
  <c r="EL59" i="5"/>
  <c r="DL59" i="5"/>
  <c r="FK59" i="5"/>
  <c r="BW59" i="5"/>
  <c r="HJ59" i="5" s="1"/>
  <c r="AJ59" i="5"/>
  <c r="Q59" i="5"/>
  <c r="G59" i="5"/>
  <c r="J59" i="5" s="1"/>
  <c r="L59" i="5" s="1"/>
  <c r="HS58" i="5"/>
  <c r="HQ58" i="5"/>
  <c r="HP58" i="5"/>
  <c r="HO58" i="5"/>
  <c r="HN58" i="5"/>
  <c r="HM58" i="5"/>
  <c r="HL58" i="5"/>
  <c r="HK58" i="5"/>
  <c r="HJ58" i="5"/>
  <c r="HI58" i="5"/>
  <c r="HH58" i="5"/>
  <c r="HG58" i="5"/>
  <c r="HF58" i="5"/>
  <c r="HE58" i="5"/>
  <c r="HD58" i="5"/>
  <c r="HC58" i="5"/>
  <c r="HB58" i="5"/>
  <c r="HA58" i="5"/>
  <c r="GZ58" i="5"/>
  <c r="GY58" i="5"/>
  <c r="GX58" i="5"/>
  <c r="GW58" i="5"/>
  <c r="GV58" i="5"/>
  <c r="GU58" i="5"/>
  <c r="GT58" i="5"/>
  <c r="FQ58" i="5"/>
  <c r="FP58" i="5"/>
  <c r="FO58" i="5"/>
  <c r="FM58" i="5"/>
  <c r="FL58" i="5"/>
  <c r="FK58" i="5"/>
  <c r="FJ58" i="5"/>
  <c r="FI58" i="5"/>
  <c r="FH58" i="5"/>
  <c r="FG58" i="5"/>
  <c r="FF58" i="5"/>
  <c r="FE58" i="5"/>
  <c r="FD58" i="5"/>
  <c r="FC58" i="5"/>
  <c r="FB58" i="5"/>
  <c r="FA58" i="5"/>
  <c r="EZ58" i="5"/>
  <c r="EY58" i="5"/>
  <c r="EX58" i="5"/>
  <c r="EW58" i="5"/>
  <c r="EV58" i="5"/>
  <c r="EU58" i="5"/>
  <c r="ET58" i="5"/>
  <c r="ES58" i="5"/>
  <c r="ER58" i="5"/>
  <c r="EQ58" i="5"/>
  <c r="EP58" i="5"/>
  <c r="EO58" i="5"/>
  <c r="EN58" i="5"/>
  <c r="EM58" i="5"/>
  <c r="EL58" i="5"/>
  <c r="DQ58" i="5"/>
  <c r="DP58" i="5"/>
  <c r="DO58" i="5"/>
  <c r="DN58" i="5"/>
  <c r="DM58" i="5"/>
  <c r="FU58" i="5" s="1"/>
  <c r="DL58" i="5"/>
  <c r="DK58" i="5"/>
  <c r="DJ58" i="5"/>
  <c r="CT58" i="5"/>
  <c r="CS58" i="5"/>
  <c r="CE58" i="5"/>
  <c r="AJ58" i="5"/>
  <c r="DR58" i="5" s="1"/>
  <c r="Q58" i="5"/>
  <c r="G58" i="5"/>
  <c r="I58" i="5" s="1"/>
  <c r="M58" i="5" s="1"/>
  <c r="O58" i="5" s="1"/>
  <c r="HS57" i="5"/>
  <c r="HQ57" i="5"/>
  <c r="HP57" i="5"/>
  <c r="HO57" i="5"/>
  <c r="HN57" i="5"/>
  <c r="HM57" i="5"/>
  <c r="HL57" i="5"/>
  <c r="HK57" i="5"/>
  <c r="HI57" i="5"/>
  <c r="HH57" i="5"/>
  <c r="HG57" i="5"/>
  <c r="HF57" i="5"/>
  <c r="HE57" i="5"/>
  <c r="HD57" i="5"/>
  <c r="HC57" i="5"/>
  <c r="HB57" i="5"/>
  <c r="HA57" i="5"/>
  <c r="GZ57" i="5"/>
  <c r="GY57" i="5"/>
  <c r="GX57" i="5"/>
  <c r="GW57" i="5"/>
  <c r="GV57" i="5"/>
  <c r="GU57" i="5"/>
  <c r="GT57" i="5"/>
  <c r="FQ57" i="5"/>
  <c r="FP57" i="5"/>
  <c r="FO57" i="5"/>
  <c r="FN57" i="5"/>
  <c r="FE57" i="5"/>
  <c r="EM57" i="5"/>
  <c r="EL57" i="5"/>
  <c r="BW57" i="5"/>
  <c r="AJ57" i="5"/>
  <c r="Q57" i="5"/>
  <c r="G57" i="5"/>
  <c r="J57" i="5" s="1"/>
  <c r="L57" i="5" s="1"/>
  <c r="HS56" i="5"/>
  <c r="HQ56" i="5"/>
  <c r="HP56" i="5"/>
  <c r="HO56" i="5"/>
  <c r="HN56" i="5"/>
  <c r="HM56" i="5"/>
  <c r="HL56" i="5"/>
  <c r="HK56" i="5"/>
  <c r="HJ56" i="5"/>
  <c r="HI56" i="5"/>
  <c r="HH56" i="5"/>
  <c r="HG56" i="5"/>
  <c r="HF56" i="5"/>
  <c r="HE56" i="5"/>
  <c r="HD56" i="5"/>
  <c r="HC56" i="5"/>
  <c r="HB56" i="5"/>
  <c r="HA56" i="5"/>
  <c r="GZ56" i="5"/>
  <c r="GY56" i="5"/>
  <c r="GX56" i="5"/>
  <c r="GW56" i="5"/>
  <c r="GV56" i="5"/>
  <c r="GU56" i="5"/>
  <c r="GT56" i="5"/>
  <c r="FQ56" i="5"/>
  <c r="FP56" i="5"/>
  <c r="FO56" i="5"/>
  <c r="FN56" i="5"/>
  <c r="FL56" i="5"/>
  <c r="FJ56" i="5"/>
  <c r="FH56" i="5"/>
  <c r="FF56" i="5"/>
  <c r="FD56" i="5"/>
  <c r="FB56" i="5"/>
  <c r="EZ56" i="5"/>
  <c r="EX56" i="5"/>
  <c r="EV56" i="5"/>
  <c r="ET56" i="5"/>
  <c r="ER56" i="5"/>
  <c r="EP56" i="5"/>
  <c r="EN56" i="5"/>
  <c r="EM56" i="5"/>
  <c r="EL56" i="5"/>
  <c r="DP56" i="5"/>
  <c r="DN56" i="5"/>
  <c r="DL56" i="5"/>
  <c r="DJ56" i="5"/>
  <c r="FG56" i="5"/>
  <c r="CE56" i="5"/>
  <c r="AJ56" i="5"/>
  <c r="AK56" i="5" s="1"/>
  <c r="DS56" i="5" s="1"/>
  <c r="Q56" i="5"/>
  <c r="G56" i="5"/>
  <c r="J56" i="5" s="1"/>
  <c r="L56" i="5" s="1"/>
  <c r="HS55" i="5"/>
  <c r="HQ55" i="5"/>
  <c r="HP55" i="5"/>
  <c r="HO55" i="5"/>
  <c r="HN55" i="5"/>
  <c r="HM55" i="5"/>
  <c r="HL55" i="5"/>
  <c r="HK55" i="5"/>
  <c r="HJ55" i="5"/>
  <c r="HI55" i="5"/>
  <c r="HH55" i="5"/>
  <c r="HG55" i="5"/>
  <c r="HF55" i="5"/>
  <c r="HE55" i="5"/>
  <c r="HD55" i="5"/>
  <c r="HC55" i="5"/>
  <c r="HB55" i="5"/>
  <c r="HA55" i="5"/>
  <c r="GZ55" i="5"/>
  <c r="GY55" i="5"/>
  <c r="GX55" i="5"/>
  <c r="GW55" i="5"/>
  <c r="GV55" i="5"/>
  <c r="GU55" i="5"/>
  <c r="GT55" i="5"/>
  <c r="FQ55" i="5"/>
  <c r="FP55" i="5"/>
  <c r="FO55" i="5"/>
  <c r="FN55" i="5"/>
  <c r="FM55" i="5"/>
  <c r="FL55" i="5"/>
  <c r="FJ55" i="5"/>
  <c r="FH55" i="5"/>
  <c r="FF55" i="5"/>
  <c r="FE55" i="5"/>
  <c r="FD55" i="5"/>
  <c r="FB55" i="5"/>
  <c r="EZ55" i="5"/>
  <c r="EX55" i="5"/>
  <c r="EW55" i="5"/>
  <c r="EV55" i="5"/>
  <c r="ET55" i="5"/>
  <c r="ER55" i="5"/>
  <c r="EP55" i="5"/>
  <c r="EO55" i="5"/>
  <c r="EN55" i="5"/>
  <c r="EM55" i="5"/>
  <c r="EL55" i="5"/>
  <c r="DP55" i="5"/>
  <c r="DO55" i="5"/>
  <c r="DN55" i="5"/>
  <c r="DL55" i="5"/>
  <c r="DJ55" i="5"/>
  <c r="FK55" i="5"/>
  <c r="CE55" i="5"/>
  <c r="AJ55" i="5"/>
  <c r="AK55" i="5" s="1"/>
  <c r="Q55" i="5"/>
  <c r="G55" i="5"/>
  <c r="J55" i="5" s="1"/>
  <c r="L55" i="5" s="1"/>
  <c r="HS54" i="5"/>
  <c r="HQ54" i="5"/>
  <c r="HP54" i="5"/>
  <c r="HO54" i="5"/>
  <c r="HN54" i="5"/>
  <c r="HM54" i="5"/>
  <c r="HL54" i="5"/>
  <c r="HK54" i="5"/>
  <c r="HI54" i="5"/>
  <c r="HH54" i="5"/>
  <c r="HG54" i="5"/>
  <c r="HF54" i="5"/>
  <c r="HE54" i="5"/>
  <c r="HD54" i="5"/>
  <c r="HC54" i="5"/>
  <c r="HB54" i="5"/>
  <c r="HA54" i="5"/>
  <c r="GZ54" i="5"/>
  <c r="GY54" i="5"/>
  <c r="GX54" i="5"/>
  <c r="GW54" i="5"/>
  <c r="GV54" i="5"/>
  <c r="GU54" i="5"/>
  <c r="GT54" i="5"/>
  <c r="FQ54" i="5"/>
  <c r="FP54" i="5"/>
  <c r="FO54" i="5"/>
  <c r="FN54" i="5"/>
  <c r="FM54" i="5"/>
  <c r="FL54" i="5"/>
  <c r="FK54" i="5"/>
  <c r="FJ54" i="5"/>
  <c r="FH54" i="5"/>
  <c r="FE54" i="5"/>
  <c r="FD54" i="5"/>
  <c r="FC54" i="5"/>
  <c r="FB54" i="5"/>
  <c r="EZ54" i="5"/>
  <c r="EX54" i="5"/>
  <c r="EW54" i="5"/>
  <c r="EV54" i="5"/>
  <c r="EU54" i="5"/>
  <c r="ET54" i="5"/>
  <c r="ER54" i="5"/>
  <c r="EP54" i="5"/>
  <c r="EO54" i="5"/>
  <c r="EN54" i="5"/>
  <c r="EM54" i="5"/>
  <c r="EL54" i="5"/>
  <c r="DP54" i="5"/>
  <c r="DO54" i="5"/>
  <c r="DN54" i="5"/>
  <c r="DM54" i="5"/>
  <c r="DL54" i="5"/>
  <c r="DJ54" i="5"/>
  <c r="FR54" i="5" s="1"/>
  <c r="FI54" i="5"/>
  <c r="BW54" i="5"/>
  <c r="AJ54" i="5"/>
  <c r="Q54" i="5"/>
  <c r="G54" i="5"/>
  <c r="J54" i="5" s="1"/>
  <c r="K54" i="5" s="1"/>
  <c r="HS53" i="5"/>
  <c r="FQ53" i="5"/>
  <c r="FP53" i="5"/>
  <c r="FN53" i="5"/>
  <c r="FM53" i="5"/>
  <c r="FL53" i="5"/>
  <c r="FK53" i="5"/>
  <c r="FJ53" i="5"/>
  <c r="FI53" i="5"/>
  <c r="FH53" i="5"/>
  <c r="FG53" i="5"/>
  <c r="FF53" i="5"/>
  <c r="FE53" i="5"/>
  <c r="FD53" i="5"/>
  <c r="FC53" i="5"/>
  <c r="FB53" i="5"/>
  <c r="FA53" i="5"/>
  <c r="EZ53" i="5"/>
  <c r="EY53" i="5"/>
  <c r="EX53" i="5"/>
  <c r="EW53" i="5"/>
  <c r="EV53" i="5"/>
  <c r="EU53" i="5"/>
  <c r="ET53" i="5"/>
  <c r="ES53" i="5"/>
  <c r="ER53" i="5"/>
  <c r="EQ53" i="5"/>
  <c r="EP53" i="5"/>
  <c r="EO53" i="5"/>
  <c r="EN53" i="5"/>
  <c r="EM53" i="5"/>
  <c r="EL53" i="5"/>
  <c r="DQ53" i="5"/>
  <c r="DP53" i="5"/>
  <c r="DO53" i="5"/>
  <c r="DN53" i="5"/>
  <c r="DM53" i="5"/>
  <c r="DL53" i="5"/>
  <c r="DK53" i="5"/>
  <c r="DJ53" i="5"/>
  <c r="CE53" i="5"/>
  <c r="T53" i="5" s="1"/>
  <c r="U53" i="5" s="1"/>
  <c r="W53" i="5" s="1"/>
  <c r="AJ53" i="5"/>
  <c r="DR53" i="5" s="1"/>
  <c r="Q53" i="5"/>
  <c r="M53" i="5"/>
  <c r="O53" i="5" s="1"/>
  <c r="HS52" i="5"/>
  <c r="HQ52" i="5"/>
  <c r="HP52" i="5"/>
  <c r="HO52" i="5"/>
  <c r="HN52" i="5"/>
  <c r="HM52" i="5"/>
  <c r="HL52" i="5"/>
  <c r="HK52" i="5"/>
  <c r="HI52" i="5"/>
  <c r="HH52" i="5"/>
  <c r="HG52" i="5"/>
  <c r="HF52" i="5"/>
  <c r="HE52" i="5"/>
  <c r="HD52" i="5"/>
  <c r="HC52" i="5"/>
  <c r="HB52" i="5"/>
  <c r="HA52" i="5"/>
  <c r="GZ52" i="5"/>
  <c r="GY52" i="5"/>
  <c r="GX52" i="5"/>
  <c r="GW52" i="5"/>
  <c r="GV52" i="5"/>
  <c r="GU52" i="5"/>
  <c r="GT52" i="5"/>
  <c r="FQ52" i="5"/>
  <c r="FP52" i="5"/>
  <c r="FO52" i="5"/>
  <c r="FN52" i="5"/>
  <c r="EV52" i="5"/>
  <c r="EU52" i="5"/>
  <c r="EM52" i="5"/>
  <c r="EL52" i="5"/>
  <c r="BW52" i="5"/>
  <c r="HJ52" i="5" s="1"/>
  <c r="AJ52" i="5"/>
  <c r="DR52" i="5" s="1"/>
  <c r="Q52" i="5"/>
  <c r="G52" i="5"/>
  <c r="J52" i="5" s="1"/>
  <c r="L52" i="5" s="1"/>
  <c r="HS51" i="5"/>
  <c r="HQ51" i="5"/>
  <c r="HP51" i="5"/>
  <c r="HO51" i="5"/>
  <c r="HN51" i="5"/>
  <c r="HM51" i="5"/>
  <c r="HL51" i="5"/>
  <c r="HK51" i="5"/>
  <c r="HI51" i="5"/>
  <c r="HH51" i="5"/>
  <c r="HG51" i="5"/>
  <c r="HF51" i="5"/>
  <c r="HE51" i="5"/>
  <c r="HD51" i="5"/>
  <c r="HC51" i="5"/>
  <c r="HB51" i="5"/>
  <c r="HA51" i="5"/>
  <c r="GZ51" i="5"/>
  <c r="GY51" i="5"/>
  <c r="GX51" i="5"/>
  <c r="GW51" i="5"/>
  <c r="GV51" i="5"/>
  <c r="GU51" i="5"/>
  <c r="GT51" i="5"/>
  <c r="FQ51" i="5"/>
  <c r="FP51" i="5"/>
  <c r="FO51" i="5"/>
  <c r="FN51" i="5"/>
  <c r="FI51" i="5"/>
  <c r="FB51" i="5"/>
  <c r="FA51" i="5"/>
  <c r="EX51" i="5"/>
  <c r="ES51" i="5"/>
  <c r="EM51" i="5"/>
  <c r="EL51" i="5"/>
  <c r="DP51" i="5"/>
  <c r="DK51" i="5"/>
  <c r="FC51" i="5"/>
  <c r="BW51" i="5"/>
  <c r="HJ51" i="5" s="1"/>
  <c r="AJ51" i="5"/>
  <c r="Q51" i="5"/>
  <c r="G51" i="5"/>
  <c r="J51" i="5" s="1"/>
  <c r="L51" i="5" s="1"/>
  <c r="HS50" i="5"/>
  <c r="HQ50" i="5"/>
  <c r="HP50" i="5"/>
  <c r="HO50" i="5"/>
  <c r="HN50" i="5"/>
  <c r="HM50" i="5"/>
  <c r="HL50" i="5"/>
  <c r="HK50" i="5"/>
  <c r="HI50" i="5"/>
  <c r="HH50" i="5"/>
  <c r="HG50" i="5"/>
  <c r="HF50" i="5"/>
  <c r="HE50" i="5"/>
  <c r="HD50" i="5"/>
  <c r="HC50" i="5"/>
  <c r="HB50" i="5"/>
  <c r="HA50" i="5"/>
  <c r="GZ50" i="5"/>
  <c r="GY50" i="5"/>
  <c r="GX50" i="5"/>
  <c r="GW50" i="5"/>
  <c r="GV50" i="5"/>
  <c r="GU50" i="5"/>
  <c r="GT50" i="5"/>
  <c r="FQ50" i="5"/>
  <c r="FP50" i="5"/>
  <c r="FO50" i="5"/>
  <c r="FN50" i="5"/>
  <c r="FM50" i="5"/>
  <c r="FL50" i="5"/>
  <c r="FJ50" i="5"/>
  <c r="FI50" i="5"/>
  <c r="FH50" i="5"/>
  <c r="FE50" i="5"/>
  <c r="FD50" i="5"/>
  <c r="FB50" i="5"/>
  <c r="FA50" i="5"/>
  <c r="EZ50" i="5"/>
  <c r="EX50" i="5"/>
  <c r="EW50" i="5"/>
  <c r="EV50" i="5"/>
  <c r="ET50" i="5"/>
  <c r="ES50" i="5"/>
  <c r="ER50" i="5"/>
  <c r="EP50" i="5"/>
  <c r="EO50" i="5"/>
  <c r="EN50" i="5"/>
  <c r="EM50" i="5"/>
  <c r="EL50" i="5"/>
  <c r="DP50" i="5"/>
  <c r="DO50" i="5"/>
  <c r="FW50" i="5" s="1"/>
  <c r="DN50" i="5"/>
  <c r="DL50" i="5"/>
  <c r="DK50" i="5"/>
  <c r="DJ50" i="5"/>
  <c r="FG50" i="5"/>
  <c r="BW50" i="5"/>
  <c r="FF50" i="5" s="1"/>
  <c r="AJ50" i="5"/>
  <c r="DR50" i="5" s="1"/>
  <c r="Q50" i="5"/>
  <c r="G50" i="5"/>
  <c r="J50" i="5" s="1"/>
  <c r="L50" i="5" s="1"/>
  <c r="HS49" i="5"/>
  <c r="HQ49" i="5"/>
  <c r="HP49" i="5"/>
  <c r="HO49" i="5"/>
  <c r="HN49" i="5"/>
  <c r="HM49" i="5"/>
  <c r="HL49" i="5"/>
  <c r="HK49" i="5"/>
  <c r="HI49" i="5"/>
  <c r="HH49" i="5"/>
  <c r="HG49" i="5"/>
  <c r="HF49" i="5"/>
  <c r="HE49" i="5"/>
  <c r="HD49" i="5"/>
  <c r="HC49" i="5"/>
  <c r="HB49" i="5"/>
  <c r="HA49" i="5"/>
  <c r="GZ49" i="5"/>
  <c r="GY49" i="5"/>
  <c r="GX49" i="5"/>
  <c r="GW49" i="5"/>
  <c r="GV49" i="5"/>
  <c r="GU49" i="5"/>
  <c r="GT49" i="5"/>
  <c r="FQ49" i="5"/>
  <c r="FP49" i="5"/>
  <c r="FO49" i="5"/>
  <c r="FN49" i="5"/>
  <c r="EY49" i="5"/>
  <c r="EQ49" i="5"/>
  <c r="EP49" i="5"/>
  <c r="EM49" i="5"/>
  <c r="EL49" i="5"/>
  <c r="DQ49" i="5"/>
  <c r="DP49" i="5"/>
  <c r="FG49" i="5"/>
  <c r="BW49" i="5"/>
  <c r="HJ49" i="5" s="1"/>
  <c r="AJ49" i="5"/>
  <c r="AK49" i="5" s="1"/>
  <c r="Q49" i="5"/>
  <c r="G49" i="5"/>
  <c r="J49" i="5" s="1"/>
  <c r="HS48" i="5"/>
  <c r="HQ48" i="5"/>
  <c r="HP48" i="5"/>
  <c r="HO48" i="5"/>
  <c r="HN48" i="5"/>
  <c r="HM48" i="5"/>
  <c r="HL48" i="5"/>
  <c r="HK48" i="5"/>
  <c r="HI48" i="5"/>
  <c r="HH48" i="5"/>
  <c r="HG48" i="5"/>
  <c r="HF48" i="5"/>
  <c r="HE48" i="5"/>
  <c r="HD48" i="5"/>
  <c r="HC48" i="5"/>
  <c r="HB48" i="5"/>
  <c r="HA48" i="5"/>
  <c r="GZ48" i="5"/>
  <c r="GY48" i="5"/>
  <c r="GX48" i="5"/>
  <c r="GW48" i="5"/>
  <c r="GV48" i="5"/>
  <c r="GU48" i="5"/>
  <c r="GT48" i="5"/>
  <c r="FQ48" i="5"/>
  <c r="FP48" i="5"/>
  <c r="FO48" i="5"/>
  <c r="FN48" i="5"/>
  <c r="FM48" i="5"/>
  <c r="FE48" i="5"/>
  <c r="EX48" i="5"/>
  <c r="EW48" i="5"/>
  <c r="EP48" i="5"/>
  <c r="EO48" i="5"/>
  <c r="EM48" i="5"/>
  <c r="EL48" i="5"/>
  <c r="DP48" i="5"/>
  <c r="DO48" i="5"/>
  <c r="FL48" i="5"/>
  <c r="BW48" i="5"/>
  <c r="AJ48" i="5"/>
  <c r="DR48" i="5" s="1"/>
  <c r="Q48" i="5"/>
  <c r="G48" i="5"/>
  <c r="HH47" i="5"/>
  <c r="HG47" i="5"/>
  <c r="HF47" i="5"/>
  <c r="HE47" i="5"/>
  <c r="HD47" i="5"/>
  <c r="HC47" i="5"/>
  <c r="HB47" i="5"/>
  <c r="HA47" i="5"/>
  <c r="GZ47" i="5"/>
  <c r="GY47" i="5"/>
  <c r="GX47" i="5"/>
  <c r="GW47" i="5"/>
  <c r="GV47" i="5"/>
  <c r="GU47" i="5"/>
  <c r="GT47" i="5"/>
  <c r="GJ47" i="5"/>
  <c r="FO47" i="5"/>
  <c r="GQ47" i="5"/>
  <c r="GP47" i="5"/>
  <c r="GO47" i="5"/>
  <c r="GN47" i="5"/>
  <c r="GM47" i="5"/>
  <c r="GL47" i="5"/>
  <c r="GK47" i="5"/>
  <c r="GI47" i="5"/>
  <c r="GH47" i="5"/>
  <c r="GG47" i="5"/>
  <c r="GF47" i="5"/>
  <c r="GE47" i="5"/>
  <c r="GD47" i="5"/>
  <c r="GC47" i="5"/>
  <c r="GB47" i="5"/>
  <c r="GA47" i="5"/>
  <c r="FZ47" i="5"/>
  <c r="FY47" i="5"/>
  <c r="FX47" i="5"/>
  <c r="FW47" i="5"/>
  <c r="EM47" i="5"/>
  <c r="EL47" i="5"/>
  <c r="CT47" i="5"/>
  <c r="FN47" i="5" s="1"/>
  <c r="CE47" i="5"/>
  <c r="AJ47" i="5"/>
  <c r="AK47" i="5" s="1"/>
  <c r="AL47" i="5" s="1"/>
  <c r="AM47" i="5" s="1"/>
  <c r="AN47" i="5" s="1"/>
  <c r="Q47" i="5"/>
  <c r="G47" i="5"/>
  <c r="J47" i="5" s="1"/>
  <c r="HS46" i="5"/>
  <c r="HQ46" i="5"/>
  <c r="HP46" i="5"/>
  <c r="HO46" i="5"/>
  <c r="HN46" i="5"/>
  <c r="HM46" i="5"/>
  <c r="HL46" i="5"/>
  <c r="HK46" i="5"/>
  <c r="HI46" i="5"/>
  <c r="HH46" i="5"/>
  <c r="HG46" i="5"/>
  <c r="HF46" i="5"/>
  <c r="HE46" i="5"/>
  <c r="HD46" i="5"/>
  <c r="HC46" i="5"/>
  <c r="HB46" i="5"/>
  <c r="HA46" i="5"/>
  <c r="GZ46" i="5"/>
  <c r="GY46" i="5"/>
  <c r="GX46" i="5"/>
  <c r="GW46" i="5"/>
  <c r="GV46" i="5"/>
  <c r="GU46" i="5"/>
  <c r="GT46" i="5"/>
  <c r="FQ46" i="5"/>
  <c r="FP46" i="5"/>
  <c r="FO46" i="5"/>
  <c r="FN46" i="5"/>
  <c r="FG46" i="5"/>
  <c r="EY46" i="5"/>
  <c r="ER46" i="5"/>
  <c r="EM46" i="5"/>
  <c r="EL46" i="5"/>
  <c r="DQ46" i="5"/>
  <c r="DJ46" i="5"/>
  <c r="BW46" i="5"/>
  <c r="CE46" i="5" s="1"/>
  <c r="AJ46" i="5"/>
  <c r="DR46" i="5" s="1"/>
  <c r="Q46" i="5"/>
  <c r="G46" i="5"/>
  <c r="J46" i="5" s="1"/>
  <c r="L46" i="5" s="1"/>
  <c r="HS45" i="5"/>
  <c r="HQ45" i="5"/>
  <c r="HP45" i="5"/>
  <c r="HO45" i="5"/>
  <c r="HN45" i="5"/>
  <c r="HM45" i="5"/>
  <c r="HL45" i="5"/>
  <c r="HK45" i="5"/>
  <c r="HI45" i="5"/>
  <c r="HH45" i="5"/>
  <c r="HG45" i="5"/>
  <c r="HF45" i="5"/>
  <c r="HE45" i="5"/>
  <c r="HD45" i="5"/>
  <c r="HC45" i="5"/>
  <c r="HB45" i="5"/>
  <c r="HA45" i="5"/>
  <c r="GZ45" i="5"/>
  <c r="GY45" i="5"/>
  <c r="GX45" i="5"/>
  <c r="GW45" i="5"/>
  <c r="GV45" i="5"/>
  <c r="GU45" i="5"/>
  <c r="GT45" i="5"/>
  <c r="FQ45" i="5"/>
  <c r="FP45" i="5"/>
  <c r="FO45" i="5"/>
  <c r="FN45" i="5"/>
  <c r="FJ45" i="5"/>
  <c r="ET45" i="5"/>
  <c r="EM45" i="5"/>
  <c r="EL45" i="5"/>
  <c r="DP45" i="5"/>
  <c r="FB45" i="5"/>
  <c r="BW45" i="5"/>
  <c r="HJ45" i="5" s="1"/>
  <c r="AJ45" i="5"/>
  <c r="AK45" i="5" s="1"/>
  <c r="Y45" i="5"/>
  <c r="Q45" i="5"/>
  <c r="G45" i="5"/>
  <c r="I45" i="5" s="1"/>
  <c r="HS44" i="5"/>
  <c r="HQ44" i="5"/>
  <c r="HP44" i="5"/>
  <c r="HO44" i="5"/>
  <c r="HN44" i="5"/>
  <c r="HM44" i="5"/>
  <c r="HL44" i="5"/>
  <c r="HK44" i="5"/>
  <c r="HI44" i="5"/>
  <c r="HH44" i="5"/>
  <c r="HG44" i="5"/>
  <c r="HF44" i="5"/>
  <c r="HE44" i="5"/>
  <c r="HD44" i="5"/>
  <c r="HC44" i="5"/>
  <c r="HB44" i="5"/>
  <c r="HA44" i="5"/>
  <c r="GZ44" i="5"/>
  <c r="GY44" i="5"/>
  <c r="GX44" i="5"/>
  <c r="GW44" i="5"/>
  <c r="GV44" i="5"/>
  <c r="GU44" i="5"/>
  <c r="GT44" i="5"/>
  <c r="FQ44" i="5"/>
  <c r="FP44" i="5"/>
  <c r="FO44" i="5"/>
  <c r="EU44" i="5"/>
  <c r="EM44" i="5"/>
  <c r="EL44" i="5"/>
  <c r="DM44" i="5"/>
  <c r="FK44" i="5"/>
  <c r="CP44" i="5"/>
  <c r="FN44" i="5" s="1"/>
  <c r="BW44" i="5"/>
  <c r="HJ44" i="5" s="1"/>
  <c r="AJ44" i="5"/>
  <c r="DR44" i="5" s="1"/>
  <c r="Q44" i="5"/>
  <c r="G44" i="5"/>
  <c r="J44" i="5" s="1"/>
  <c r="HS43" i="5"/>
  <c r="HQ43" i="5"/>
  <c r="HP43" i="5"/>
  <c r="HO43" i="5"/>
  <c r="HN43" i="5"/>
  <c r="HM43" i="5"/>
  <c r="HL43" i="5"/>
  <c r="HK43" i="5"/>
  <c r="HI43" i="5"/>
  <c r="HH43" i="5"/>
  <c r="HG43" i="5"/>
  <c r="HF43" i="5"/>
  <c r="HE43" i="5"/>
  <c r="HD43" i="5"/>
  <c r="HC43" i="5"/>
  <c r="HB43" i="5"/>
  <c r="HA43" i="5"/>
  <c r="GZ43" i="5"/>
  <c r="GY43" i="5"/>
  <c r="GW43" i="5"/>
  <c r="GV43" i="5"/>
  <c r="GU43" i="5"/>
  <c r="GT43" i="5"/>
  <c r="FQ43" i="5"/>
  <c r="FP43" i="5"/>
  <c r="FK43" i="5"/>
  <c r="EZ43" i="5"/>
  <c r="EP43" i="5"/>
  <c r="EM43" i="5"/>
  <c r="EL43" i="5"/>
  <c r="DO43" i="5"/>
  <c r="CW43" i="5"/>
  <c r="CU43" i="5"/>
  <c r="CS43" i="5"/>
  <c r="CQ43" i="5"/>
  <c r="BW43" i="5"/>
  <c r="HJ43" i="5" s="1"/>
  <c r="BK43" i="5"/>
  <c r="GX43" i="5" s="1"/>
  <c r="AJ43" i="5"/>
  <c r="DR43" i="5" s="1"/>
  <c r="Q43" i="5"/>
  <c r="G43" i="5"/>
  <c r="J43" i="5" s="1"/>
  <c r="K43" i="5" s="1"/>
  <c r="HS42" i="5"/>
  <c r="HQ42" i="5"/>
  <c r="HP42" i="5"/>
  <c r="HO42" i="5"/>
  <c r="HN42" i="5"/>
  <c r="HM42" i="5"/>
  <c r="HL42" i="5"/>
  <c r="HK42" i="5"/>
  <c r="HI42" i="5"/>
  <c r="HH42" i="5"/>
  <c r="HG42" i="5"/>
  <c r="HF42" i="5"/>
  <c r="HE42" i="5"/>
  <c r="HD42" i="5"/>
  <c r="HC42" i="5"/>
  <c r="HB42" i="5"/>
  <c r="HA42" i="5"/>
  <c r="GZ42" i="5"/>
  <c r="GY42" i="5"/>
  <c r="GX42" i="5"/>
  <c r="GW42" i="5"/>
  <c r="GV42" i="5"/>
  <c r="GU42" i="5"/>
  <c r="GT42" i="5"/>
  <c r="FQ42" i="5"/>
  <c r="FP42" i="5"/>
  <c r="FO42" i="5"/>
  <c r="FK42" i="5"/>
  <c r="FJ42" i="5"/>
  <c r="FG42" i="5"/>
  <c r="FD42" i="5"/>
  <c r="FC42" i="5"/>
  <c r="FA42" i="5"/>
  <c r="EY42" i="5"/>
  <c r="EV42" i="5"/>
  <c r="ET42" i="5"/>
  <c r="ES42" i="5"/>
  <c r="EP42" i="5"/>
  <c r="EN42" i="5"/>
  <c r="EM42" i="5"/>
  <c r="EL42" i="5"/>
  <c r="DQ42" i="5"/>
  <c r="DN42" i="5"/>
  <c r="DM42" i="5"/>
  <c r="DL42" i="5"/>
  <c r="DK42" i="5"/>
  <c r="FI42" i="5"/>
  <c r="CR42" i="5"/>
  <c r="CQ42" i="5"/>
  <c r="FN42" i="5" s="1"/>
  <c r="BW42" i="5"/>
  <c r="CE42" i="5" s="1"/>
  <c r="AJ42" i="5"/>
  <c r="Q42" i="5"/>
  <c r="G42" i="5"/>
  <c r="I42" i="5" s="1"/>
  <c r="HS41" i="5"/>
  <c r="HQ41" i="5"/>
  <c r="HP41" i="5"/>
  <c r="HO41" i="5"/>
  <c r="HN41" i="5"/>
  <c r="HM41" i="5"/>
  <c r="HL41" i="5"/>
  <c r="HK41" i="5"/>
  <c r="HI41" i="5"/>
  <c r="HH41" i="5"/>
  <c r="HG41" i="5"/>
  <c r="HF41" i="5"/>
  <c r="HE41" i="5"/>
  <c r="HD41" i="5"/>
  <c r="HC41" i="5"/>
  <c r="HB41" i="5"/>
  <c r="HA41" i="5"/>
  <c r="GZ41" i="5"/>
  <c r="GY41" i="5"/>
  <c r="GX41" i="5"/>
  <c r="GW41" i="5"/>
  <c r="GV41" i="5"/>
  <c r="GU41" i="5"/>
  <c r="GT41" i="5"/>
  <c r="FQ41" i="5"/>
  <c r="FP41" i="5"/>
  <c r="FO41" i="5"/>
  <c r="FN41" i="5"/>
  <c r="FD41" i="5"/>
  <c r="FB41" i="5"/>
  <c r="EV41" i="5"/>
  <c r="EM41" i="5"/>
  <c r="EL41" i="5"/>
  <c r="DN41" i="5"/>
  <c r="DL41" i="5"/>
  <c r="ET41" i="5"/>
  <c r="BW41" i="5"/>
  <c r="CE41" i="5" s="1"/>
  <c r="AJ41" i="5"/>
  <c r="AK41" i="5" s="1"/>
  <c r="Q41" i="5"/>
  <c r="G41" i="5"/>
  <c r="J41" i="5" s="1"/>
  <c r="HS40" i="5"/>
  <c r="HQ40" i="5"/>
  <c r="HP40" i="5"/>
  <c r="HO40" i="5"/>
  <c r="HN40" i="5"/>
  <c r="HM40" i="5"/>
  <c r="HL40" i="5"/>
  <c r="HK40" i="5"/>
  <c r="HI40" i="5"/>
  <c r="HH40" i="5"/>
  <c r="HG40" i="5"/>
  <c r="HF40" i="5"/>
  <c r="HE40" i="5"/>
  <c r="HD40" i="5"/>
  <c r="HC40" i="5"/>
  <c r="HB40" i="5"/>
  <c r="HA40" i="5"/>
  <c r="GZ40" i="5"/>
  <c r="GY40" i="5"/>
  <c r="GX40" i="5"/>
  <c r="GW40" i="5"/>
  <c r="GV40" i="5"/>
  <c r="GU40" i="5"/>
  <c r="GT40" i="5"/>
  <c r="FQ40" i="5"/>
  <c r="FP40" i="5"/>
  <c r="FO40" i="5"/>
  <c r="FN40" i="5"/>
  <c r="FB40" i="5"/>
  <c r="EM40" i="5"/>
  <c r="EL40" i="5"/>
  <c r="DP40" i="5"/>
  <c r="FK40" i="5"/>
  <c r="BW40" i="5"/>
  <c r="AJ40" i="5"/>
  <c r="AK40" i="5" s="1"/>
  <c r="AL40" i="5" s="1"/>
  <c r="AM40" i="5" s="1"/>
  <c r="AN40" i="5" s="1"/>
  <c r="DV40" i="5" s="1"/>
  <c r="Q40" i="5"/>
  <c r="G40" i="5"/>
  <c r="I40" i="5" s="1"/>
  <c r="M40" i="5" s="1"/>
  <c r="O40" i="5" s="1"/>
  <c r="HS39" i="5"/>
  <c r="HQ39" i="5"/>
  <c r="HP39" i="5"/>
  <c r="HO39" i="5"/>
  <c r="HN39" i="5"/>
  <c r="HM39" i="5"/>
  <c r="HL39" i="5"/>
  <c r="HK39" i="5"/>
  <c r="HI39" i="5"/>
  <c r="HH39" i="5"/>
  <c r="HG39" i="5"/>
  <c r="HF39" i="5"/>
  <c r="HE39" i="5"/>
  <c r="HD39" i="5"/>
  <c r="HC39" i="5"/>
  <c r="HB39" i="5"/>
  <c r="HA39" i="5"/>
  <c r="GZ39" i="5"/>
  <c r="GY39" i="5"/>
  <c r="GX39" i="5"/>
  <c r="GW39" i="5"/>
  <c r="GV39" i="5"/>
  <c r="GU39" i="5"/>
  <c r="GT39" i="5"/>
  <c r="FQ39" i="5"/>
  <c r="FP39" i="5"/>
  <c r="FO39" i="5"/>
  <c r="FN39" i="5"/>
  <c r="FJ39" i="5"/>
  <c r="FG39" i="5"/>
  <c r="FE39" i="5"/>
  <c r="FC39" i="5"/>
  <c r="ET39" i="5"/>
  <c r="EQ39" i="5"/>
  <c r="EO39" i="5"/>
  <c r="EN39" i="5"/>
  <c r="EM39" i="5"/>
  <c r="EL39" i="5"/>
  <c r="DQ39" i="5"/>
  <c r="DO39" i="5"/>
  <c r="DN39" i="5"/>
  <c r="BW39" i="5"/>
  <c r="AJ39" i="5"/>
  <c r="DR39" i="5" s="1"/>
  <c r="Q39" i="5"/>
  <c r="G39" i="5"/>
  <c r="J39" i="5" s="1"/>
  <c r="HS38" i="5"/>
  <c r="HQ38" i="5"/>
  <c r="HP38" i="5"/>
  <c r="HO38" i="5"/>
  <c r="HN38" i="5"/>
  <c r="HM38" i="5"/>
  <c r="HL38" i="5"/>
  <c r="HK38" i="5"/>
  <c r="HJ38" i="5"/>
  <c r="HI38" i="5"/>
  <c r="HH38" i="5"/>
  <c r="HG38" i="5"/>
  <c r="HF38" i="5"/>
  <c r="HE38" i="5"/>
  <c r="HD38" i="5"/>
  <c r="HC38" i="5"/>
  <c r="HB38" i="5"/>
  <c r="HA38" i="5"/>
  <c r="GZ38" i="5"/>
  <c r="GY38" i="5"/>
  <c r="GX38" i="5"/>
  <c r="GW38" i="5"/>
  <c r="GV38" i="5"/>
  <c r="GU38" i="5"/>
  <c r="GT38" i="5"/>
  <c r="FQ38" i="5"/>
  <c r="FP38" i="5"/>
  <c r="FO38" i="5"/>
  <c r="EM38" i="5"/>
  <c r="EL38" i="5"/>
  <c r="CS38" i="5"/>
  <c r="FN38" i="5" s="1"/>
  <c r="CE38" i="5"/>
  <c r="AJ38" i="5"/>
  <c r="AK38" i="5" s="1"/>
  <c r="AL38" i="5" s="1"/>
  <c r="Q38" i="5"/>
  <c r="G38" i="5"/>
  <c r="J38" i="5" s="1"/>
  <c r="HS37" i="5"/>
  <c r="HQ37" i="5"/>
  <c r="HP37" i="5"/>
  <c r="HO37" i="5"/>
  <c r="HN37" i="5"/>
  <c r="HM37" i="5"/>
  <c r="HL37" i="5"/>
  <c r="HK37" i="5"/>
  <c r="HJ37" i="5"/>
  <c r="HI37" i="5"/>
  <c r="HH37" i="5"/>
  <c r="HG37" i="5"/>
  <c r="HF37" i="5"/>
  <c r="HE37" i="5"/>
  <c r="HD37" i="5"/>
  <c r="HC37" i="5"/>
  <c r="HB37" i="5"/>
  <c r="HA37" i="5"/>
  <c r="GZ37" i="5"/>
  <c r="GY37" i="5"/>
  <c r="GX37" i="5"/>
  <c r="GW37" i="5"/>
  <c r="GV37" i="5"/>
  <c r="GU37" i="5"/>
  <c r="GT37" i="5"/>
  <c r="FQ37" i="5"/>
  <c r="FP37" i="5"/>
  <c r="FM37" i="5"/>
  <c r="FL37" i="5"/>
  <c r="FK37" i="5"/>
  <c r="FF37" i="5"/>
  <c r="FE37" i="5"/>
  <c r="FD37" i="5"/>
  <c r="FC37" i="5"/>
  <c r="EX37" i="5"/>
  <c r="EW37" i="5"/>
  <c r="EV37" i="5"/>
  <c r="EU37" i="5"/>
  <c r="EP37" i="5"/>
  <c r="EO37" i="5"/>
  <c r="EN37" i="5"/>
  <c r="EM37" i="5"/>
  <c r="EL37" i="5"/>
  <c r="DP37" i="5"/>
  <c r="DO37" i="5"/>
  <c r="DN37" i="5"/>
  <c r="DM37" i="5"/>
  <c r="FJ37" i="5"/>
  <c r="CW37" i="5"/>
  <c r="CU37" i="5"/>
  <c r="CS37" i="5"/>
  <c r="CQ37" i="5"/>
  <c r="CE37" i="5"/>
  <c r="AJ37" i="5"/>
  <c r="AK37" i="5" s="1"/>
  <c r="Q37" i="5"/>
  <c r="G37" i="5"/>
  <c r="J37" i="5" s="1"/>
  <c r="HS36" i="5"/>
  <c r="HQ36" i="5"/>
  <c r="HP36" i="5"/>
  <c r="HO36" i="5"/>
  <c r="HN36" i="5"/>
  <c r="HM36" i="5"/>
  <c r="HL36" i="5"/>
  <c r="HK36" i="5"/>
  <c r="HI36" i="5"/>
  <c r="HH36" i="5"/>
  <c r="HG36" i="5"/>
  <c r="HF36" i="5"/>
  <c r="HE36" i="5"/>
  <c r="HD36" i="5"/>
  <c r="HC36" i="5"/>
  <c r="HB36" i="5"/>
  <c r="HA36" i="5"/>
  <c r="GZ36" i="5"/>
  <c r="GY36" i="5"/>
  <c r="GX36" i="5"/>
  <c r="GW36" i="5"/>
  <c r="GV36" i="5"/>
  <c r="GU36" i="5"/>
  <c r="GT36" i="5"/>
  <c r="FQ36" i="5"/>
  <c r="FP36" i="5"/>
  <c r="FO36" i="5"/>
  <c r="EQ36" i="5"/>
  <c r="EM36" i="5"/>
  <c r="EL36" i="5"/>
  <c r="EY36" i="5"/>
  <c r="CS36" i="5"/>
  <c r="FN36" i="5" s="1"/>
  <c r="BW36" i="5"/>
  <c r="CE36" i="5" s="1"/>
  <c r="AJ36" i="5"/>
  <c r="AK36" i="5" s="1"/>
  <c r="AL36" i="5" s="1"/>
  <c r="AM36" i="5" s="1"/>
  <c r="Q36" i="5"/>
  <c r="G36" i="5"/>
  <c r="J36" i="5" s="1"/>
  <c r="HS35" i="5"/>
  <c r="HQ35" i="5"/>
  <c r="HP35" i="5"/>
  <c r="HO35" i="5"/>
  <c r="HN35" i="5"/>
  <c r="HM35" i="5"/>
  <c r="HL35" i="5"/>
  <c r="HK35" i="5"/>
  <c r="HI35" i="5"/>
  <c r="HH35" i="5"/>
  <c r="HG35" i="5"/>
  <c r="HF35" i="5"/>
  <c r="HE35" i="5"/>
  <c r="HD35" i="5"/>
  <c r="HC35" i="5"/>
  <c r="HB35" i="5"/>
  <c r="HA35" i="5"/>
  <c r="GZ35" i="5"/>
  <c r="GY35" i="5"/>
  <c r="GX35" i="5"/>
  <c r="GW35" i="5"/>
  <c r="GV35" i="5"/>
  <c r="GU35" i="5"/>
  <c r="GT35" i="5"/>
  <c r="FQ35" i="5"/>
  <c r="FP35" i="5"/>
  <c r="FO35" i="5"/>
  <c r="FN35" i="5"/>
  <c r="EM35" i="5"/>
  <c r="EL35" i="5"/>
  <c r="DQ35" i="5"/>
  <c r="EY35" i="5"/>
  <c r="BW35" i="5"/>
  <c r="HJ35" i="5" s="1"/>
  <c r="AJ35" i="5"/>
  <c r="AK35" i="5" s="1"/>
  <c r="AL35" i="5" s="1"/>
  <c r="Q35" i="5"/>
  <c r="G35" i="5"/>
  <c r="J35" i="5" s="1"/>
  <c r="HS34" i="5"/>
  <c r="HQ34" i="5"/>
  <c r="HP34" i="5"/>
  <c r="HO34" i="5"/>
  <c r="HN34" i="5"/>
  <c r="HM34" i="5"/>
  <c r="HL34" i="5"/>
  <c r="HK34" i="5"/>
  <c r="HI34" i="5"/>
  <c r="HH34" i="5"/>
  <c r="HG34" i="5"/>
  <c r="HF34" i="5"/>
  <c r="HE34" i="5"/>
  <c r="HD34" i="5"/>
  <c r="HC34" i="5"/>
  <c r="HB34" i="5"/>
  <c r="HA34" i="5"/>
  <c r="GZ34" i="5"/>
  <c r="GY34" i="5"/>
  <c r="GX34" i="5"/>
  <c r="GW34" i="5"/>
  <c r="GV34" i="5"/>
  <c r="GU34" i="5"/>
  <c r="GT34" i="5"/>
  <c r="FQ34" i="5"/>
  <c r="FP34" i="5"/>
  <c r="FO34" i="5"/>
  <c r="FN34" i="5"/>
  <c r="FM34" i="5"/>
  <c r="FL34" i="5"/>
  <c r="FK34" i="5"/>
  <c r="FE34" i="5"/>
  <c r="FD34" i="5"/>
  <c r="FC34" i="5"/>
  <c r="EX34" i="5"/>
  <c r="EW34" i="5"/>
  <c r="EV34" i="5"/>
  <c r="EU34" i="5"/>
  <c r="EP34" i="5"/>
  <c r="EO34" i="5"/>
  <c r="EN34" i="5"/>
  <c r="EM34" i="5"/>
  <c r="EL34" i="5"/>
  <c r="DP34" i="5"/>
  <c r="DO34" i="5"/>
  <c r="DN34" i="5"/>
  <c r="DM34" i="5"/>
  <c r="FJ34" i="5"/>
  <c r="BW34" i="5"/>
  <c r="HJ34" i="5" s="1"/>
  <c r="AJ34" i="5"/>
  <c r="AK34" i="5" s="1"/>
  <c r="Q34" i="5"/>
  <c r="G34" i="5"/>
  <c r="HS33" i="5"/>
  <c r="HQ33" i="5"/>
  <c r="HP33" i="5"/>
  <c r="HO33" i="5"/>
  <c r="HN33" i="5"/>
  <c r="HM33" i="5"/>
  <c r="HL33" i="5"/>
  <c r="HK33" i="5"/>
  <c r="HI33" i="5"/>
  <c r="HH33" i="5"/>
  <c r="HG33" i="5"/>
  <c r="HF33" i="5"/>
  <c r="HE33" i="5"/>
  <c r="HD33" i="5"/>
  <c r="HC33" i="5"/>
  <c r="HB33" i="5"/>
  <c r="HA33" i="5"/>
  <c r="GZ33" i="5"/>
  <c r="GY33" i="5"/>
  <c r="GX33" i="5"/>
  <c r="GW33" i="5"/>
  <c r="GV33" i="5"/>
  <c r="GU33" i="5"/>
  <c r="GT33" i="5"/>
  <c r="FQ33" i="5"/>
  <c r="FP33" i="5"/>
  <c r="FO33" i="5"/>
  <c r="FN33" i="5"/>
  <c r="FM33" i="5"/>
  <c r="FL33" i="5"/>
  <c r="FK33" i="5"/>
  <c r="FJ33" i="5"/>
  <c r="FE33" i="5"/>
  <c r="FD33" i="5"/>
  <c r="FC33" i="5"/>
  <c r="FB33" i="5"/>
  <c r="EX33" i="5"/>
  <c r="EW33" i="5"/>
  <c r="EV33" i="5"/>
  <c r="EU33" i="5"/>
  <c r="ET33" i="5"/>
  <c r="EP33" i="5"/>
  <c r="EO33" i="5"/>
  <c r="EN33" i="5"/>
  <c r="EM33" i="5"/>
  <c r="EL33" i="5"/>
  <c r="DP33" i="5"/>
  <c r="DO33" i="5"/>
  <c r="DN33" i="5"/>
  <c r="DM33" i="5"/>
  <c r="DL33" i="5"/>
  <c r="FI33" i="5"/>
  <c r="BW33" i="5"/>
  <c r="AJ33" i="5"/>
  <c r="DR33" i="5" s="1"/>
  <c r="Q33" i="5"/>
  <c r="G33" i="5"/>
  <c r="J33" i="5" s="1"/>
  <c r="HS32" i="5"/>
  <c r="HQ32" i="5"/>
  <c r="HP32" i="5"/>
  <c r="HO32" i="5"/>
  <c r="HN32" i="5"/>
  <c r="HM32" i="5"/>
  <c r="HL32" i="5"/>
  <c r="HK32" i="5"/>
  <c r="HI32" i="5"/>
  <c r="HH32" i="5"/>
  <c r="HG32" i="5"/>
  <c r="HF32" i="5"/>
  <c r="HE32" i="5"/>
  <c r="HD32" i="5"/>
  <c r="HC32" i="5"/>
  <c r="HB32" i="5"/>
  <c r="HA32" i="5"/>
  <c r="GZ32" i="5"/>
  <c r="GY32" i="5"/>
  <c r="GX32" i="5"/>
  <c r="GW32" i="5"/>
  <c r="GV32" i="5"/>
  <c r="GU32" i="5"/>
  <c r="GT32" i="5"/>
  <c r="FQ32" i="5"/>
  <c r="FP32" i="5"/>
  <c r="FO32" i="5"/>
  <c r="FN32" i="5"/>
  <c r="FK32" i="5"/>
  <c r="FJ32" i="5"/>
  <c r="FI32" i="5"/>
  <c r="FH32" i="5"/>
  <c r="FC32" i="5"/>
  <c r="FB32" i="5"/>
  <c r="FA32" i="5"/>
  <c r="EZ32" i="5"/>
  <c r="EW32" i="5"/>
  <c r="EU32" i="5"/>
  <c r="ET32" i="5"/>
  <c r="ES32" i="5"/>
  <c r="ER32" i="5"/>
  <c r="EO32" i="5"/>
  <c r="EM32" i="5"/>
  <c r="EL32" i="5"/>
  <c r="DO32" i="5"/>
  <c r="DN32" i="5"/>
  <c r="DM32" i="5"/>
  <c r="DL32" i="5"/>
  <c r="DK32" i="5"/>
  <c r="DJ32" i="5"/>
  <c r="FG32" i="5"/>
  <c r="BW32" i="5"/>
  <c r="CE32" i="5" s="1"/>
  <c r="AJ32" i="5"/>
  <c r="Q32" i="5"/>
  <c r="G32" i="5"/>
  <c r="I32" i="5" s="1"/>
  <c r="M32" i="5" s="1"/>
  <c r="HS31" i="5"/>
  <c r="HQ31" i="5"/>
  <c r="HP31" i="5"/>
  <c r="HO31" i="5"/>
  <c r="HN31" i="5"/>
  <c r="HM31" i="5"/>
  <c r="HL31" i="5"/>
  <c r="HK31" i="5"/>
  <c r="HI31" i="5"/>
  <c r="HH31" i="5"/>
  <c r="HG31" i="5"/>
  <c r="HF31" i="5"/>
  <c r="HE31" i="5"/>
  <c r="HD31" i="5"/>
  <c r="HC31" i="5"/>
  <c r="HB31" i="5"/>
  <c r="HA31" i="5"/>
  <c r="GZ31" i="5"/>
  <c r="GY31" i="5"/>
  <c r="GX31" i="5"/>
  <c r="GW31" i="5"/>
  <c r="GV31" i="5"/>
  <c r="GU31" i="5"/>
  <c r="GT31" i="5"/>
  <c r="FQ31" i="5"/>
  <c r="FP31" i="5"/>
  <c r="FO31" i="5"/>
  <c r="FN31" i="5"/>
  <c r="FJ31" i="5"/>
  <c r="FB31" i="5"/>
  <c r="EY31" i="5"/>
  <c r="EM31" i="5"/>
  <c r="EL31" i="5"/>
  <c r="FG31" i="5"/>
  <c r="BW31" i="5"/>
  <c r="CE31" i="5" s="1"/>
  <c r="AJ31" i="5"/>
  <c r="AK31" i="5" s="1"/>
  <c r="AL31" i="5" s="1"/>
  <c r="Q31" i="5"/>
  <c r="G31" i="5"/>
  <c r="J31" i="5" s="1"/>
  <c r="L31" i="5" s="1"/>
  <c r="HS30" i="5"/>
  <c r="HQ30" i="5"/>
  <c r="HP30" i="5"/>
  <c r="HO30" i="5"/>
  <c r="HN30" i="5"/>
  <c r="HM30" i="5"/>
  <c r="HL30" i="5"/>
  <c r="HK30" i="5"/>
  <c r="HI30" i="5"/>
  <c r="HH30" i="5"/>
  <c r="HG30" i="5"/>
  <c r="HF30" i="5"/>
  <c r="HE30" i="5"/>
  <c r="HD30" i="5"/>
  <c r="HC30" i="5"/>
  <c r="HB30" i="5"/>
  <c r="HA30" i="5"/>
  <c r="GZ30" i="5"/>
  <c r="GY30" i="5"/>
  <c r="GX30" i="5"/>
  <c r="GW30" i="5"/>
  <c r="GV30" i="5"/>
  <c r="GU30" i="5"/>
  <c r="GT30" i="5"/>
  <c r="FQ30" i="5"/>
  <c r="FP30" i="5"/>
  <c r="FN30" i="5"/>
  <c r="FM30" i="5"/>
  <c r="FI30" i="5"/>
  <c r="FH30" i="5"/>
  <c r="FE30" i="5"/>
  <c r="FA30" i="5"/>
  <c r="EZ30" i="5"/>
  <c r="EX30" i="5"/>
  <c r="EW30" i="5"/>
  <c r="ES30" i="5"/>
  <c r="ER30" i="5"/>
  <c r="EP30" i="5"/>
  <c r="EO30" i="5"/>
  <c r="EM30" i="5"/>
  <c r="EL30" i="5"/>
  <c r="DP30" i="5"/>
  <c r="DO30" i="5"/>
  <c r="FW30" i="5" s="1"/>
  <c r="DK30" i="5"/>
  <c r="DJ30" i="5"/>
  <c r="FG30" i="5"/>
  <c r="CW30" i="5"/>
  <c r="CV30" i="5"/>
  <c r="BW30" i="5"/>
  <c r="HJ30" i="5" s="1"/>
  <c r="AJ30" i="5"/>
  <c r="AK30" i="5" s="1"/>
  <c r="AL30" i="5" s="1"/>
  <c r="Q30" i="5"/>
  <c r="G30" i="5"/>
  <c r="J30" i="5" s="1"/>
  <c r="K30" i="5" s="1"/>
  <c r="HS29" i="5"/>
  <c r="HQ29" i="5"/>
  <c r="HP29" i="5"/>
  <c r="HO29" i="5"/>
  <c r="HN29" i="5"/>
  <c r="HM29" i="5"/>
  <c r="HL29" i="5"/>
  <c r="HK29" i="5"/>
  <c r="HI29" i="5"/>
  <c r="HH29" i="5"/>
  <c r="HG29" i="5"/>
  <c r="HF29" i="5"/>
  <c r="HE29" i="5"/>
  <c r="HD29" i="5"/>
  <c r="HC29" i="5"/>
  <c r="HB29" i="5"/>
  <c r="HA29" i="5"/>
  <c r="GZ29" i="5"/>
  <c r="GY29" i="5"/>
  <c r="GX29" i="5"/>
  <c r="GW29" i="5"/>
  <c r="GV29" i="5"/>
  <c r="GU29" i="5"/>
  <c r="GT29" i="5"/>
  <c r="FQ29" i="5"/>
  <c r="FP29" i="5"/>
  <c r="FO29" i="5"/>
  <c r="FN29" i="5"/>
  <c r="FM29" i="5"/>
  <c r="FI29" i="5"/>
  <c r="FH29" i="5"/>
  <c r="FE29" i="5"/>
  <c r="FA29" i="5"/>
  <c r="EZ29" i="5"/>
  <c r="EX29" i="5"/>
  <c r="EW29" i="5"/>
  <c r="ES29" i="5"/>
  <c r="ER29" i="5"/>
  <c r="EP29" i="5"/>
  <c r="EO29" i="5"/>
  <c r="EM29" i="5"/>
  <c r="EL29" i="5"/>
  <c r="DP29" i="5"/>
  <c r="DO29" i="5"/>
  <c r="DK29" i="5"/>
  <c r="FS29" i="5" s="1"/>
  <c r="DJ29" i="5"/>
  <c r="FG29" i="5"/>
  <c r="BW29" i="5"/>
  <c r="HJ29" i="5" s="1"/>
  <c r="AJ29" i="5"/>
  <c r="AK29" i="5" s="1"/>
  <c r="AL29" i="5" s="1"/>
  <c r="DT29" i="5" s="1"/>
  <c r="Q29" i="5"/>
  <c r="G29" i="5"/>
  <c r="J29" i="5" s="1"/>
  <c r="HS28" i="5"/>
  <c r="HQ28" i="5"/>
  <c r="HP28" i="5"/>
  <c r="HO28" i="5"/>
  <c r="HN28" i="5"/>
  <c r="HM28" i="5"/>
  <c r="HL28" i="5"/>
  <c r="HK28" i="5"/>
  <c r="HI28" i="5"/>
  <c r="HH28" i="5"/>
  <c r="HG28" i="5"/>
  <c r="HF28" i="5"/>
  <c r="HE28" i="5"/>
  <c r="HD28" i="5"/>
  <c r="HC28" i="5"/>
  <c r="HB28" i="5"/>
  <c r="HA28" i="5"/>
  <c r="GZ28" i="5"/>
  <c r="GY28" i="5"/>
  <c r="GX28" i="5"/>
  <c r="GW28" i="5"/>
  <c r="GV28" i="5"/>
  <c r="GU28" i="5"/>
  <c r="GT28" i="5"/>
  <c r="FQ28" i="5"/>
  <c r="FP28" i="5"/>
  <c r="FN28" i="5"/>
  <c r="FM28" i="5"/>
  <c r="FH28" i="5"/>
  <c r="FD28" i="5"/>
  <c r="EZ28" i="5"/>
  <c r="EY28" i="5"/>
  <c r="EW28" i="5"/>
  <c r="ER28" i="5"/>
  <c r="EP28" i="5"/>
  <c r="EO28" i="5"/>
  <c r="EN28" i="5"/>
  <c r="EM28" i="5"/>
  <c r="EL28" i="5"/>
  <c r="DP28" i="5"/>
  <c r="DO28" i="5"/>
  <c r="DN28" i="5"/>
  <c r="FV28" i="5" s="1"/>
  <c r="DL28" i="5"/>
  <c r="DJ28" i="5"/>
  <c r="CW28" i="5"/>
  <c r="CT28" i="5"/>
  <c r="FO28" i="5" s="1"/>
  <c r="BW28" i="5"/>
  <c r="FF28" i="5" s="1"/>
  <c r="AJ28" i="5"/>
  <c r="DR28" i="5" s="1"/>
  <c r="Q28" i="5"/>
  <c r="G28" i="5"/>
  <c r="J28" i="5" s="1"/>
  <c r="GJ27" i="5"/>
  <c r="GI27" i="5"/>
  <c r="GH27" i="5"/>
  <c r="GG27" i="5"/>
  <c r="GF27" i="5"/>
  <c r="GE27" i="5"/>
  <c r="GD27" i="5"/>
  <c r="GC27" i="5"/>
  <c r="GB27" i="5"/>
  <c r="GA27" i="5"/>
  <c r="FZ27" i="5"/>
  <c r="FY27" i="5"/>
  <c r="FX27" i="5"/>
  <c r="FO27" i="5"/>
  <c r="FN27" i="5"/>
  <c r="GK27" i="5"/>
  <c r="CE27" i="5"/>
  <c r="AJ27" i="5"/>
  <c r="AK27" i="5" s="1"/>
  <c r="AL27" i="5" s="1"/>
  <c r="AM27" i="5" s="1"/>
  <c r="AN27" i="5" s="1"/>
  <c r="AO27" i="5" s="1"/>
  <c r="AP27" i="5" s="1"/>
  <c r="AQ27" i="5" s="1"/>
  <c r="AR27" i="5" s="1"/>
  <c r="AS27" i="5" s="1"/>
  <c r="AT27" i="5" s="1"/>
  <c r="AU27" i="5" s="1"/>
  <c r="AV27" i="5" s="1"/>
  <c r="AW27" i="5" s="1"/>
  <c r="AX27" i="5" s="1"/>
  <c r="AY27" i="5" s="1"/>
  <c r="AZ27" i="5" s="1"/>
  <c r="BA27" i="5" s="1"/>
  <c r="R27" i="5"/>
  <c r="Q27" i="5"/>
  <c r="G27" i="5"/>
  <c r="J27" i="5" s="1"/>
  <c r="HS26" i="5"/>
  <c r="HQ26" i="5"/>
  <c r="HP26" i="5"/>
  <c r="HO26" i="5"/>
  <c r="HN26" i="5"/>
  <c r="HM26" i="5"/>
  <c r="HL26" i="5"/>
  <c r="HK26" i="5"/>
  <c r="HJ26" i="5"/>
  <c r="HI26" i="5"/>
  <c r="HH26" i="5"/>
  <c r="HG26" i="5"/>
  <c r="HF26" i="5"/>
  <c r="HE26" i="5"/>
  <c r="HD26" i="5"/>
  <c r="HC26" i="5"/>
  <c r="HB26" i="5"/>
  <c r="HA26" i="5"/>
  <c r="GZ26" i="5"/>
  <c r="GY26" i="5"/>
  <c r="GX26" i="5"/>
  <c r="GW26" i="5"/>
  <c r="GV26" i="5"/>
  <c r="GU26" i="5"/>
  <c r="GT26" i="5"/>
  <c r="FQ26" i="5"/>
  <c r="FP26" i="5"/>
  <c r="FO26" i="5"/>
  <c r="FK26" i="5"/>
  <c r="FJ26" i="5"/>
  <c r="FC26" i="5"/>
  <c r="FB26" i="5"/>
  <c r="EU26" i="5"/>
  <c r="ET26" i="5"/>
  <c r="EM26" i="5"/>
  <c r="EL26" i="5"/>
  <c r="DM26" i="5"/>
  <c r="DL26" i="5"/>
  <c r="FI26" i="5"/>
  <c r="CR26" i="5"/>
  <c r="CQ26" i="5"/>
  <c r="CO26" i="5"/>
  <c r="AJ26" i="5" s="1"/>
  <c r="CE26" i="5"/>
  <c r="Q26" i="5"/>
  <c r="G26" i="5"/>
  <c r="J26" i="5" s="1"/>
  <c r="HS25" i="5"/>
  <c r="HQ25" i="5"/>
  <c r="HP25" i="5"/>
  <c r="HO25" i="5"/>
  <c r="HN25" i="5"/>
  <c r="HM25" i="5"/>
  <c r="HL25" i="5"/>
  <c r="HK25" i="5"/>
  <c r="HJ25" i="5"/>
  <c r="HI25" i="5"/>
  <c r="HH25" i="5"/>
  <c r="HG25" i="5"/>
  <c r="HF25" i="5"/>
  <c r="HE25" i="5"/>
  <c r="HD25" i="5"/>
  <c r="HC25" i="5"/>
  <c r="HB25" i="5"/>
  <c r="HA25" i="5"/>
  <c r="GZ25" i="5"/>
  <c r="GY25" i="5"/>
  <c r="GX25" i="5"/>
  <c r="GW25" i="5"/>
  <c r="GV25" i="5"/>
  <c r="GU25" i="5"/>
  <c r="GT25" i="5"/>
  <c r="FQ25" i="5"/>
  <c r="FP25" i="5"/>
  <c r="FK25" i="5"/>
  <c r="FJ25" i="5"/>
  <c r="FC25" i="5"/>
  <c r="FB25" i="5"/>
  <c r="EU25" i="5"/>
  <c r="ET25" i="5"/>
  <c r="EM25" i="5"/>
  <c r="EL25" i="5"/>
  <c r="DO25" i="5"/>
  <c r="DM25" i="5"/>
  <c r="DL25" i="5"/>
  <c r="FI25" i="5"/>
  <c r="CX25" i="5"/>
  <c r="CV25" i="5"/>
  <c r="CQ25" i="5"/>
  <c r="FN25" i="5" s="1"/>
  <c r="CE25" i="5"/>
  <c r="AJ25" i="5"/>
  <c r="DR25" i="5" s="1"/>
  <c r="Q25" i="5"/>
  <c r="G25" i="5"/>
  <c r="J25" i="5" s="1"/>
  <c r="HS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FQ24" i="5"/>
  <c r="FP24" i="5"/>
  <c r="FO24" i="5"/>
  <c r="FK24" i="5"/>
  <c r="FJ24" i="5"/>
  <c r="FC24" i="5"/>
  <c r="FB24" i="5"/>
  <c r="EU24" i="5"/>
  <c r="ET24" i="5"/>
  <c r="EM24" i="5"/>
  <c r="EL24" i="5"/>
  <c r="DO24" i="5"/>
  <c r="DM24" i="5"/>
  <c r="DL24" i="5"/>
  <c r="FI24" i="5"/>
  <c r="CR24" i="5"/>
  <c r="FN24" i="5" s="1"/>
  <c r="CE24" i="5"/>
  <c r="AJ24" i="5"/>
  <c r="Q24" i="5"/>
  <c r="G24" i="5"/>
  <c r="J24" i="5" s="1"/>
  <c r="L24" i="5" s="1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O23" i="5"/>
  <c r="FN23" i="5"/>
  <c r="GQ23" i="5"/>
  <c r="GP23" i="5"/>
  <c r="GO23" i="5"/>
  <c r="GN23" i="5"/>
  <c r="GM23" i="5"/>
  <c r="GL23" i="5"/>
  <c r="GK23" i="5"/>
  <c r="CE23" i="5"/>
  <c r="AJ23" i="5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Q23" i="5"/>
  <c r="J23" i="5"/>
  <c r="L23" i="5" s="1"/>
  <c r="I23" i="5"/>
  <c r="HS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FQ22" i="5"/>
  <c r="FP22" i="5"/>
  <c r="FL22" i="5"/>
  <c r="FJ22" i="5"/>
  <c r="FI22" i="5"/>
  <c r="FF22" i="5"/>
  <c r="FD22" i="5"/>
  <c r="FB22" i="5"/>
  <c r="FA22" i="5"/>
  <c r="EX22" i="5"/>
  <c r="EV22" i="5"/>
  <c r="ET22" i="5"/>
  <c r="ES22" i="5"/>
  <c r="EP22" i="5"/>
  <c r="EN22" i="5"/>
  <c r="EM22" i="5"/>
  <c r="EL22" i="5"/>
  <c r="DP22" i="5"/>
  <c r="DN22" i="5"/>
  <c r="DL22" i="5"/>
  <c r="DK22" i="5"/>
  <c r="FH22" i="5"/>
  <c r="CW22" i="5"/>
  <c r="CU22" i="5"/>
  <c r="CS22" i="5"/>
  <c r="CQ22" i="5"/>
  <c r="CP22" i="5"/>
  <c r="CE22" i="5"/>
  <c r="AJ22" i="5"/>
  <c r="DR22" i="5" s="1"/>
  <c r="Q22" i="5"/>
  <c r="G22" i="5"/>
  <c r="J22" i="5" s="1"/>
  <c r="HS21" i="5"/>
  <c r="HQ21" i="5"/>
  <c r="HP21" i="5"/>
  <c r="HO21" i="5"/>
  <c r="HN21" i="5"/>
  <c r="HM21" i="5"/>
  <c r="HL21" i="5"/>
  <c r="HK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GW21" i="5"/>
  <c r="GV21" i="5"/>
  <c r="GU21" i="5"/>
  <c r="GT21" i="5"/>
  <c r="FQ21" i="5"/>
  <c r="FP21" i="5"/>
  <c r="FL21" i="5"/>
  <c r="FK21" i="5"/>
  <c r="FH21" i="5"/>
  <c r="FD21" i="5"/>
  <c r="FC21" i="5"/>
  <c r="EZ21" i="5"/>
  <c r="EX21" i="5"/>
  <c r="EV21" i="5"/>
  <c r="EU21" i="5"/>
  <c r="ER21" i="5"/>
  <c r="EP21" i="5"/>
  <c r="EN21" i="5"/>
  <c r="EM21" i="5"/>
  <c r="EL21" i="5"/>
  <c r="DP21" i="5"/>
  <c r="DN21" i="5"/>
  <c r="DM21" i="5"/>
  <c r="DJ21" i="5"/>
  <c r="FJ21" i="5"/>
  <c r="CV21" i="5"/>
  <c r="FO21" i="5" s="1"/>
  <c r="CQ21" i="5"/>
  <c r="FN21" i="5" s="1"/>
  <c r="BW21" i="5"/>
  <c r="AJ21" i="5"/>
  <c r="DR21" i="5" s="1"/>
  <c r="Q21" i="5"/>
  <c r="G21" i="5"/>
  <c r="J21" i="5" s="1"/>
  <c r="HS20" i="5"/>
  <c r="HQ20" i="5"/>
  <c r="HP20" i="5"/>
  <c r="HO20" i="5"/>
  <c r="HN20" i="5"/>
  <c r="HM20" i="5"/>
  <c r="HL20" i="5"/>
  <c r="HK20" i="5"/>
  <c r="HI20" i="5"/>
  <c r="HH20" i="5"/>
  <c r="HG20" i="5"/>
  <c r="HF20" i="5"/>
  <c r="HE20" i="5"/>
  <c r="HD20" i="5"/>
  <c r="HC20" i="5"/>
  <c r="HB20" i="5"/>
  <c r="HA20" i="5"/>
  <c r="GZ20" i="5"/>
  <c r="GY20" i="5"/>
  <c r="GX20" i="5"/>
  <c r="GW20" i="5"/>
  <c r="GV20" i="5"/>
  <c r="GU20" i="5"/>
  <c r="GT20" i="5"/>
  <c r="FQ20" i="5"/>
  <c r="FP20" i="5"/>
  <c r="FL20" i="5"/>
  <c r="FK20" i="5"/>
  <c r="FD20" i="5"/>
  <c r="FC20" i="5"/>
  <c r="EV20" i="5"/>
  <c r="EU20" i="5"/>
  <c r="EN20" i="5"/>
  <c r="EM20" i="5"/>
  <c r="EL20" i="5"/>
  <c r="DN20" i="5"/>
  <c r="DM20" i="5"/>
  <c r="FJ20" i="5"/>
  <c r="CW20" i="5"/>
  <c r="FO20" i="5" s="1"/>
  <c r="CQ20" i="5"/>
  <c r="FN20" i="5" s="1"/>
  <c r="BW20" i="5"/>
  <c r="AJ20" i="5"/>
  <c r="AK20" i="5" s="1"/>
  <c r="DS20" i="5" s="1"/>
  <c r="Q20" i="5"/>
  <c r="G20" i="5"/>
  <c r="J20" i="5" s="1"/>
  <c r="L20" i="5" s="1"/>
  <c r="HS19" i="5"/>
  <c r="HQ19" i="5"/>
  <c r="HP19" i="5"/>
  <c r="HO19" i="5"/>
  <c r="HN19" i="5"/>
  <c r="HM19" i="5"/>
  <c r="HL19" i="5"/>
  <c r="HK19" i="5"/>
  <c r="HI19" i="5"/>
  <c r="HH19" i="5"/>
  <c r="HG19" i="5"/>
  <c r="HF19" i="5"/>
  <c r="HE19" i="5"/>
  <c r="HD19" i="5"/>
  <c r="HC19" i="5"/>
  <c r="HB19" i="5"/>
  <c r="HA19" i="5"/>
  <c r="GZ19" i="5"/>
  <c r="GY19" i="5"/>
  <c r="GX19" i="5"/>
  <c r="GW19" i="5"/>
  <c r="GV19" i="5"/>
  <c r="GU19" i="5"/>
  <c r="GT19" i="5"/>
  <c r="FQ19" i="5"/>
  <c r="FP19" i="5"/>
  <c r="FO19" i="5"/>
  <c r="FN19" i="5"/>
  <c r="FL19" i="5"/>
  <c r="FK19" i="5"/>
  <c r="FD19" i="5"/>
  <c r="FC19" i="5"/>
  <c r="EV19" i="5"/>
  <c r="EU19" i="5"/>
  <c r="EN19" i="5"/>
  <c r="EM19" i="5"/>
  <c r="EL19" i="5"/>
  <c r="DN19" i="5"/>
  <c r="DM19" i="5"/>
  <c r="FJ19" i="5"/>
  <c r="BW19" i="5"/>
  <c r="HJ19" i="5" s="1"/>
  <c r="AJ19" i="5"/>
  <c r="DR19" i="5" s="1"/>
  <c r="Q19" i="5"/>
  <c r="G19" i="5"/>
  <c r="J19" i="5" s="1"/>
  <c r="HS18" i="5"/>
  <c r="HQ18" i="5"/>
  <c r="HP18" i="5"/>
  <c r="HO18" i="5"/>
  <c r="HN18" i="5"/>
  <c r="HM18" i="5"/>
  <c r="HL18" i="5"/>
  <c r="HK18" i="5"/>
  <c r="HI18" i="5"/>
  <c r="HH18" i="5"/>
  <c r="HG18" i="5"/>
  <c r="HF18" i="5"/>
  <c r="HE18" i="5"/>
  <c r="HD18" i="5"/>
  <c r="HC18" i="5"/>
  <c r="HB18" i="5"/>
  <c r="HA18" i="5"/>
  <c r="GZ18" i="5"/>
  <c r="GY18" i="5"/>
  <c r="GX18" i="5"/>
  <c r="GW18" i="5"/>
  <c r="GV18" i="5"/>
  <c r="GU18" i="5"/>
  <c r="GT18" i="5"/>
  <c r="FQ18" i="5"/>
  <c r="FP18" i="5"/>
  <c r="FO18" i="5"/>
  <c r="FN18" i="5"/>
  <c r="FM18" i="5"/>
  <c r="FK18" i="5"/>
  <c r="FJ18" i="5"/>
  <c r="FE18" i="5"/>
  <c r="FC18" i="5"/>
  <c r="FB18" i="5"/>
  <c r="EW18" i="5"/>
  <c r="EU18" i="5"/>
  <c r="ET18" i="5"/>
  <c r="EO18" i="5"/>
  <c r="EM18" i="5"/>
  <c r="EL18" i="5"/>
  <c r="DO18" i="5"/>
  <c r="DM18" i="5"/>
  <c r="DL18" i="5"/>
  <c r="BW18" i="5"/>
  <c r="HJ18" i="5" s="1"/>
  <c r="AJ18" i="5"/>
  <c r="Q18" i="5"/>
  <c r="G18" i="5"/>
  <c r="HS17" i="5"/>
  <c r="HQ17" i="5"/>
  <c r="HP17" i="5"/>
  <c r="HO17" i="5"/>
  <c r="HN17" i="5"/>
  <c r="HM17" i="5"/>
  <c r="HL17" i="5"/>
  <c r="HK17" i="5"/>
  <c r="HI17" i="5"/>
  <c r="HH17" i="5"/>
  <c r="HG17" i="5"/>
  <c r="HF17" i="5"/>
  <c r="HE17" i="5"/>
  <c r="HD17" i="5"/>
  <c r="HC17" i="5"/>
  <c r="HB17" i="5"/>
  <c r="HA17" i="5"/>
  <c r="GZ17" i="5"/>
  <c r="GY17" i="5"/>
  <c r="GX17" i="5"/>
  <c r="GW17" i="5"/>
  <c r="GV17" i="5"/>
  <c r="GU17" i="5"/>
  <c r="GT17" i="5"/>
  <c r="FQ17" i="5"/>
  <c r="FP17" i="5"/>
  <c r="FM17" i="5"/>
  <c r="FL17" i="5"/>
  <c r="FK17" i="5"/>
  <c r="FI17" i="5"/>
  <c r="FH17" i="5"/>
  <c r="FE17" i="5"/>
  <c r="FD17" i="5"/>
  <c r="FC17" i="5"/>
  <c r="FA17" i="5"/>
  <c r="EZ17" i="5"/>
  <c r="EW17" i="5"/>
  <c r="EV17" i="5"/>
  <c r="EU17" i="5"/>
  <c r="ES17" i="5"/>
  <c r="ER17" i="5"/>
  <c r="EO17" i="5"/>
  <c r="EN17" i="5"/>
  <c r="EM17" i="5"/>
  <c r="EL17" i="5"/>
  <c r="DO17" i="5"/>
  <c r="DN17" i="5"/>
  <c r="DM17" i="5"/>
  <c r="DK17" i="5"/>
  <c r="DJ17" i="5"/>
  <c r="FR17" i="5" s="1"/>
  <c r="FG17" i="5"/>
  <c r="CV17" i="5"/>
  <c r="FO17" i="5" s="1"/>
  <c r="CP17" i="5"/>
  <c r="FN17" i="5" s="1"/>
  <c r="BW17" i="5"/>
  <c r="HJ17" i="5" s="1"/>
  <c r="AJ17" i="5"/>
  <c r="Q17" i="5"/>
  <c r="G17" i="5"/>
  <c r="J17" i="5" s="1"/>
  <c r="HS16" i="5"/>
  <c r="HH16" i="5"/>
  <c r="HG16" i="5"/>
  <c r="HF16" i="5"/>
  <c r="HE16" i="5"/>
  <c r="HD16" i="5"/>
  <c r="HC16" i="5"/>
  <c r="HB16" i="5"/>
  <c r="HA16" i="5"/>
  <c r="GZ16" i="5"/>
  <c r="GY16" i="5"/>
  <c r="GX16" i="5"/>
  <c r="GW16" i="5"/>
  <c r="GV16" i="5"/>
  <c r="GU16" i="5"/>
  <c r="GT16" i="5"/>
  <c r="FQ16" i="5"/>
  <c r="FP16" i="5"/>
  <c r="FN16" i="5"/>
  <c r="FL16" i="5"/>
  <c r="FJ16" i="5"/>
  <c r="FH16" i="5"/>
  <c r="FD16" i="5"/>
  <c r="FB16" i="5"/>
  <c r="EZ16" i="5"/>
  <c r="EV16" i="5"/>
  <c r="ET16" i="5"/>
  <c r="ER16" i="5"/>
  <c r="EN16" i="5"/>
  <c r="EM16" i="5"/>
  <c r="EL16" i="5"/>
  <c r="DN16" i="5"/>
  <c r="DL16" i="5"/>
  <c r="DJ16" i="5"/>
  <c r="FI16" i="5"/>
  <c r="CE16" i="5"/>
  <c r="T16" i="5" s="1"/>
  <c r="U16" i="5" s="1"/>
  <c r="W16" i="5" s="1"/>
  <c r="AJ16" i="5"/>
  <c r="AK16" i="5" s="1"/>
  <c r="Q16" i="5"/>
  <c r="M16" i="5"/>
  <c r="N16" i="5" s="1"/>
  <c r="J16" i="5"/>
  <c r="K16" i="5" s="1"/>
  <c r="HS15" i="5"/>
  <c r="HQ15" i="5"/>
  <c r="HP15" i="5"/>
  <c r="HO15" i="5"/>
  <c r="HN15" i="5"/>
  <c r="HM15" i="5"/>
  <c r="HL15" i="5"/>
  <c r="HK15" i="5"/>
  <c r="HI15" i="5"/>
  <c r="HH15" i="5"/>
  <c r="HG15" i="5"/>
  <c r="HF15" i="5"/>
  <c r="HE15" i="5"/>
  <c r="HD15" i="5"/>
  <c r="HC15" i="5"/>
  <c r="HB15" i="5"/>
  <c r="HA15" i="5"/>
  <c r="GZ15" i="5"/>
  <c r="GY15" i="5"/>
  <c r="GX15" i="5"/>
  <c r="GW15" i="5"/>
  <c r="GV15" i="5"/>
  <c r="GU15" i="5"/>
  <c r="GT15" i="5"/>
  <c r="FQ15" i="5"/>
  <c r="FP15" i="5"/>
  <c r="FO15" i="5"/>
  <c r="FN15" i="5"/>
  <c r="FM15" i="5"/>
  <c r="FK15" i="5"/>
  <c r="FG15" i="5"/>
  <c r="FE15" i="5"/>
  <c r="FC15" i="5"/>
  <c r="EQ15" i="5"/>
  <c r="EO15" i="5"/>
  <c r="EM15" i="5"/>
  <c r="EL15" i="5"/>
  <c r="DQ15" i="5"/>
  <c r="DO15" i="5"/>
  <c r="DM15" i="5"/>
  <c r="EW15" i="5"/>
  <c r="BW15" i="5"/>
  <c r="AJ15" i="5"/>
  <c r="Q15" i="5"/>
  <c r="M15" i="5"/>
  <c r="N15" i="5" s="1"/>
  <c r="J15" i="5"/>
  <c r="K15" i="5" s="1"/>
  <c r="HS14" i="5"/>
  <c r="HQ14" i="5"/>
  <c r="HP14" i="5"/>
  <c r="HO14" i="5"/>
  <c r="HN14" i="5"/>
  <c r="HM14" i="5"/>
  <c r="HL14" i="5"/>
  <c r="HK14" i="5"/>
  <c r="HJ14" i="5"/>
  <c r="HI14" i="5"/>
  <c r="HH14" i="5"/>
  <c r="HG14" i="5"/>
  <c r="HF14" i="5"/>
  <c r="HE14" i="5"/>
  <c r="HD14" i="5"/>
  <c r="HC14" i="5"/>
  <c r="HB14" i="5"/>
  <c r="HA14" i="5"/>
  <c r="GZ14" i="5"/>
  <c r="GY14" i="5"/>
  <c r="GX14" i="5"/>
  <c r="GW14" i="5"/>
  <c r="GV14" i="5"/>
  <c r="GU14" i="5"/>
  <c r="GT14" i="5"/>
  <c r="FQ14" i="5"/>
  <c r="FP14" i="5"/>
  <c r="FO14" i="5"/>
  <c r="FL14" i="5"/>
  <c r="FJ14" i="5"/>
  <c r="FH14" i="5"/>
  <c r="FD14" i="5"/>
  <c r="FB14" i="5"/>
  <c r="EZ14" i="5"/>
  <c r="EV14" i="5"/>
  <c r="ET14" i="5"/>
  <c r="ER14" i="5"/>
  <c r="EN14" i="5"/>
  <c r="EM14" i="5"/>
  <c r="EL14" i="5"/>
  <c r="DN14" i="5"/>
  <c r="DL14" i="5"/>
  <c r="DJ14" i="5"/>
  <c r="FI14" i="5"/>
  <c r="CR14" i="5"/>
  <c r="FN14" i="5" s="1"/>
  <c r="CE14" i="5"/>
  <c r="AJ14" i="5"/>
  <c r="AK14" i="5" s="1"/>
  <c r="Q14" i="5"/>
  <c r="G14" i="5"/>
  <c r="J14" i="5" s="1"/>
  <c r="HS13" i="5"/>
  <c r="HQ13" i="5"/>
  <c r="HP13" i="5"/>
  <c r="HO13" i="5"/>
  <c r="HN13" i="5"/>
  <c r="HM13" i="5"/>
  <c r="HL13" i="5"/>
  <c r="HK13" i="5"/>
  <c r="HJ13" i="5"/>
  <c r="HI13" i="5"/>
  <c r="HH13" i="5"/>
  <c r="HG13" i="5"/>
  <c r="HF13" i="5"/>
  <c r="HE13" i="5"/>
  <c r="HD13" i="5"/>
  <c r="HC13" i="5"/>
  <c r="HB13" i="5"/>
  <c r="HA13" i="5"/>
  <c r="GZ13" i="5"/>
  <c r="GY13" i="5"/>
  <c r="GX13" i="5"/>
  <c r="GW13" i="5"/>
  <c r="GV13" i="5"/>
  <c r="GU13" i="5"/>
  <c r="GT13" i="5"/>
  <c r="FQ13" i="5"/>
  <c r="FP13" i="5"/>
  <c r="FO13" i="5"/>
  <c r="FN13" i="5"/>
  <c r="FI13" i="5"/>
  <c r="ES13" i="5"/>
  <c r="EM13" i="5"/>
  <c r="EL13" i="5"/>
  <c r="EU13" i="5"/>
  <c r="CE13" i="5"/>
  <c r="AJ13" i="5"/>
  <c r="DR13" i="5" s="1"/>
  <c r="Q13" i="5"/>
  <c r="G13" i="5"/>
  <c r="I13" i="5" s="1"/>
  <c r="M13" i="5" s="1"/>
  <c r="HS12" i="5"/>
  <c r="HQ12" i="5"/>
  <c r="HP12" i="5"/>
  <c r="HO12" i="5"/>
  <c r="HN12" i="5"/>
  <c r="HM12" i="5"/>
  <c r="HL12" i="5"/>
  <c r="HK12" i="5"/>
  <c r="HJ12" i="5"/>
  <c r="HI12" i="5"/>
  <c r="HH12" i="5"/>
  <c r="HG12" i="5"/>
  <c r="HF12" i="5"/>
  <c r="HE12" i="5"/>
  <c r="HD12" i="5"/>
  <c r="HC12" i="5"/>
  <c r="HB12" i="5"/>
  <c r="HA12" i="5"/>
  <c r="GZ12" i="5"/>
  <c r="GY12" i="5"/>
  <c r="GX12" i="5"/>
  <c r="GW12" i="5"/>
  <c r="GV12" i="5"/>
  <c r="GU12" i="5"/>
  <c r="GT12" i="5"/>
  <c r="FQ12" i="5"/>
  <c r="FP12" i="5"/>
  <c r="FO12" i="5"/>
  <c r="FN12" i="5"/>
  <c r="FI12" i="5"/>
  <c r="FE12" i="5"/>
  <c r="EY12" i="5"/>
  <c r="EO12" i="5"/>
  <c r="EM12" i="5"/>
  <c r="EL12" i="5"/>
  <c r="DQ12" i="5"/>
  <c r="DK12" i="5"/>
  <c r="ES12" i="5"/>
  <c r="CE12" i="5"/>
  <c r="AJ12" i="5"/>
  <c r="AK12" i="5" s="1"/>
  <c r="AL12" i="5" s="1"/>
  <c r="Q12" i="5"/>
  <c r="J12" i="5"/>
  <c r="I12" i="5"/>
  <c r="HS11" i="5"/>
  <c r="HQ11" i="5"/>
  <c r="HP11" i="5"/>
  <c r="HO11" i="5"/>
  <c r="HN11" i="5"/>
  <c r="HM11" i="5"/>
  <c r="HL11" i="5"/>
  <c r="HK11" i="5"/>
  <c r="HJ11" i="5"/>
  <c r="HI11" i="5"/>
  <c r="HH11" i="5"/>
  <c r="HG11" i="5"/>
  <c r="HF11" i="5"/>
  <c r="HE11" i="5"/>
  <c r="HD11" i="5"/>
  <c r="HC11" i="5"/>
  <c r="HB11" i="5"/>
  <c r="HA11" i="5"/>
  <c r="GZ11" i="5"/>
  <c r="GY11" i="5"/>
  <c r="GX11" i="5"/>
  <c r="GW11" i="5"/>
  <c r="GV11" i="5"/>
  <c r="GU11" i="5"/>
  <c r="GT11" i="5"/>
  <c r="FQ11" i="5"/>
  <c r="FP11" i="5"/>
  <c r="FO11" i="5"/>
  <c r="FN11" i="5"/>
  <c r="FL11" i="5"/>
  <c r="FJ11" i="5"/>
  <c r="FF11" i="5"/>
  <c r="FD11" i="5"/>
  <c r="FB11" i="5"/>
  <c r="EX11" i="5"/>
  <c r="EV11" i="5"/>
  <c r="ET11" i="5"/>
  <c r="EP11" i="5"/>
  <c r="EN11" i="5"/>
  <c r="EM11" i="5"/>
  <c r="EL11" i="5"/>
  <c r="DP11" i="5"/>
  <c r="DN11" i="5"/>
  <c r="DL11" i="5"/>
  <c r="FK11" i="5"/>
  <c r="CE11" i="5"/>
  <c r="AJ11" i="5"/>
  <c r="Q11" i="5"/>
  <c r="J11" i="5"/>
  <c r="K11" i="5" s="1"/>
  <c r="I11" i="5"/>
  <c r="M11" i="5" s="1"/>
  <c r="O11" i="5" s="1"/>
  <c r="HS10" i="5"/>
  <c r="HH10" i="5"/>
  <c r="HG10" i="5"/>
  <c r="HF10" i="5"/>
  <c r="HE10" i="5"/>
  <c r="HD10" i="5"/>
  <c r="HC10" i="5"/>
  <c r="HB10" i="5"/>
  <c r="HA10" i="5"/>
  <c r="GZ10" i="5"/>
  <c r="GY10" i="5"/>
  <c r="GX10" i="5"/>
  <c r="GW10" i="5"/>
  <c r="GV10" i="5"/>
  <c r="GU10" i="5"/>
  <c r="GT10" i="5"/>
  <c r="FQ10" i="5"/>
  <c r="FP10" i="5"/>
  <c r="FO10" i="5"/>
  <c r="FN10" i="5"/>
  <c r="FE10" i="5"/>
  <c r="EY10" i="5"/>
  <c r="ES10" i="5"/>
  <c r="EM10" i="5"/>
  <c r="EL10" i="5"/>
  <c r="DQ10" i="5"/>
  <c r="DK10" i="5"/>
  <c r="CE10" i="5"/>
  <c r="AJ10" i="5"/>
  <c r="DR10" i="5" s="1"/>
  <c r="Q10" i="5"/>
  <c r="J10" i="5"/>
  <c r="I10" i="5"/>
  <c r="M10" i="5" s="1"/>
  <c r="HS9" i="5"/>
  <c r="HQ9" i="5"/>
  <c r="HP9" i="5"/>
  <c r="HO9" i="5"/>
  <c r="HN9" i="5"/>
  <c r="HM9" i="5"/>
  <c r="HL9" i="5"/>
  <c r="HK9" i="5"/>
  <c r="HJ9" i="5"/>
  <c r="HI9" i="5"/>
  <c r="HH9" i="5"/>
  <c r="HG9" i="5"/>
  <c r="HF9" i="5"/>
  <c r="HE9" i="5"/>
  <c r="HD9" i="5"/>
  <c r="HC9" i="5"/>
  <c r="HB9" i="5"/>
  <c r="HA9" i="5"/>
  <c r="GZ9" i="5"/>
  <c r="GY9" i="5"/>
  <c r="GX9" i="5"/>
  <c r="GW9" i="5"/>
  <c r="GV9" i="5"/>
  <c r="GU9" i="5"/>
  <c r="GT9" i="5"/>
  <c r="FQ9" i="5"/>
  <c r="FP9" i="5"/>
  <c r="FO9" i="5"/>
  <c r="FN9" i="5"/>
  <c r="FL9" i="5"/>
  <c r="FJ9" i="5"/>
  <c r="FF9" i="5"/>
  <c r="FD9" i="5"/>
  <c r="FB9" i="5"/>
  <c r="EX9" i="5"/>
  <c r="EV9" i="5"/>
  <c r="ET9" i="5"/>
  <c r="EP9" i="5"/>
  <c r="EN9" i="5"/>
  <c r="EM9" i="5"/>
  <c r="EL9" i="5"/>
  <c r="DP9" i="5"/>
  <c r="DN9" i="5"/>
  <c r="DL9" i="5"/>
  <c r="FK9" i="5"/>
  <c r="CE9" i="5"/>
  <c r="AJ9" i="5"/>
  <c r="Q9" i="5"/>
  <c r="J9" i="5"/>
  <c r="L9" i="5" s="1"/>
  <c r="I9" i="5"/>
  <c r="M9" i="5" s="1"/>
  <c r="N9" i="5" s="1"/>
  <c r="HS8" i="5"/>
  <c r="HQ8" i="5"/>
  <c r="HP8" i="5"/>
  <c r="HO8" i="5"/>
  <c r="HN8" i="5"/>
  <c r="HM8" i="5"/>
  <c r="HL8" i="5"/>
  <c r="HK8" i="5"/>
  <c r="HJ8" i="5"/>
  <c r="HI8" i="5"/>
  <c r="HH8" i="5"/>
  <c r="HG8" i="5"/>
  <c r="HF8" i="5"/>
  <c r="HE8" i="5"/>
  <c r="HD8" i="5"/>
  <c r="HC8" i="5"/>
  <c r="HB8" i="5"/>
  <c r="HA8" i="5"/>
  <c r="GZ8" i="5"/>
  <c r="GY8" i="5"/>
  <c r="GX8" i="5"/>
  <c r="GW8" i="5"/>
  <c r="GV8" i="5"/>
  <c r="GU8" i="5"/>
  <c r="GT8" i="5"/>
  <c r="FQ8" i="5"/>
  <c r="FP8" i="5"/>
  <c r="FO8" i="5"/>
  <c r="FN8" i="5"/>
  <c r="FK8" i="5"/>
  <c r="EU8" i="5"/>
  <c r="EM8" i="5"/>
  <c r="EL8" i="5"/>
  <c r="FL8" i="5"/>
  <c r="CE8" i="5"/>
  <c r="AJ8" i="5"/>
  <c r="Q8" i="5"/>
  <c r="J8" i="5"/>
  <c r="K8" i="5" s="1"/>
  <c r="I8" i="5"/>
  <c r="M8" i="5" s="1"/>
  <c r="HS7" i="5"/>
  <c r="HQ7" i="5"/>
  <c r="HP7" i="5"/>
  <c r="HO7" i="5"/>
  <c r="HN7" i="5"/>
  <c r="HM7" i="5"/>
  <c r="HL7" i="5"/>
  <c r="HK7" i="5"/>
  <c r="HJ7" i="5"/>
  <c r="HI7" i="5"/>
  <c r="HH7" i="5"/>
  <c r="HG7" i="5"/>
  <c r="HF7" i="5"/>
  <c r="HE7" i="5"/>
  <c r="HD7" i="5"/>
  <c r="HC7" i="5"/>
  <c r="HB7" i="5"/>
  <c r="HA7" i="5"/>
  <c r="GZ7" i="5"/>
  <c r="GY7" i="5"/>
  <c r="GX7" i="5"/>
  <c r="GW7" i="5"/>
  <c r="GV7" i="5"/>
  <c r="GU7" i="5"/>
  <c r="GT7" i="5"/>
  <c r="FQ7" i="5"/>
  <c r="FP7" i="5"/>
  <c r="FO7" i="5"/>
  <c r="FN7" i="5"/>
  <c r="FL7" i="5"/>
  <c r="FF7" i="5"/>
  <c r="FC7" i="5"/>
  <c r="EZ7" i="5"/>
  <c r="ES7" i="5"/>
  <c r="EP7" i="5"/>
  <c r="EM7" i="5"/>
  <c r="EL7" i="5"/>
  <c r="DQ7" i="5"/>
  <c r="DO7" i="5"/>
  <c r="DJ7" i="5"/>
  <c r="FA7" i="5"/>
  <c r="CE7" i="5"/>
  <c r="AJ7" i="5"/>
  <c r="DR7" i="5" s="1"/>
  <c r="Q7" i="5"/>
  <c r="J7" i="5"/>
  <c r="K7" i="5" s="1"/>
  <c r="I7" i="5"/>
  <c r="HS6" i="5"/>
  <c r="HQ6" i="5"/>
  <c r="HP6" i="5"/>
  <c r="HO6" i="5"/>
  <c r="HN6" i="5"/>
  <c r="HM6" i="5"/>
  <c r="HL6" i="5"/>
  <c r="HK6" i="5"/>
  <c r="HJ6" i="5"/>
  <c r="HI6" i="5"/>
  <c r="HH6" i="5"/>
  <c r="HG6" i="5"/>
  <c r="HF6" i="5"/>
  <c r="HE6" i="5"/>
  <c r="HD6" i="5"/>
  <c r="HC6" i="5"/>
  <c r="HB6" i="5"/>
  <c r="HA6" i="5"/>
  <c r="GZ6" i="5"/>
  <c r="GY6" i="5"/>
  <c r="GX6" i="5"/>
  <c r="GW6" i="5"/>
  <c r="GV6" i="5"/>
  <c r="GU6" i="5"/>
  <c r="GT6" i="5"/>
  <c r="FQ6" i="5"/>
  <c r="FP6" i="5"/>
  <c r="FO6" i="5"/>
  <c r="FN6" i="5"/>
  <c r="FM6" i="5"/>
  <c r="FL6" i="5"/>
  <c r="FK6" i="5"/>
  <c r="FJ6" i="5"/>
  <c r="FI6" i="5"/>
  <c r="FH6" i="5"/>
  <c r="FE6" i="5"/>
  <c r="FD6" i="5"/>
  <c r="FC6" i="5"/>
  <c r="FB6" i="5"/>
  <c r="FA6" i="5"/>
  <c r="EZ6" i="5"/>
  <c r="EW6" i="5"/>
  <c r="EV6" i="5"/>
  <c r="EU6" i="5"/>
  <c r="ET6" i="5"/>
  <c r="ES6" i="5"/>
  <c r="ER6" i="5"/>
  <c r="EO6" i="5"/>
  <c r="EN6" i="5"/>
  <c r="EM6" i="5"/>
  <c r="EL6" i="5"/>
  <c r="DO6" i="5"/>
  <c r="DN6" i="5"/>
  <c r="DM6" i="5"/>
  <c r="DL6" i="5"/>
  <c r="DK6" i="5"/>
  <c r="FS6" i="5" s="1"/>
  <c r="DJ6" i="5"/>
  <c r="FR6" i="5" s="1"/>
  <c r="FG6" i="5"/>
  <c r="CE6" i="5"/>
  <c r="AJ6" i="5"/>
  <c r="DR6" i="5" s="1"/>
  <c r="Q6" i="5"/>
  <c r="J6" i="5"/>
  <c r="L6" i="5" s="1"/>
  <c r="I6" i="5"/>
  <c r="HS5" i="5"/>
  <c r="HQ5" i="5"/>
  <c r="HP5" i="5"/>
  <c r="HO5" i="5"/>
  <c r="HN5" i="5"/>
  <c r="HM5" i="5"/>
  <c r="HL5" i="5"/>
  <c r="HK5" i="5"/>
  <c r="HJ5" i="5"/>
  <c r="HI5" i="5"/>
  <c r="HH5" i="5"/>
  <c r="HG5" i="5"/>
  <c r="HF5" i="5"/>
  <c r="HE5" i="5"/>
  <c r="HD5" i="5"/>
  <c r="HC5" i="5"/>
  <c r="HB5" i="5"/>
  <c r="HA5" i="5"/>
  <c r="GZ5" i="5"/>
  <c r="GY5" i="5"/>
  <c r="GX5" i="5"/>
  <c r="GW5" i="5"/>
  <c r="GV5" i="5"/>
  <c r="GU5" i="5"/>
  <c r="GT5" i="5"/>
  <c r="FQ5" i="5"/>
  <c r="FP5" i="5"/>
  <c r="FO5" i="5"/>
  <c r="FN5" i="5"/>
  <c r="FH5" i="5"/>
  <c r="FF5" i="5"/>
  <c r="EZ5" i="5"/>
  <c r="EX5" i="5"/>
  <c r="ER5" i="5"/>
  <c r="EP5" i="5"/>
  <c r="EM5" i="5"/>
  <c r="EL5" i="5"/>
  <c r="DP5" i="5"/>
  <c r="DJ5" i="5"/>
  <c r="FM5" i="5"/>
  <c r="CE5" i="5"/>
  <c r="AJ5" i="5"/>
  <c r="AK5" i="5" s="1"/>
  <c r="AL5" i="5" s="1"/>
  <c r="DT5" i="5" s="1"/>
  <c r="GB5" i="5" s="1"/>
  <c r="Q5" i="5"/>
  <c r="J5" i="5"/>
  <c r="L5" i="5" s="1"/>
  <c r="I5" i="5"/>
  <c r="M5" i="5" s="1"/>
  <c r="CK3" i="5"/>
  <c r="CL3" i="5" s="1"/>
  <c r="CM3" i="5" s="1"/>
  <c r="CN3" i="5" s="1"/>
  <c r="CO3" i="5" s="1"/>
  <c r="CP3" i="5" s="1"/>
  <c r="CQ3" i="5" s="1"/>
  <c r="CR3" i="5" s="1"/>
  <c r="CS3" i="5" s="1"/>
  <c r="CT3" i="5" s="1"/>
  <c r="CU3" i="5" s="1"/>
  <c r="CH3" i="5"/>
  <c r="CI3" i="5" s="1"/>
  <c r="CJ2" i="5"/>
  <c r="CK2" i="5" s="1"/>
  <c r="CL2" i="5" s="1"/>
  <c r="CM2" i="5" s="1"/>
  <c r="CN2" i="5" s="1"/>
  <c r="CO2" i="5" s="1"/>
  <c r="CP2" i="5" s="1"/>
  <c r="CQ2" i="5" s="1"/>
  <c r="CR2" i="5" s="1"/>
  <c r="CS2" i="5" s="1"/>
  <c r="CT2" i="5" s="1"/>
  <c r="CU2" i="5" s="1"/>
  <c r="DG1" i="5"/>
  <c r="DF1" i="5"/>
  <c r="DE1" i="5"/>
  <c r="DD1" i="5"/>
  <c r="DC1" i="5"/>
  <c r="DB1" i="5"/>
  <c r="DA1" i="5"/>
  <c r="CZ1" i="5"/>
  <c r="CY1" i="5"/>
  <c r="CO1" i="5"/>
  <c r="CN1" i="5"/>
  <c r="CM1" i="5"/>
  <c r="CL1" i="5"/>
  <c r="CK1" i="5"/>
  <c r="CJ1" i="5"/>
  <c r="CI1" i="5"/>
  <c r="CH1" i="5"/>
  <c r="CD1" i="5"/>
  <c r="CC1" i="5"/>
  <c r="CB1" i="5"/>
  <c r="CA1" i="5"/>
  <c r="BZ1" i="5"/>
  <c r="BY1" i="5"/>
  <c r="BX1" i="5"/>
  <c r="BV1" i="5"/>
  <c r="BU1" i="5"/>
  <c r="BT1" i="5"/>
  <c r="BS1" i="5"/>
  <c r="BR1" i="5"/>
  <c r="BQ1" i="5"/>
  <c r="BP1" i="5"/>
  <c r="BO1" i="5"/>
  <c r="BN1" i="5"/>
  <c r="BM1" i="5"/>
  <c r="BL1" i="5"/>
  <c r="BJ1" i="5"/>
  <c r="BI1" i="5"/>
  <c r="BH1" i="5"/>
  <c r="BG1" i="5"/>
  <c r="BF1" i="5"/>
  <c r="BE1" i="5"/>
  <c r="AI1" i="5"/>
  <c r="AH1" i="5"/>
  <c r="AG1" i="5"/>
  <c r="AF1" i="5"/>
  <c r="AE1" i="5"/>
  <c r="AD1" i="5"/>
  <c r="AC1" i="5"/>
  <c r="AB1" i="5"/>
  <c r="P8" i="1" a="1"/>
  <c r="P8" i="1" s="1"/>
  <c r="Q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7" i="1" a="1"/>
  <c r="P7" i="1" s="1"/>
  <c r="P5" i="1" a="1"/>
  <c r="P5" i="1" s="1"/>
  <c r="Q5" i="1" s="1"/>
  <c r="P6" i="1" a="1"/>
  <c r="P6" i="1" s="1"/>
  <c r="P4" i="1" a="1"/>
  <c r="P4" i="1" s="1"/>
  <c r="O4" i="1"/>
  <c r="O5" i="1"/>
  <c r="O6" i="1"/>
  <c r="O7" i="1"/>
  <c r="O9" i="1"/>
  <c r="O8" i="1"/>
  <c r="O10" i="1"/>
  <c r="O13" i="1"/>
  <c r="Q13" i="1" s="1"/>
  <c r="O12" i="1"/>
  <c r="O14" i="1"/>
  <c r="Q14" i="1" s="1"/>
  <c r="O15" i="1"/>
  <c r="O16" i="1"/>
  <c r="Q16" i="1" s="1"/>
  <c r="O17" i="1"/>
  <c r="O19" i="1"/>
  <c r="Q19" i="1" s="1"/>
  <c r="O18" i="1"/>
  <c r="O20" i="1"/>
  <c r="Q20" i="1" s="1"/>
  <c r="O21" i="1"/>
  <c r="O22" i="1"/>
  <c r="Q22" i="1" s="1"/>
  <c r="O23" i="1"/>
  <c r="O24" i="1"/>
  <c r="Q24" i="1" s="1"/>
  <c r="O25" i="1"/>
  <c r="O11" i="1"/>
  <c r="Q11" i="1" s="1"/>
  <c r="D48" i="1"/>
  <c r="C48" i="1"/>
  <c r="C48" i="1" a="1"/>
  <c r="C47" i="1" a="1"/>
  <c r="C47" i="1" s="1"/>
  <c r="D47" i="1" s="1"/>
  <c r="D46" i="1"/>
  <c r="C46" i="1"/>
  <c r="C46" i="1" a="1"/>
  <c r="D45" i="1"/>
  <c r="C45" i="1"/>
  <c r="C45" i="1" a="1"/>
  <c r="D44" i="1"/>
  <c r="C44" i="1"/>
  <c r="C44" i="1" a="1"/>
  <c r="C43" i="1" a="1"/>
  <c r="C43" i="1" s="1"/>
  <c r="D43" i="1" s="1"/>
  <c r="C42" i="1" a="1"/>
  <c r="C42" i="1" s="1"/>
  <c r="D42" i="1" s="1"/>
  <c r="D41" i="1"/>
  <c r="C41" i="1"/>
  <c r="C41" i="1" a="1"/>
  <c r="D40" i="1"/>
  <c r="C40" i="1"/>
  <c r="C40" i="1" a="1"/>
  <c r="C39" i="1" a="1"/>
  <c r="C39" i="1" s="1"/>
  <c r="D39" i="1" s="1"/>
  <c r="C38" i="1" a="1"/>
  <c r="C38" i="1" s="1"/>
  <c r="D38" i="1" s="1"/>
  <c r="D37" i="1"/>
  <c r="C37" i="1"/>
  <c r="C37" i="1" a="1"/>
  <c r="C36" i="1" a="1"/>
  <c r="C36" i="1" s="1"/>
  <c r="D36" i="1" s="1"/>
  <c r="C35" i="1" a="1"/>
  <c r="C35" i="1" s="1"/>
  <c r="D35" i="1" s="1"/>
  <c r="C34" i="1" a="1"/>
  <c r="C34" i="1" s="1"/>
  <c r="D34" i="1" s="1"/>
  <c r="C33" i="1" a="1"/>
  <c r="C33" i="1" s="1"/>
  <c r="D33" i="1" s="1"/>
  <c r="C32" i="1" a="1"/>
  <c r="C32" i="1" s="1"/>
  <c r="D32" i="1" s="1"/>
  <c r="C31" i="1" a="1"/>
  <c r="C31" i="1" s="1"/>
  <c r="D31" i="1" s="1"/>
  <c r="C30" i="1" a="1"/>
  <c r="C30" i="1" s="1"/>
  <c r="D30" i="1" s="1"/>
  <c r="C29" i="1" a="1"/>
  <c r="C29" i="1" s="1"/>
  <c r="D29" i="1" s="1"/>
  <c r="C28" i="1" a="1"/>
  <c r="C28" i="1" s="1"/>
  <c r="D28" i="1" s="1"/>
  <c r="C27" i="1" a="1"/>
  <c r="C27" i="1" s="1"/>
  <c r="D27" i="1" s="1"/>
  <c r="D26" i="1"/>
  <c r="C26" i="1"/>
  <c r="C26" i="1" a="1"/>
  <c r="D25" i="1"/>
  <c r="C25" i="1"/>
  <c r="C25" i="1" a="1"/>
  <c r="D24" i="1"/>
  <c r="C24" i="1"/>
  <c r="C24" i="1" a="1"/>
  <c r="D23" i="1"/>
  <c r="C23" i="1"/>
  <c r="C23" i="1" a="1"/>
  <c r="D22" i="1"/>
  <c r="C22" i="1"/>
  <c r="C22" i="1" a="1"/>
  <c r="D21" i="1"/>
  <c r="C21" i="1"/>
  <c r="C21" i="1" a="1"/>
  <c r="D20" i="1"/>
  <c r="C20" i="1"/>
  <c r="C20" i="1" a="1"/>
  <c r="D19" i="1"/>
  <c r="C19" i="1"/>
  <c r="C19" i="1" a="1"/>
  <c r="D18" i="1"/>
  <c r="C18" i="1"/>
  <c r="C18" i="1" a="1"/>
  <c r="D17" i="1"/>
  <c r="C17" i="1"/>
  <c r="C17" i="1" a="1"/>
  <c r="D16" i="1"/>
  <c r="C16" i="1"/>
  <c r="C16" i="1" a="1"/>
  <c r="D15" i="1"/>
  <c r="C15" i="1"/>
  <c r="C15" i="1" a="1"/>
  <c r="D14" i="1"/>
  <c r="C14" i="1"/>
  <c r="C14" i="1" a="1"/>
  <c r="D13" i="1"/>
  <c r="C13" i="1"/>
  <c r="C13" i="1" a="1"/>
  <c r="D12" i="1"/>
  <c r="C12" i="1"/>
  <c r="C12" i="1" a="1"/>
  <c r="D11" i="1"/>
  <c r="C11" i="1"/>
  <c r="C11" i="1" a="1"/>
  <c r="D10" i="1"/>
  <c r="C10" i="1"/>
  <c r="C10" i="1" a="1"/>
  <c r="D9" i="1"/>
  <c r="C9" i="1"/>
  <c r="C9" i="1" a="1"/>
  <c r="D8" i="1"/>
  <c r="C8" i="1"/>
  <c r="C8" i="1" a="1"/>
  <c r="D7" i="1"/>
  <c r="C7" i="1"/>
  <c r="C7" i="1" a="1"/>
  <c r="D6" i="1"/>
  <c r="C6" i="1"/>
  <c r="C6" i="1" a="1"/>
  <c r="D5" i="1"/>
  <c r="C5" i="1"/>
  <c r="C5" i="1" a="1"/>
  <c r="D4" i="1"/>
  <c r="C4" i="1"/>
  <c r="C4" i="1" a="1"/>
  <c r="BK1" i="5" l="1"/>
  <c r="FX55" i="5"/>
  <c r="FS12" i="5"/>
  <c r="FY53" i="5"/>
  <c r="GA61" i="5"/>
  <c r="R70" i="5"/>
  <c r="J70" i="5"/>
  <c r="K70" i="5" s="1"/>
  <c r="FS70" i="5"/>
  <c r="AK10" i="5"/>
  <c r="AL10" i="5" s="1"/>
  <c r="DT10" i="5" s="1"/>
  <c r="J32" i="5"/>
  <c r="L32" i="5" s="1"/>
  <c r="AK43" i="5"/>
  <c r="DS43" i="5" s="1"/>
  <c r="FV58" i="5"/>
  <c r="HJ46" i="5"/>
  <c r="J69" i="5"/>
  <c r="FX9" i="5"/>
  <c r="CW1" i="5"/>
  <c r="AO47" i="5"/>
  <c r="AP47" i="5" s="1"/>
  <c r="AQ47" i="5" s="1"/>
  <c r="AR47" i="5" s="1"/>
  <c r="AS47" i="5" s="1"/>
  <c r="AT47" i="5" s="1"/>
  <c r="AU47" i="5" s="1"/>
  <c r="AV47" i="5" s="1"/>
  <c r="AW47" i="5" s="1"/>
  <c r="AX47" i="5" s="1"/>
  <c r="AY47" i="5" s="1"/>
  <c r="AZ47" i="5" s="1"/>
  <c r="BA47" i="5" s="1"/>
  <c r="I54" i="5"/>
  <c r="FX63" i="5"/>
  <c r="N72" i="5"/>
  <c r="FV72" i="5"/>
  <c r="FY73" i="5"/>
  <c r="FT74" i="5"/>
  <c r="R28" i="5"/>
  <c r="GB29" i="5"/>
  <c r="I35" i="5"/>
  <c r="FT22" i="5"/>
  <c r="FZ50" i="5"/>
  <c r="FV55" i="5"/>
  <c r="FU60" i="5"/>
  <c r="T12" i="5"/>
  <c r="U12" i="5" s="1"/>
  <c r="W12" i="5" s="1"/>
  <c r="FT63" i="5"/>
  <c r="FX71" i="5"/>
  <c r="FT9" i="5"/>
  <c r="FR65" i="5"/>
  <c r="FV73" i="5"/>
  <c r="FY74" i="5"/>
  <c r="T10" i="5"/>
  <c r="U10" i="5" s="1"/>
  <c r="W10" i="5" s="1"/>
  <c r="FZ33" i="5"/>
  <c r="AK17" i="5"/>
  <c r="AL17" i="5" s="1"/>
  <c r="DT17" i="5" s="1"/>
  <c r="FS32" i="5"/>
  <c r="I52" i="5"/>
  <c r="M52" i="5" s="1"/>
  <c r="O52" i="5" s="1"/>
  <c r="R54" i="5"/>
  <c r="I57" i="5"/>
  <c r="M57" i="5" s="1"/>
  <c r="AK58" i="5"/>
  <c r="FT60" i="5"/>
  <c r="I61" i="5"/>
  <c r="M61" i="5" s="1"/>
  <c r="N61" i="5" s="1"/>
  <c r="I68" i="5"/>
  <c r="M68" i="5" s="1"/>
  <c r="FU74" i="5"/>
  <c r="K9" i="5"/>
  <c r="FW17" i="5"/>
  <c r="I46" i="5"/>
  <c r="M46" i="5" s="1"/>
  <c r="FU61" i="5"/>
  <c r="L63" i="5"/>
  <c r="FU71" i="5"/>
  <c r="FZ72" i="5"/>
  <c r="R73" i="5"/>
  <c r="T23" i="5"/>
  <c r="U23" i="5" s="1"/>
  <c r="GA71" i="5"/>
  <c r="HC1" i="5"/>
  <c r="T6" i="5"/>
  <c r="U6" i="5" s="1"/>
  <c r="W6" i="5" s="1"/>
  <c r="CE18" i="5"/>
  <c r="I29" i="5"/>
  <c r="M29" i="5" s="1"/>
  <c r="N29" i="5" s="1"/>
  <c r="FV32" i="5"/>
  <c r="I36" i="5"/>
  <c r="M36" i="5" s="1"/>
  <c r="N36" i="5" s="1"/>
  <c r="FR70" i="5"/>
  <c r="FR72" i="5"/>
  <c r="HP1" i="5"/>
  <c r="GV1" i="5"/>
  <c r="HD1" i="5"/>
  <c r="HL1" i="5"/>
  <c r="CS1" i="5"/>
  <c r="HJ50" i="5"/>
  <c r="FS53" i="5"/>
  <c r="FX65" i="5"/>
  <c r="N11" i="5"/>
  <c r="FR14" i="5"/>
  <c r="R37" i="5"/>
  <c r="FR55" i="5"/>
  <c r="N58" i="5"/>
  <c r="FY58" i="5"/>
  <c r="FN61" i="5"/>
  <c r="FS71" i="5"/>
  <c r="FU73" i="5"/>
  <c r="FN22" i="5"/>
  <c r="FT33" i="5"/>
  <c r="FT71" i="5"/>
  <c r="J72" i="5"/>
  <c r="K72" i="5" s="1"/>
  <c r="FZ73" i="5"/>
  <c r="DR5" i="5"/>
  <c r="GW1" i="5"/>
  <c r="HE1" i="5"/>
  <c r="HM1" i="5"/>
  <c r="M6" i="5"/>
  <c r="O6" i="5" s="1"/>
  <c r="T8" i="5"/>
  <c r="U8" i="5" s="1"/>
  <c r="W8" i="5" s="1"/>
  <c r="HQ1" i="5"/>
  <c r="AK19" i="5"/>
  <c r="DS19" i="5" s="1"/>
  <c r="CE35" i="5"/>
  <c r="CU1" i="5"/>
  <c r="AK39" i="5"/>
  <c r="AL39" i="5" s="1"/>
  <c r="AM39" i="5" s="1"/>
  <c r="DU39" i="5" s="1"/>
  <c r="CR1" i="5"/>
  <c r="FX45" i="5"/>
  <c r="FV65" i="5"/>
  <c r="FR73" i="5"/>
  <c r="R74" i="5"/>
  <c r="M12" i="5"/>
  <c r="O12" i="5" s="1"/>
  <c r="FV21" i="5"/>
  <c r="FO25" i="5"/>
  <c r="FR28" i="5"/>
  <c r="DS29" i="5"/>
  <c r="GA29" i="5" s="1"/>
  <c r="CE34" i="5"/>
  <c r="I37" i="5"/>
  <c r="M37" i="5" s="1"/>
  <c r="O37" i="5" s="1"/>
  <c r="DR55" i="5"/>
  <c r="FZ55" i="5" s="1"/>
  <c r="FT56" i="5"/>
  <c r="DR60" i="5"/>
  <c r="FZ60" i="5" s="1"/>
  <c r="FU15" i="5"/>
  <c r="CE19" i="5"/>
  <c r="AK21" i="5"/>
  <c r="DS21" i="5" s="1"/>
  <c r="T42" i="5"/>
  <c r="U42" i="5" s="1"/>
  <c r="W42" i="5" s="1"/>
  <c r="I50" i="5"/>
  <c r="M50" i="5" s="1"/>
  <c r="FT50" i="5"/>
  <c r="AK67" i="5"/>
  <c r="CQ1" i="5"/>
  <c r="FW6" i="5"/>
  <c r="L16" i="5"/>
  <c r="FO22" i="5"/>
  <c r="FF30" i="5"/>
  <c r="I31" i="5"/>
  <c r="T31" i="5" s="1"/>
  <c r="U31" i="5" s="1"/>
  <c r="W31" i="5" s="1"/>
  <c r="FF34" i="5"/>
  <c r="M42" i="5"/>
  <c r="O42" i="5" s="1"/>
  <c r="N53" i="5"/>
  <c r="FT53" i="5"/>
  <c r="FX56" i="5"/>
  <c r="T58" i="5"/>
  <c r="U58" i="5" s="1"/>
  <c r="W58" i="5" s="1"/>
  <c r="FY60" i="5"/>
  <c r="R63" i="5"/>
  <c r="DR65" i="5"/>
  <c r="FZ65" i="5" s="1"/>
  <c r="FX74" i="5"/>
  <c r="T5" i="5"/>
  <c r="U5" i="5" s="1"/>
  <c r="W5" i="5" s="1"/>
  <c r="GZ1" i="5"/>
  <c r="HH1" i="5"/>
  <c r="L15" i="5"/>
  <c r="GT1" i="5"/>
  <c r="HB1" i="5"/>
  <c r="CE51" i="5"/>
  <c r="FU53" i="5"/>
  <c r="FS72" i="5"/>
  <c r="CT1" i="5"/>
  <c r="R6" i="5"/>
  <c r="HA1" i="5"/>
  <c r="HI1" i="5"/>
  <c r="L11" i="5"/>
  <c r="T13" i="5"/>
  <c r="U13" i="5" s="1"/>
  <c r="W13" i="5" s="1"/>
  <c r="O16" i="5"/>
  <c r="HK1" i="5"/>
  <c r="HJ28" i="5"/>
  <c r="FF29" i="5"/>
  <c r="CX1" i="5"/>
  <c r="GU1" i="5"/>
  <c r="HS1" i="5"/>
  <c r="FN37" i="5"/>
  <c r="J58" i="5"/>
  <c r="FR58" i="5"/>
  <c r="K61" i="5"/>
  <c r="AL71" i="5"/>
  <c r="FW72" i="5"/>
  <c r="AK73" i="5"/>
  <c r="AL73" i="5" s="1"/>
  <c r="AM73" i="5" s="1"/>
  <c r="AM31" i="5"/>
  <c r="AN31" i="5" s="1"/>
  <c r="AO31" i="5" s="1"/>
  <c r="DT31" i="5"/>
  <c r="L21" i="5"/>
  <c r="K21" i="5"/>
  <c r="L47" i="5"/>
  <c r="K47" i="5"/>
  <c r="O10" i="5"/>
  <c r="N10" i="5"/>
  <c r="DS55" i="5"/>
  <c r="GA55" i="5" s="1"/>
  <c r="AL55" i="5"/>
  <c r="DT55" i="5" s="1"/>
  <c r="GB55" i="5" s="1"/>
  <c r="K14" i="5"/>
  <c r="L14" i="5"/>
  <c r="DS70" i="5"/>
  <c r="GA70" i="5" s="1"/>
  <c r="AL70" i="5"/>
  <c r="AM70" i="5" s="1"/>
  <c r="DT12" i="5"/>
  <c r="AM12" i="5"/>
  <c r="DU12" i="5" s="1"/>
  <c r="GC12" i="5" s="1"/>
  <c r="L17" i="5"/>
  <c r="K17" i="5"/>
  <c r="N8" i="5"/>
  <c r="O8" i="5"/>
  <c r="DR26" i="5"/>
  <c r="AK26" i="5"/>
  <c r="O70" i="5"/>
  <c r="N70" i="5"/>
  <c r="DR14" i="5"/>
  <c r="FZ14" i="5" s="1"/>
  <c r="I17" i="5"/>
  <c r="CE17" i="5"/>
  <c r="I19" i="5"/>
  <c r="T19" i="5" s="1"/>
  <c r="U19" i="5" s="1"/>
  <c r="W19" i="5" s="1"/>
  <c r="I20" i="5"/>
  <c r="M20" i="5" s="1"/>
  <c r="GY1" i="5"/>
  <c r="HG1" i="5"/>
  <c r="HO1" i="5"/>
  <c r="L30" i="5"/>
  <c r="FW32" i="5"/>
  <c r="I39" i="5"/>
  <c r="M39" i="5" s="1"/>
  <c r="N42" i="5"/>
  <c r="HJ42" i="5"/>
  <c r="CE45" i="5"/>
  <c r="AK50" i="5"/>
  <c r="FV50" i="5"/>
  <c r="I51" i="5"/>
  <c r="M51" i="5" s="1"/>
  <c r="I59" i="5"/>
  <c r="R60" i="5"/>
  <c r="FY61" i="5"/>
  <c r="J67" i="5"/>
  <c r="FX67" i="5"/>
  <c r="T69" i="5"/>
  <c r="U69" i="5" s="1"/>
  <c r="W69" i="5" s="1"/>
  <c r="L70" i="5"/>
  <c r="DR70" i="5"/>
  <c r="FZ70" i="5" s="1"/>
  <c r="AK72" i="5"/>
  <c r="O9" i="5"/>
  <c r="N12" i="5"/>
  <c r="I21" i="5"/>
  <c r="M21" i="5" s="1"/>
  <c r="AK28" i="5"/>
  <c r="AL28" i="5" s="1"/>
  <c r="DT28" i="5" s="1"/>
  <c r="K31" i="5"/>
  <c r="AK33" i="5"/>
  <c r="FX33" i="5"/>
  <c r="I44" i="5"/>
  <c r="M44" i="5" s="1"/>
  <c r="AK46" i="5"/>
  <c r="AL46" i="5" s="1"/>
  <c r="K51" i="5"/>
  <c r="FZ52" i="5"/>
  <c r="AK53" i="5"/>
  <c r="FV53" i="5"/>
  <c r="I55" i="5"/>
  <c r="FN58" i="5"/>
  <c r="FX58" i="5"/>
  <c r="K59" i="5"/>
  <c r="I60" i="5"/>
  <c r="T60" i="5" s="1"/>
  <c r="U60" i="5" s="1"/>
  <c r="W60" i="5" s="1"/>
  <c r="FV60" i="5"/>
  <c r="AK62" i="5"/>
  <c r="FY67" i="5"/>
  <c r="I73" i="5"/>
  <c r="T73" i="5" s="1"/>
  <c r="U73" i="5" s="1"/>
  <c r="W73" i="5" s="1"/>
  <c r="FT73" i="5"/>
  <c r="FR74" i="5"/>
  <c r="DR74" i="5"/>
  <c r="FZ74" i="5" s="1"/>
  <c r="T7" i="5"/>
  <c r="U7" i="5" s="1"/>
  <c r="W7" i="5" s="1"/>
  <c r="FT11" i="5"/>
  <c r="AK13" i="5"/>
  <c r="I14" i="5"/>
  <c r="R17" i="5"/>
  <c r="GX1" i="5"/>
  <c r="HF1" i="5"/>
  <c r="HN1" i="5"/>
  <c r="DR29" i="5"/>
  <c r="FT42" i="5"/>
  <c r="I43" i="5"/>
  <c r="CE43" i="5"/>
  <c r="I47" i="5"/>
  <c r="I49" i="5"/>
  <c r="M49" i="5" s="1"/>
  <c r="CE50" i="5"/>
  <c r="FX50" i="5"/>
  <c r="FW53" i="5"/>
  <c r="FZ53" i="5"/>
  <c r="FT54" i="5"/>
  <c r="K55" i="5"/>
  <c r="R55" i="5"/>
  <c r="I56" i="5"/>
  <c r="FR56" i="5"/>
  <c r="FW60" i="5"/>
  <c r="I63" i="5"/>
  <c r="T63" i="5" s="1"/>
  <c r="U63" i="5" s="1"/>
  <c r="W63" i="5" s="1"/>
  <c r="J65" i="5"/>
  <c r="FV71" i="5"/>
  <c r="FS74" i="5"/>
  <c r="AJ1" i="5"/>
  <c r="FW7" i="5"/>
  <c r="CE28" i="5"/>
  <c r="DR30" i="5"/>
  <c r="R33" i="5"/>
  <c r="R34" i="5"/>
  <c r="I38" i="5"/>
  <c r="T38" i="5" s="1"/>
  <c r="U38" i="5" s="1"/>
  <c r="W38" i="5" s="1"/>
  <c r="N40" i="5"/>
  <c r="I41" i="5"/>
  <c r="T41" i="5" s="1"/>
  <c r="U41" i="5" s="1"/>
  <c r="W41" i="5" s="1"/>
  <c r="FN43" i="5"/>
  <c r="J45" i="5"/>
  <c r="FX53" i="5"/>
  <c r="FT55" i="5"/>
  <c r="K56" i="5"/>
  <c r="FX60" i="5"/>
  <c r="FW71" i="5"/>
  <c r="CV1" i="5"/>
  <c r="FZ6" i="5"/>
  <c r="FV6" i="5"/>
  <c r="L7" i="5"/>
  <c r="L8" i="5"/>
  <c r="I22" i="5"/>
  <c r="M22" i="5" s="1"/>
  <c r="O22" i="5" s="1"/>
  <c r="K24" i="5"/>
  <c r="AK25" i="5"/>
  <c r="DS25" i="5" s="1"/>
  <c r="T32" i="5"/>
  <c r="U32" i="5" s="1"/>
  <c r="W32" i="5" s="1"/>
  <c r="AK44" i="5"/>
  <c r="DS44" i="5" s="1"/>
  <c r="GA44" i="5" s="1"/>
  <c r="FR50" i="5"/>
  <c r="FS58" i="5"/>
  <c r="FT72" i="5"/>
  <c r="R72" i="5"/>
  <c r="AK6" i="5"/>
  <c r="M7" i="5"/>
  <c r="O7" i="5" s="1"/>
  <c r="T9" i="5"/>
  <c r="U9" i="5" s="1"/>
  <c r="W9" i="5" s="1"/>
  <c r="FR16" i="5"/>
  <c r="AL20" i="5"/>
  <c r="DT20" i="5" s="1"/>
  <c r="FF44" i="5"/>
  <c r="R58" i="5"/>
  <c r="FR60" i="5"/>
  <c r="FY71" i="5"/>
  <c r="FX73" i="5"/>
  <c r="BW1" i="5"/>
  <c r="CP1" i="5"/>
  <c r="T11" i="5"/>
  <c r="U11" i="5" s="1"/>
  <c r="W11" i="5" s="1"/>
  <c r="O15" i="5"/>
  <c r="FZ22" i="5"/>
  <c r="M23" i="5"/>
  <c r="O23" i="5" s="1"/>
  <c r="FN26" i="5"/>
  <c r="AN39" i="5"/>
  <c r="AO39" i="5" s="1"/>
  <c r="AP39" i="5" s="1"/>
  <c r="R39" i="5"/>
  <c r="J42" i="5"/>
  <c r="L42" i="5" s="1"/>
  <c r="FO43" i="5"/>
  <c r="CE44" i="5"/>
  <c r="K46" i="5"/>
  <c r="R47" i="5"/>
  <c r="AK48" i="5"/>
  <c r="CE49" i="5"/>
  <c r="R50" i="5"/>
  <c r="FX54" i="5"/>
  <c r="DR56" i="5"/>
  <c r="FZ56" i="5" s="1"/>
  <c r="K57" i="5"/>
  <c r="FV61" i="5"/>
  <c r="FO62" i="5"/>
  <c r="L68" i="5"/>
  <c r="FV70" i="5"/>
  <c r="N5" i="5"/>
  <c r="O5" i="5"/>
  <c r="AM5" i="5"/>
  <c r="DQ5" i="5"/>
  <c r="EQ5" i="5"/>
  <c r="EY5" i="5"/>
  <c r="FG5" i="5"/>
  <c r="K6" i="5"/>
  <c r="AK7" i="5"/>
  <c r="DP7" i="5"/>
  <c r="EN7" i="5"/>
  <c r="EV8" i="5"/>
  <c r="FF10" i="5"/>
  <c r="EX10" i="5"/>
  <c r="GB10" i="5" s="1"/>
  <c r="EP10" i="5"/>
  <c r="DP10" i="5"/>
  <c r="FL10" i="5"/>
  <c r="FD10" i="5"/>
  <c r="EV10" i="5"/>
  <c r="FZ10" i="5" s="1"/>
  <c r="EN10" i="5"/>
  <c r="DN10" i="5"/>
  <c r="FK10" i="5"/>
  <c r="FC10" i="5"/>
  <c r="EU10" i="5"/>
  <c r="FY10" i="5" s="1"/>
  <c r="DM10" i="5"/>
  <c r="FJ10" i="5"/>
  <c r="FB10" i="5"/>
  <c r="ET10" i="5"/>
  <c r="DL10" i="5"/>
  <c r="FH10" i="5"/>
  <c r="EZ10" i="5"/>
  <c r="ER10" i="5"/>
  <c r="DJ10" i="5"/>
  <c r="EW10" i="5"/>
  <c r="L12" i="5"/>
  <c r="K12" i="5"/>
  <c r="DO12" i="5"/>
  <c r="FW12" i="5" s="1"/>
  <c r="FA12" i="5"/>
  <c r="EQ13" i="5"/>
  <c r="FK13" i="5"/>
  <c r="FS17" i="5"/>
  <c r="CE20" i="5"/>
  <c r="T20" i="5" s="1"/>
  <c r="U20" i="5" s="1"/>
  <c r="W20" i="5" s="1"/>
  <c r="HJ20" i="5"/>
  <c r="FH8" i="5"/>
  <c r="EZ8" i="5"/>
  <c r="ER8" i="5"/>
  <c r="DJ8" i="5"/>
  <c r="FF8" i="5"/>
  <c r="EX8" i="5"/>
  <c r="EP8" i="5"/>
  <c r="FM8" i="5"/>
  <c r="FE8" i="5"/>
  <c r="EW8" i="5"/>
  <c r="EO8" i="5"/>
  <c r="DO8" i="5"/>
  <c r="FJ8" i="5"/>
  <c r="FB8" i="5"/>
  <c r="ET8" i="5"/>
  <c r="DL8" i="5"/>
  <c r="EY8" i="5"/>
  <c r="DS14" i="5"/>
  <c r="AL14" i="5"/>
  <c r="DS16" i="5"/>
  <c r="AL16" i="5"/>
  <c r="FF21" i="5"/>
  <c r="CE21" i="5"/>
  <c r="DK5" i="5"/>
  <c r="DS5" i="5"/>
  <c r="ES5" i="5"/>
  <c r="FA5" i="5"/>
  <c r="FI5" i="5"/>
  <c r="FM7" i="5"/>
  <c r="FE7" i="5"/>
  <c r="EW7" i="5"/>
  <c r="EO7" i="5"/>
  <c r="FJ7" i="5"/>
  <c r="FB7" i="5"/>
  <c r="ET7" i="5"/>
  <c r="DL7" i="5"/>
  <c r="FT7" i="5" s="1"/>
  <c r="FG7" i="5"/>
  <c r="EY7" i="5"/>
  <c r="EQ7" i="5"/>
  <c r="ER7" i="5"/>
  <c r="FD7" i="5"/>
  <c r="DK8" i="5"/>
  <c r="FA8" i="5"/>
  <c r="DR9" i="5"/>
  <c r="FZ9" i="5" s="1"/>
  <c r="AK9" i="5"/>
  <c r="L10" i="5"/>
  <c r="K10" i="5"/>
  <c r="DO10" i="5"/>
  <c r="FW10" i="5" s="1"/>
  <c r="FA10" i="5"/>
  <c r="DR11" i="5"/>
  <c r="AK11" i="5"/>
  <c r="DS12" i="5"/>
  <c r="FG12" i="5"/>
  <c r="DL5" i="5"/>
  <c r="FT5" i="5" s="1"/>
  <c r="ET5" i="5"/>
  <c r="FX5" i="5" s="1"/>
  <c r="FB5" i="5"/>
  <c r="FJ5" i="5"/>
  <c r="DM8" i="5"/>
  <c r="FC8" i="5"/>
  <c r="O13" i="5"/>
  <c r="N13" i="5"/>
  <c r="FH13" i="5"/>
  <c r="EZ13" i="5"/>
  <c r="ER13" i="5"/>
  <c r="DJ13" i="5"/>
  <c r="FF13" i="5"/>
  <c r="EX13" i="5"/>
  <c r="EP13" i="5"/>
  <c r="DP13" i="5"/>
  <c r="FM13" i="5"/>
  <c r="FE13" i="5"/>
  <c r="EW13" i="5"/>
  <c r="EO13" i="5"/>
  <c r="DO13" i="5"/>
  <c r="FW13" i="5" s="1"/>
  <c r="FL13" i="5"/>
  <c r="FD13" i="5"/>
  <c r="EV13" i="5"/>
  <c r="FZ13" i="5" s="1"/>
  <c r="EN13" i="5"/>
  <c r="DN13" i="5"/>
  <c r="FJ13" i="5"/>
  <c r="FB13" i="5"/>
  <c r="ET13" i="5"/>
  <c r="DL13" i="5"/>
  <c r="EY13" i="5"/>
  <c r="FF38" i="5"/>
  <c r="EX38" i="5"/>
  <c r="EP38" i="5"/>
  <c r="DP38" i="5"/>
  <c r="FM38" i="5"/>
  <c r="FE38" i="5"/>
  <c r="EW38" i="5"/>
  <c r="EO38" i="5"/>
  <c r="DO38" i="5"/>
  <c r="FL38" i="5"/>
  <c r="FD38" i="5"/>
  <c r="EV38" i="5"/>
  <c r="EN38" i="5"/>
  <c r="DN38" i="5"/>
  <c r="FK38" i="5"/>
  <c r="FC38" i="5"/>
  <c r="EU38" i="5"/>
  <c r="DM38" i="5"/>
  <c r="FJ38" i="5"/>
  <c r="FB38" i="5"/>
  <c r="ET38" i="5"/>
  <c r="DL38" i="5"/>
  <c r="FI38" i="5"/>
  <c r="FA38" i="5"/>
  <c r="ES38" i="5"/>
  <c r="DK38" i="5"/>
  <c r="FH38" i="5"/>
  <c r="EZ38" i="5"/>
  <c r="ER38" i="5"/>
  <c r="DR38" i="5"/>
  <c r="DJ38" i="5"/>
  <c r="EY38" i="5"/>
  <c r="EQ38" i="5"/>
  <c r="DQ38" i="5"/>
  <c r="FG38" i="5"/>
  <c r="K5" i="5"/>
  <c r="DM5" i="5"/>
  <c r="EU5" i="5"/>
  <c r="FC5" i="5"/>
  <c r="FK5" i="5"/>
  <c r="DP6" i="5"/>
  <c r="FX6" i="5" s="1"/>
  <c r="EP6" i="5"/>
  <c r="FT6" i="5" s="1"/>
  <c r="EX6" i="5"/>
  <c r="FF6" i="5"/>
  <c r="DK7" i="5"/>
  <c r="EU7" i="5"/>
  <c r="FY7" i="5" s="1"/>
  <c r="FH7" i="5"/>
  <c r="DN8" i="5"/>
  <c r="EN8" i="5"/>
  <c r="FD8" i="5"/>
  <c r="DS10" i="5"/>
  <c r="FG10" i="5"/>
  <c r="EQ12" i="5"/>
  <c r="FM12" i="5"/>
  <c r="J13" i="5"/>
  <c r="DK13" i="5"/>
  <c r="FA13" i="5"/>
  <c r="EU15" i="5"/>
  <c r="FY15" i="5" s="1"/>
  <c r="FV16" i="5"/>
  <c r="DN5" i="5"/>
  <c r="FV5" i="5" s="1"/>
  <c r="EN5" i="5"/>
  <c r="FR5" i="5" s="1"/>
  <c r="EV5" i="5"/>
  <c r="FZ5" i="5" s="1"/>
  <c r="FD5" i="5"/>
  <c r="FL5" i="5"/>
  <c r="DQ6" i="5"/>
  <c r="FY6" i="5" s="1"/>
  <c r="EQ6" i="5"/>
  <c r="FU6" i="5" s="1"/>
  <c r="EY6" i="5"/>
  <c r="DM7" i="5"/>
  <c r="EV7" i="5"/>
  <c r="FZ7" i="5" s="1"/>
  <c r="FI7" i="5"/>
  <c r="DR8" i="5"/>
  <c r="AK8" i="5"/>
  <c r="DP8" i="5"/>
  <c r="EQ8" i="5"/>
  <c r="FG8" i="5"/>
  <c r="EO10" i="5"/>
  <c r="FS10" i="5" s="1"/>
  <c r="FI10" i="5"/>
  <c r="FX11" i="5"/>
  <c r="DR12" i="5"/>
  <c r="DM13" i="5"/>
  <c r="FC13" i="5"/>
  <c r="FV14" i="5"/>
  <c r="HJ15" i="5"/>
  <c r="CE15" i="5"/>
  <c r="T15" i="5" s="1"/>
  <c r="U15" i="5" s="1"/>
  <c r="W15" i="5" s="1"/>
  <c r="DR16" i="5"/>
  <c r="FZ16" i="5" s="1"/>
  <c r="HJ21" i="5"/>
  <c r="L26" i="5"/>
  <c r="K26" i="5"/>
  <c r="DO5" i="5"/>
  <c r="EO5" i="5"/>
  <c r="EW5" i="5"/>
  <c r="FE5" i="5"/>
  <c r="DN7" i="5"/>
  <c r="EX7" i="5"/>
  <c r="FK7" i="5"/>
  <c r="DQ8" i="5"/>
  <c r="FY8" i="5" s="1"/>
  <c r="ES8" i="5"/>
  <c r="FI8" i="5"/>
  <c r="EQ10" i="5"/>
  <c r="FM10" i="5"/>
  <c r="FF12" i="5"/>
  <c r="EX12" i="5"/>
  <c r="EP12" i="5"/>
  <c r="DP12" i="5"/>
  <c r="FL12" i="5"/>
  <c r="FD12" i="5"/>
  <c r="EV12" i="5"/>
  <c r="EN12" i="5"/>
  <c r="R12" i="5" s="1"/>
  <c r="DN12" i="5"/>
  <c r="FK12" i="5"/>
  <c r="FC12" i="5"/>
  <c r="EU12" i="5"/>
  <c r="FY12" i="5" s="1"/>
  <c r="DM12" i="5"/>
  <c r="FJ12" i="5"/>
  <c r="FB12" i="5"/>
  <c r="ET12" i="5"/>
  <c r="DL12" i="5"/>
  <c r="FH12" i="5"/>
  <c r="EZ12" i="5"/>
  <c r="ER12" i="5"/>
  <c r="DJ12" i="5"/>
  <c r="EW12" i="5"/>
  <c r="DQ13" i="5"/>
  <c r="FY13" i="5" s="1"/>
  <c r="FG13" i="5"/>
  <c r="AK15" i="5"/>
  <c r="DR15" i="5"/>
  <c r="FL15" i="5"/>
  <c r="FD15" i="5"/>
  <c r="EV15" i="5"/>
  <c r="EN15" i="5"/>
  <c r="R15" i="5" s="1"/>
  <c r="DN15" i="5"/>
  <c r="FJ15" i="5"/>
  <c r="FB15" i="5"/>
  <c r="ET15" i="5"/>
  <c r="DL15" i="5"/>
  <c r="FI15" i="5"/>
  <c r="FA15" i="5"/>
  <c r="ES15" i="5"/>
  <c r="FW15" i="5" s="1"/>
  <c r="DK15" i="5"/>
  <c r="FS15" i="5" s="1"/>
  <c r="FH15" i="5"/>
  <c r="EZ15" i="5"/>
  <c r="ER15" i="5"/>
  <c r="DJ15" i="5"/>
  <c r="FF15" i="5"/>
  <c r="EX15" i="5"/>
  <c r="EP15" i="5"/>
  <c r="DP15" i="5"/>
  <c r="EY15" i="5"/>
  <c r="DO9" i="5"/>
  <c r="EO9" i="5"/>
  <c r="R9" i="5" s="1"/>
  <c r="EW9" i="5"/>
  <c r="FE9" i="5"/>
  <c r="FM9" i="5"/>
  <c r="DO11" i="5"/>
  <c r="EO11" i="5"/>
  <c r="R11" i="5" s="1"/>
  <c r="EW11" i="5"/>
  <c r="FE11" i="5"/>
  <c r="FM11" i="5"/>
  <c r="DM14" i="5"/>
  <c r="EU14" i="5"/>
  <c r="FC14" i="5"/>
  <c r="FK14" i="5"/>
  <c r="DM16" i="5"/>
  <c r="EU16" i="5"/>
  <c r="FC16" i="5"/>
  <c r="FK16" i="5"/>
  <c r="FV17" i="5"/>
  <c r="FI18" i="5"/>
  <c r="FA18" i="5"/>
  <c r="ES18" i="5"/>
  <c r="FW18" i="5" s="1"/>
  <c r="DK18" i="5"/>
  <c r="FS18" i="5" s="1"/>
  <c r="FH18" i="5"/>
  <c r="EZ18" i="5"/>
  <c r="ER18" i="5"/>
  <c r="DJ18" i="5"/>
  <c r="FG18" i="5"/>
  <c r="EY18" i="5"/>
  <c r="EQ18" i="5"/>
  <c r="FU18" i="5" s="1"/>
  <c r="DQ18" i="5"/>
  <c r="FY18" i="5" s="1"/>
  <c r="FL18" i="5"/>
  <c r="FD18" i="5"/>
  <c r="EV18" i="5"/>
  <c r="EN18" i="5"/>
  <c r="DN18" i="5"/>
  <c r="EP18" i="5"/>
  <c r="FT18" i="5" s="1"/>
  <c r="FF18" i="5"/>
  <c r="L22" i="5"/>
  <c r="K22" i="5"/>
  <c r="L27" i="5"/>
  <c r="K27" i="5"/>
  <c r="O32" i="5"/>
  <c r="N32" i="5"/>
  <c r="AL37" i="5"/>
  <c r="DS37" i="5"/>
  <c r="GA37" i="5" s="1"/>
  <c r="DQ9" i="5"/>
  <c r="EQ9" i="5"/>
  <c r="EY9" i="5"/>
  <c r="FG9" i="5"/>
  <c r="DQ11" i="5"/>
  <c r="EQ11" i="5"/>
  <c r="EY11" i="5"/>
  <c r="FG11" i="5"/>
  <c r="DO14" i="5"/>
  <c r="EO14" i="5"/>
  <c r="R14" i="5" s="1"/>
  <c r="EW14" i="5"/>
  <c r="FE14" i="5"/>
  <c r="FM14" i="5"/>
  <c r="DO16" i="5"/>
  <c r="EO16" i="5"/>
  <c r="R16" i="5" s="1"/>
  <c r="EW16" i="5"/>
  <c r="FE16" i="5"/>
  <c r="FM16" i="5"/>
  <c r="DR17" i="5"/>
  <c r="FZ17" i="5" s="1"/>
  <c r="FZ21" i="5"/>
  <c r="L28" i="5"/>
  <c r="K28" i="5"/>
  <c r="FT28" i="5"/>
  <c r="DJ9" i="5"/>
  <c r="FR9" i="5" s="1"/>
  <c r="ER9" i="5"/>
  <c r="FV9" i="5" s="1"/>
  <c r="EZ9" i="5"/>
  <c r="FH9" i="5"/>
  <c r="DJ11" i="5"/>
  <c r="ER11" i="5"/>
  <c r="EZ11" i="5"/>
  <c r="FH11" i="5"/>
  <c r="DP14" i="5"/>
  <c r="FX14" i="5" s="1"/>
  <c r="EP14" i="5"/>
  <c r="FT14" i="5" s="1"/>
  <c r="EX14" i="5"/>
  <c r="FF14" i="5"/>
  <c r="DP16" i="5"/>
  <c r="EP16" i="5"/>
  <c r="EX16" i="5"/>
  <c r="FF16" i="5"/>
  <c r="DR18" i="5"/>
  <c r="AK18" i="5"/>
  <c r="DR24" i="5"/>
  <c r="AK24" i="5"/>
  <c r="I28" i="5"/>
  <c r="J34" i="5"/>
  <c r="I34" i="5"/>
  <c r="DK9" i="5"/>
  <c r="ES9" i="5"/>
  <c r="FA9" i="5"/>
  <c r="FI9" i="5"/>
  <c r="DK11" i="5"/>
  <c r="ES11" i="5"/>
  <c r="FA11" i="5"/>
  <c r="FI11" i="5"/>
  <c r="DQ14" i="5"/>
  <c r="EQ14" i="5"/>
  <c r="EY14" i="5"/>
  <c r="FG14" i="5"/>
  <c r="DQ16" i="5"/>
  <c r="EQ16" i="5"/>
  <c r="EY16" i="5"/>
  <c r="FG16" i="5"/>
  <c r="J18" i="5"/>
  <c r="I18" i="5"/>
  <c r="DP18" i="5"/>
  <c r="FX18" i="5" s="1"/>
  <c r="EX18" i="5"/>
  <c r="FZ19" i="5"/>
  <c r="FX22" i="5"/>
  <c r="L29" i="5"/>
  <c r="K29" i="5"/>
  <c r="DM9" i="5"/>
  <c r="EU9" i="5"/>
  <c r="FC9" i="5"/>
  <c r="DM11" i="5"/>
  <c r="EU11" i="5"/>
  <c r="FC11" i="5"/>
  <c r="DK14" i="5"/>
  <c r="ES14" i="5"/>
  <c r="FA14" i="5"/>
  <c r="DK16" i="5"/>
  <c r="ES16" i="5"/>
  <c r="FA16" i="5"/>
  <c r="L19" i="5"/>
  <c r="K19" i="5"/>
  <c r="FR21" i="5"/>
  <c r="L25" i="5"/>
  <c r="K25" i="5"/>
  <c r="DL17" i="5"/>
  <c r="ET17" i="5"/>
  <c r="FB17" i="5"/>
  <c r="FJ17" i="5"/>
  <c r="DO19" i="5"/>
  <c r="EO19" i="5"/>
  <c r="R19" i="5" s="1"/>
  <c r="EW19" i="5"/>
  <c r="FE19" i="5"/>
  <c r="FM19" i="5"/>
  <c r="DO20" i="5"/>
  <c r="EO20" i="5"/>
  <c r="R20" i="5" s="1"/>
  <c r="EW20" i="5"/>
  <c r="GA20" i="5" s="1"/>
  <c r="FE20" i="5"/>
  <c r="FM20" i="5"/>
  <c r="DO21" i="5"/>
  <c r="EO21" i="5"/>
  <c r="R21" i="5" s="1"/>
  <c r="EW21" i="5"/>
  <c r="FE21" i="5"/>
  <c r="FM21" i="5"/>
  <c r="DM22" i="5"/>
  <c r="EU22" i="5"/>
  <c r="FC22" i="5"/>
  <c r="FK22" i="5"/>
  <c r="DN24" i="5"/>
  <c r="EN24" i="5"/>
  <c r="EV24" i="5"/>
  <c r="FD24" i="5"/>
  <c r="FL24" i="5"/>
  <c r="DN25" i="5"/>
  <c r="EN25" i="5"/>
  <c r="EV25" i="5"/>
  <c r="FZ25" i="5" s="1"/>
  <c r="FD25" i="5"/>
  <c r="FL25" i="5"/>
  <c r="DN26" i="5"/>
  <c r="EN26" i="5"/>
  <c r="EV26" i="5"/>
  <c r="FZ26" i="5" s="1"/>
  <c r="FD26" i="5"/>
  <c r="FL26" i="5"/>
  <c r="FK28" i="5"/>
  <c r="FC28" i="5"/>
  <c r="EU28" i="5"/>
  <c r="FJ28" i="5"/>
  <c r="FB28" i="5"/>
  <c r="ET28" i="5"/>
  <c r="FX28" i="5" s="1"/>
  <c r="FI28" i="5"/>
  <c r="FA28" i="5"/>
  <c r="ES28" i="5"/>
  <c r="FW28" i="5" s="1"/>
  <c r="DQ28" i="5"/>
  <c r="EQ28" i="5"/>
  <c r="FE28" i="5"/>
  <c r="FW29" i="5"/>
  <c r="FS30" i="5"/>
  <c r="O36" i="5"/>
  <c r="O39" i="5"/>
  <c r="N39" i="5"/>
  <c r="DP19" i="5"/>
  <c r="EP19" i="5"/>
  <c r="EX19" i="5"/>
  <c r="FF19" i="5"/>
  <c r="DP20" i="5"/>
  <c r="EP20" i="5"/>
  <c r="EX20" i="5"/>
  <c r="FF20" i="5"/>
  <c r="EO24" i="5"/>
  <c r="EW24" i="5"/>
  <c r="FE24" i="5"/>
  <c r="FM24" i="5"/>
  <c r="EO25" i="5"/>
  <c r="EW25" i="5"/>
  <c r="FE25" i="5"/>
  <c r="FM25" i="5"/>
  <c r="DO26" i="5"/>
  <c r="EO26" i="5"/>
  <c r="EW26" i="5"/>
  <c r="FE26" i="5"/>
  <c r="FM26" i="5"/>
  <c r="DR32" i="5"/>
  <c r="AK32" i="5"/>
  <c r="AL34" i="5"/>
  <c r="DS34" i="5"/>
  <c r="GA34" i="5" s="1"/>
  <c r="AM35" i="5"/>
  <c r="DT35" i="5"/>
  <c r="L36" i="5"/>
  <c r="K36" i="5"/>
  <c r="L39" i="5"/>
  <c r="K39" i="5"/>
  <c r="CE39" i="5"/>
  <c r="T39" i="5" s="1"/>
  <c r="U39" i="5" s="1"/>
  <c r="W39" i="5" s="1"/>
  <c r="HJ39" i="5"/>
  <c r="DQ19" i="5"/>
  <c r="FY19" i="5" s="1"/>
  <c r="EQ19" i="5"/>
  <c r="FU19" i="5" s="1"/>
  <c r="EY19" i="5"/>
  <c r="FG19" i="5"/>
  <c r="DQ20" i="5"/>
  <c r="FY20" i="5" s="1"/>
  <c r="EQ20" i="5"/>
  <c r="FU20" i="5" s="1"/>
  <c r="EY20" i="5"/>
  <c r="FG20" i="5"/>
  <c r="DQ21" i="5"/>
  <c r="FY21" i="5" s="1"/>
  <c r="EQ21" i="5"/>
  <c r="FU21" i="5" s="1"/>
  <c r="EY21" i="5"/>
  <c r="FG21" i="5"/>
  <c r="DO22" i="5"/>
  <c r="FW22" i="5" s="1"/>
  <c r="EO22" i="5"/>
  <c r="R22" i="5" s="1"/>
  <c r="EW22" i="5"/>
  <c r="FE22" i="5"/>
  <c r="FM22" i="5"/>
  <c r="DP24" i="5"/>
  <c r="FX24" i="5" s="1"/>
  <c r="EP24" i="5"/>
  <c r="FT24" i="5" s="1"/>
  <c r="EX24" i="5"/>
  <c r="FF24" i="5"/>
  <c r="I25" i="5"/>
  <c r="DP25" i="5"/>
  <c r="FX25" i="5" s="1"/>
  <c r="EP25" i="5"/>
  <c r="FT25" i="5" s="1"/>
  <c r="EX25" i="5"/>
  <c r="FF25" i="5"/>
  <c r="I26" i="5"/>
  <c r="DP26" i="5"/>
  <c r="FX26" i="5" s="1"/>
  <c r="EP26" i="5"/>
  <c r="FT26" i="5" s="1"/>
  <c r="EX26" i="5"/>
  <c r="FF26" i="5"/>
  <c r="I27" i="5"/>
  <c r="DK28" i="5"/>
  <c r="FS28" i="5" s="1"/>
  <c r="EV28" i="5"/>
  <c r="FZ28" i="5" s="1"/>
  <c r="FG28" i="5"/>
  <c r="AM30" i="5"/>
  <c r="DT30" i="5"/>
  <c r="GB30" i="5" s="1"/>
  <c r="AM38" i="5"/>
  <c r="DT38" i="5"/>
  <c r="DJ19" i="5"/>
  <c r="FR19" i="5" s="1"/>
  <c r="ER19" i="5"/>
  <c r="FV19" i="5" s="1"/>
  <c r="EZ19" i="5"/>
  <c r="FH19" i="5"/>
  <c r="K20" i="5"/>
  <c r="DJ20" i="5"/>
  <c r="FR20" i="5" s="1"/>
  <c r="DR20" i="5"/>
  <c r="FZ20" i="5" s="1"/>
  <c r="ER20" i="5"/>
  <c r="FV20" i="5" s="1"/>
  <c r="EZ20" i="5"/>
  <c r="FH20" i="5"/>
  <c r="DQ24" i="5"/>
  <c r="FY24" i="5" s="1"/>
  <c r="EQ24" i="5"/>
  <c r="FU24" i="5" s="1"/>
  <c r="EY24" i="5"/>
  <c r="FG24" i="5"/>
  <c r="DQ25" i="5"/>
  <c r="FY25" i="5" s="1"/>
  <c r="EQ25" i="5"/>
  <c r="FU25" i="5" s="1"/>
  <c r="EY25" i="5"/>
  <c r="FG25" i="5"/>
  <c r="DQ26" i="5"/>
  <c r="FY26" i="5" s="1"/>
  <c r="EQ26" i="5"/>
  <c r="FU26" i="5" s="1"/>
  <c r="EY26" i="5"/>
  <c r="FG26" i="5"/>
  <c r="FI31" i="5"/>
  <c r="FA31" i="5"/>
  <c r="ES31" i="5"/>
  <c r="DS31" i="5"/>
  <c r="DK31" i="5"/>
  <c r="FH31" i="5"/>
  <c r="EZ31" i="5"/>
  <c r="ER31" i="5"/>
  <c r="DR31" i="5"/>
  <c r="DJ31" i="5"/>
  <c r="FF31" i="5"/>
  <c r="EX31" i="5"/>
  <c r="EP31" i="5"/>
  <c r="DP31" i="5"/>
  <c r="FM31" i="5"/>
  <c r="FE31" i="5"/>
  <c r="EW31" i="5"/>
  <c r="EO31" i="5"/>
  <c r="DO31" i="5"/>
  <c r="FW31" i="5" s="1"/>
  <c r="FL31" i="5"/>
  <c r="FD31" i="5"/>
  <c r="EV31" i="5"/>
  <c r="EN31" i="5"/>
  <c r="DN31" i="5"/>
  <c r="FV31" i="5" s="1"/>
  <c r="FK31" i="5"/>
  <c r="FC31" i="5"/>
  <c r="EU31" i="5"/>
  <c r="DM31" i="5"/>
  <c r="FF36" i="5"/>
  <c r="EX36" i="5"/>
  <c r="EP36" i="5"/>
  <c r="DP36" i="5"/>
  <c r="FM36" i="5"/>
  <c r="FE36" i="5"/>
  <c r="EW36" i="5"/>
  <c r="EO36" i="5"/>
  <c r="DO36" i="5"/>
  <c r="FL36" i="5"/>
  <c r="FD36" i="5"/>
  <c r="EV36" i="5"/>
  <c r="EN36" i="5"/>
  <c r="DN36" i="5"/>
  <c r="FK36" i="5"/>
  <c r="FC36" i="5"/>
  <c r="EU36" i="5"/>
  <c r="DM36" i="5"/>
  <c r="FU36" i="5" s="1"/>
  <c r="FJ36" i="5"/>
  <c r="FB36" i="5"/>
  <c r="ET36" i="5"/>
  <c r="DL36" i="5"/>
  <c r="FI36" i="5"/>
  <c r="FA36" i="5"/>
  <c r="ES36" i="5"/>
  <c r="DK36" i="5"/>
  <c r="FH36" i="5"/>
  <c r="EZ36" i="5"/>
  <c r="ER36" i="5"/>
  <c r="DR36" i="5"/>
  <c r="DJ36" i="5"/>
  <c r="FG36" i="5"/>
  <c r="DP17" i="5"/>
  <c r="EP17" i="5"/>
  <c r="EX17" i="5"/>
  <c r="FF17" i="5"/>
  <c r="DK19" i="5"/>
  <c r="ES19" i="5"/>
  <c r="FA19" i="5"/>
  <c r="FI19" i="5"/>
  <c r="DK20" i="5"/>
  <c r="ES20" i="5"/>
  <c r="FA20" i="5"/>
  <c r="FI20" i="5"/>
  <c r="DK21" i="5"/>
  <c r="ES21" i="5"/>
  <c r="FA21" i="5"/>
  <c r="FI21" i="5"/>
  <c r="DQ22" i="5"/>
  <c r="EQ22" i="5"/>
  <c r="EY22" i="5"/>
  <c r="FG22" i="5"/>
  <c r="K23" i="5"/>
  <c r="I24" i="5"/>
  <c r="DJ24" i="5"/>
  <c r="ER24" i="5"/>
  <c r="EZ24" i="5"/>
  <c r="FH24" i="5"/>
  <c r="DJ25" i="5"/>
  <c r="ER25" i="5"/>
  <c r="EZ25" i="5"/>
  <c r="FH25" i="5"/>
  <c r="DJ26" i="5"/>
  <c r="ER26" i="5"/>
  <c r="EZ26" i="5"/>
  <c r="FH26" i="5"/>
  <c r="DM28" i="5"/>
  <c r="EX28" i="5"/>
  <c r="FL28" i="5"/>
  <c r="AM29" i="5"/>
  <c r="CE29" i="5"/>
  <c r="I30" i="5"/>
  <c r="FO30" i="5"/>
  <c r="DS30" i="5"/>
  <c r="GA30" i="5" s="1"/>
  <c r="DL31" i="5"/>
  <c r="EQ31" i="5"/>
  <c r="L35" i="5"/>
  <c r="K35" i="5"/>
  <c r="EQ35" i="5"/>
  <c r="DQ36" i="5"/>
  <c r="L37" i="5"/>
  <c r="K37" i="5"/>
  <c r="DQ17" i="5"/>
  <c r="FY17" i="5" s="1"/>
  <c r="EQ17" i="5"/>
  <c r="FU17" i="5" s="1"/>
  <c r="EY17" i="5"/>
  <c r="DL19" i="5"/>
  <c r="ET19" i="5"/>
  <c r="FB19" i="5"/>
  <c r="DL20" i="5"/>
  <c r="ET20" i="5"/>
  <c r="FB20" i="5"/>
  <c r="DL21" i="5"/>
  <c r="FT21" i="5" s="1"/>
  <c r="ET21" i="5"/>
  <c r="FX21" i="5" s="1"/>
  <c r="FB21" i="5"/>
  <c r="AK22" i="5"/>
  <c r="DJ22" i="5"/>
  <c r="FR22" i="5" s="1"/>
  <c r="ER22" i="5"/>
  <c r="FV22" i="5" s="1"/>
  <c r="EZ22" i="5"/>
  <c r="DK24" i="5"/>
  <c r="ES24" i="5"/>
  <c r="FW24" i="5" s="1"/>
  <c r="FA24" i="5"/>
  <c r="DK25" i="5"/>
  <c r="ES25" i="5"/>
  <c r="FW25" i="5" s="1"/>
  <c r="FA25" i="5"/>
  <c r="DK26" i="5"/>
  <c r="ES26" i="5"/>
  <c r="FA26" i="5"/>
  <c r="DQ31" i="5"/>
  <c r="ET31" i="5"/>
  <c r="HJ33" i="5"/>
  <c r="FF33" i="5"/>
  <c r="CE33" i="5"/>
  <c r="M35" i="5"/>
  <c r="T35" i="5"/>
  <c r="U35" i="5" s="1"/>
  <c r="W35" i="5" s="1"/>
  <c r="DS36" i="5"/>
  <c r="FO37" i="5"/>
  <c r="L38" i="5"/>
  <c r="K38" i="5"/>
  <c r="K41" i="5"/>
  <c r="L41" i="5"/>
  <c r="L33" i="5"/>
  <c r="K33" i="5"/>
  <c r="FF35" i="5"/>
  <c r="EX35" i="5"/>
  <c r="EP35" i="5"/>
  <c r="DP35" i="5"/>
  <c r="FM35" i="5"/>
  <c r="FE35" i="5"/>
  <c r="EW35" i="5"/>
  <c r="EO35" i="5"/>
  <c r="DO35" i="5"/>
  <c r="FL35" i="5"/>
  <c r="FD35" i="5"/>
  <c r="EV35" i="5"/>
  <c r="EN35" i="5"/>
  <c r="DN35" i="5"/>
  <c r="FK35" i="5"/>
  <c r="FC35" i="5"/>
  <c r="EU35" i="5"/>
  <c r="FY35" i="5" s="1"/>
  <c r="DM35" i="5"/>
  <c r="FJ35" i="5"/>
  <c r="FB35" i="5"/>
  <c r="ET35" i="5"/>
  <c r="DL35" i="5"/>
  <c r="FI35" i="5"/>
  <c r="FA35" i="5"/>
  <c r="ES35" i="5"/>
  <c r="DK35" i="5"/>
  <c r="FH35" i="5"/>
  <c r="EZ35" i="5"/>
  <c r="ER35" i="5"/>
  <c r="DR35" i="5"/>
  <c r="DJ35" i="5"/>
  <c r="FG35" i="5"/>
  <c r="AN36" i="5"/>
  <c r="DU36" i="5"/>
  <c r="GC36" i="5" s="1"/>
  <c r="M38" i="5"/>
  <c r="HJ48" i="5"/>
  <c r="CE48" i="5"/>
  <c r="FF48" i="5"/>
  <c r="DL29" i="5"/>
  <c r="FT29" i="5" s="1"/>
  <c r="ET29" i="5"/>
  <c r="FX29" i="5" s="1"/>
  <c r="FB29" i="5"/>
  <c r="FJ29" i="5"/>
  <c r="DL30" i="5"/>
  <c r="FT30" i="5" s="1"/>
  <c r="ET30" i="5"/>
  <c r="FX30" i="5" s="1"/>
  <c r="FB30" i="5"/>
  <c r="FJ30" i="5"/>
  <c r="EN32" i="5"/>
  <c r="R32" i="5" s="1"/>
  <c r="EV32" i="5"/>
  <c r="FD32" i="5"/>
  <c r="FL32" i="5"/>
  <c r="HJ32" i="5"/>
  <c r="DQ34" i="5"/>
  <c r="FY34" i="5" s="1"/>
  <c r="EQ34" i="5"/>
  <c r="FU34" i="5" s="1"/>
  <c r="EY34" i="5"/>
  <c r="FG34" i="5"/>
  <c r="DQ37" i="5"/>
  <c r="FY37" i="5" s="1"/>
  <c r="EQ37" i="5"/>
  <c r="FU37" i="5" s="1"/>
  <c r="EY37" i="5"/>
  <c r="FG37" i="5"/>
  <c r="FI39" i="5"/>
  <c r="FA39" i="5"/>
  <c r="ES39" i="5"/>
  <c r="FW39" i="5" s="1"/>
  <c r="DK39" i="5"/>
  <c r="FS39" i="5" s="1"/>
  <c r="FH39" i="5"/>
  <c r="EZ39" i="5"/>
  <c r="ER39" i="5"/>
  <c r="FV39" i="5" s="1"/>
  <c r="FF39" i="5"/>
  <c r="EX39" i="5"/>
  <c r="EP39" i="5"/>
  <c r="DP39" i="5"/>
  <c r="FX39" i="5" s="1"/>
  <c r="FL39" i="5"/>
  <c r="FD39" i="5"/>
  <c r="EV39" i="5"/>
  <c r="FZ39" i="5" s="1"/>
  <c r="DT39" i="5"/>
  <c r="EU39" i="5"/>
  <c r="FY39" i="5" s="1"/>
  <c r="FK39" i="5"/>
  <c r="DS40" i="5"/>
  <c r="FC40" i="5"/>
  <c r="M41" i="5"/>
  <c r="DR41" i="5"/>
  <c r="FZ41" i="5" s="1"/>
  <c r="FG41" i="5"/>
  <c r="DM29" i="5"/>
  <c r="EU29" i="5"/>
  <c r="FC29" i="5"/>
  <c r="FK29" i="5"/>
  <c r="DM30" i="5"/>
  <c r="EU30" i="5"/>
  <c r="FC30" i="5"/>
  <c r="FK30" i="5"/>
  <c r="HJ31" i="5"/>
  <c r="FE32" i="5"/>
  <c r="FM32" i="5"/>
  <c r="DQ33" i="5"/>
  <c r="FY33" i="5" s="1"/>
  <c r="EQ33" i="5"/>
  <c r="FU33" i="5" s="1"/>
  <c r="EY33" i="5"/>
  <c r="FG33" i="5"/>
  <c r="DJ34" i="5"/>
  <c r="FR34" i="5" s="1"/>
  <c r="DR34" i="5"/>
  <c r="FZ34" i="5" s="1"/>
  <c r="ER34" i="5"/>
  <c r="FV34" i="5" s="1"/>
  <c r="EZ34" i="5"/>
  <c r="FH34" i="5"/>
  <c r="DS35" i="5"/>
  <c r="DJ37" i="5"/>
  <c r="FR37" i="5" s="1"/>
  <c r="DR37" i="5"/>
  <c r="FZ37" i="5" s="1"/>
  <c r="ER37" i="5"/>
  <c r="FV37" i="5" s="1"/>
  <c r="EZ37" i="5"/>
  <c r="FH37" i="5"/>
  <c r="DS38" i="5"/>
  <c r="DJ39" i="5"/>
  <c r="FR39" i="5" s="1"/>
  <c r="EW39" i="5"/>
  <c r="FM39" i="5"/>
  <c r="DU40" i="5"/>
  <c r="FE40" i="5"/>
  <c r="EO41" i="5"/>
  <c r="FK41" i="5"/>
  <c r="HJ41" i="5"/>
  <c r="DR42" i="5"/>
  <c r="FZ42" i="5" s="1"/>
  <c r="AK42" i="5"/>
  <c r="DN29" i="5"/>
  <c r="FV29" i="5" s="1"/>
  <c r="EN29" i="5"/>
  <c r="R29" i="5" s="1"/>
  <c r="EV29" i="5"/>
  <c r="FD29" i="5"/>
  <c r="FL29" i="5"/>
  <c r="CE30" i="5"/>
  <c r="DN30" i="5"/>
  <c r="FV30" i="5" s="1"/>
  <c r="EN30" i="5"/>
  <c r="R30" i="5" s="1"/>
  <c r="EV30" i="5"/>
  <c r="FD30" i="5"/>
  <c r="FL30" i="5"/>
  <c r="DP32" i="5"/>
  <c r="FX32" i="5" s="1"/>
  <c r="EP32" i="5"/>
  <c r="FT32" i="5" s="1"/>
  <c r="EX32" i="5"/>
  <c r="FF32" i="5"/>
  <c r="I33" i="5"/>
  <c r="DJ33" i="5"/>
  <c r="FR33" i="5" s="1"/>
  <c r="ER33" i="5"/>
  <c r="FV33" i="5" s="1"/>
  <c r="EZ33" i="5"/>
  <c r="FH33" i="5"/>
  <c r="DK34" i="5"/>
  <c r="FS34" i="5" s="1"/>
  <c r="ES34" i="5"/>
  <c r="FW34" i="5" s="1"/>
  <c r="FA34" i="5"/>
  <c r="FI34" i="5"/>
  <c r="DT36" i="5"/>
  <c r="DK37" i="5"/>
  <c r="FS37" i="5" s="1"/>
  <c r="ES37" i="5"/>
  <c r="FW37" i="5" s="1"/>
  <c r="FA37" i="5"/>
  <c r="FI37" i="5"/>
  <c r="DS39" i="5"/>
  <c r="DL39" i="5"/>
  <c r="EY39" i="5"/>
  <c r="GC39" i="5" s="1"/>
  <c r="DR40" i="5"/>
  <c r="EO40" i="5"/>
  <c r="FG40" i="5"/>
  <c r="EQ41" i="5"/>
  <c r="FL41" i="5"/>
  <c r="L44" i="5"/>
  <c r="K44" i="5"/>
  <c r="T45" i="5"/>
  <c r="U45" i="5" s="1"/>
  <c r="W45" i="5" s="1"/>
  <c r="M45" i="5"/>
  <c r="K58" i="5"/>
  <c r="L58" i="5"/>
  <c r="DQ32" i="5"/>
  <c r="FY32" i="5" s="1"/>
  <c r="EQ32" i="5"/>
  <c r="FU32" i="5" s="1"/>
  <c r="EY32" i="5"/>
  <c r="DK33" i="5"/>
  <c r="FS33" i="5" s="1"/>
  <c r="ES33" i="5"/>
  <c r="FW33" i="5" s="1"/>
  <c r="FA33" i="5"/>
  <c r="DL34" i="5"/>
  <c r="FT34" i="5" s="1"/>
  <c r="ET34" i="5"/>
  <c r="FX34" i="5" s="1"/>
  <c r="FB34" i="5"/>
  <c r="DL37" i="5"/>
  <c r="FT37" i="5" s="1"/>
  <c r="ET37" i="5"/>
  <c r="FX37" i="5" s="1"/>
  <c r="FB37" i="5"/>
  <c r="DM39" i="5"/>
  <c r="FU39" i="5" s="1"/>
  <c r="FB39" i="5"/>
  <c r="DT40" i="5"/>
  <c r="HJ40" i="5"/>
  <c r="CE40" i="5"/>
  <c r="T40" i="5" s="1"/>
  <c r="U40" i="5" s="1"/>
  <c r="W40" i="5" s="1"/>
  <c r="ES40" i="5"/>
  <c r="O44" i="5"/>
  <c r="N44" i="5"/>
  <c r="L45" i="5"/>
  <c r="K45" i="5"/>
  <c r="HJ36" i="5"/>
  <c r="FH40" i="5"/>
  <c r="EZ40" i="5"/>
  <c r="GD40" i="5" s="1"/>
  <c r="ER40" i="5"/>
  <c r="DJ40" i="5"/>
  <c r="FJ40" i="5"/>
  <c r="FA40" i="5"/>
  <c r="EQ40" i="5"/>
  <c r="DN40" i="5"/>
  <c r="FI40" i="5"/>
  <c r="EY40" i="5"/>
  <c r="EP40" i="5"/>
  <c r="DM40" i="5"/>
  <c r="FF40" i="5"/>
  <c r="EW40" i="5"/>
  <c r="EN40" i="5"/>
  <c r="DK40" i="5"/>
  <c r="FM40" i="5"/>
  <c r="FD40" i="5"/>
  <c r="EU40" i="5"/>
  <c r="DQ40" i="5"/>
  <c r="ET40" i="5"/>
  <c r="FX40" i="5" s="1"/>
  <c r="FL40" i="5"/>
  <c r="DQ29" i="5"/>
  <c r="EQ29" i="5"/>
  <c r="EY29" i="5"/>
  <c r="DQ30" i="5"/>
  <c r="EQ30" i="5"/>
  <c r="EY30" i="5"/>
  <c r="K32" i="5"/>
  <c r="J40" i="5"/>
  <c r="AO40" i="5"/>
  <c r="DL40" i="5"/>
  <c r="EV40" i="5"/>
  <c r="FI41" i="5"/>
  <c r="FA41" i="5"/>
  <c r="ES41" i="5"/>
  <c r="DK41" i="5"/>
  <c r="FF41" i="5"/>
  <c r="EX41" i="5"/>
  <c r="EP41" i="5"/>
  <c r="FT41" i="5" s="1"/>
  <c r="DP41" i="5"/>
  <c r="FX41" i="5" s="1"/>
  <c r="FJ41" i="5"/>
  <c r="EY41" i="5"/>
  <c r="EN41" i="5"/>
  <c r="DQ41" i="5"/>
  <c r="FH41" i="5"/>
  <c r="EW41" i="5"/>
  <c r="DO41" i="5"/>
  <c r="FE41" i="5"/>
  <c r="EU41" i="5"/>
  <c r="DM41" i="5"/>
  <c r="FM41" i="5"/>
  <c r="FC41" i="5"/>
  <c r="ER41" i="5"/>
  <c r="FV41" i="5" s="1"/>
  <c r="DJ41" i="5"/>
  <c r="EZ41" i="5"/>
  <c r="AL49" i="5"/>
  <c r="DS49" i="5"/>
  <c r="FF54" i="5"/>
  <c r="HJ54" i="5"/>
  <c r="CE54" i="5"/>
  <c r="T54" i="5" s="1"/>
  <c r="U54" i="5" s="1"/>
  <c r="W54" i="5" s="1"/>
  <c r="DO40" i="5"/>
  <c r="EX40" i="5"/>
  <c r="DS41" i="5"/>
  <c r="AL41" i="5"/>
  <c r="DS45" i="5"/>
  <c r="AL45" i="5"/>
  <c r="FL43" i="5"/>
  <c r="FD43" i="5"/>
  <c r="EV43" i="5"/>
  <c r="FZ43" i="5" s="1"/>
  <c r="EN43" i="5"/>
  <c r="DN43" i="5"/>
  <c r="FI43" i="5"/>
  <c r="FA43" i="5"/>
  <c r="ES43" i="5"/>
  <c r="FW43" i="5" s="1"/>
  <c r="DK43" i="5"/>
  <c r="EQ43" i="5"/>
  <c r="FB43" i="5"/>
  <c r="FM43" i="5"/>
  <c r="DO44" i="5"/>
  <c r="EW44" i="5"/>
  <c r="FG44" i="5"/>
  <c r="DQ45" i="5"/>
  <c r="EX45" i="5"/>
  <c r="O46" i="5"/>
  <c r="N46" i="5"/>
  <c r="AM46" i="5"/>
  <c r="DT46" i="5"/>
  <c r="EU42" i="5"/>
  <c r="FY42" i="5" s="1"/>
  <c r="FF42" i="5"/>
  <c r="DJ43" i="5"/>
  <c r="ER43" i="5"/>
  <c r="FC43" i="5"/>
  <c r="DP44" i="5"/>
  <c r="EX44" i="5"/>
  <c r="FH44" i="5"/>
  <c r="DR45" i="5"/>
  <c r="EY45" i="5"/>
  <c r="FF46" i="5"/>
  <c r="EX46" i="5"/>
  <c r="EP46" i="5"/>
  <c r="DP46" i="5"/>
  <c r="FM46" i="5"/>
  <c r="FE46" i="5"/>
  <c r="EW46" i="5"/>
  <c r="EO46" i="5"/>
  <c r="DO46" i="5"/>
  <c r="FL46" i="5"/>
  <c r="FD46" i="5"/>
  <c r="EV46" i="5"/>
  <c r="FZ46" i="5" s="1"/>
  <c r="EN46" i="5"/>
  <c r="FR46" i="5" s="1"/>
  <c r="DN46" i="5"/>
  <c r="FV46" i="5" s="1"/>
  <c r="FK46" i="5"/>
  <c r="FC46" i="5"/>
  <c r="EU46" i="5"/>
  <c r="FY46" i="5" s="1"/>
  <c r="DM46" i="5"/>
  <c r="FJ46" i="5"/>
  <c r="FB46" i="5"/>
  <c r="ET46" i="5"/>
  <c r="DL46" i="5"/>
  <c r="FI46" i="5"/>
  <c r="FA46" i="5"/>
  <c r="ES46" i="5"/>
  <c r="EZ46" i="5"/>
  <c r="EX49" i="5"/>
  <c r="DL43" i="5"/>
  <c r="FT43" i="5" s="1"/>
  <c r="ET43" i="5"/>
  <c r="FE43" i="5"/>
  <c r="DQ44" i="5"/>
  <c r="FY44" i="5" s="1"/>
  <c r="EO44" i="5"/>
  <c r="EY44" i="5"/>
  <c r="FJ44" i="5"/>
  <c r="EZ45" i="5"/>
  <c r="DP42" i="5"/>
  <c r="FX42" i="5" s="1"/>
  <c r="EX42" i="5"/>
  <c r="L43" i="5"/>
  <c r="DM43" i="5"/>
  <c r="EU43" i="5"/>
  <c r="FF43" i="5"/>
  <c r="EP44" i="5"/>
  <c r="EZ44" i="5"/>
  <c r="DK46" i="5"/>
  <c r="FH46" i="5"/>
  <c r="L49" i="5"/>
  <c r="K49" i="5"/>
  <c r="FF49" i="5"/>
  <c r="EW43" i="5"/>
  <c r="GA43" i="5" s="1"/>
  <c r="FG43" i="5"/>
  <c r="AL44" i="5"/>
  <c r="FL44" i="5"/>
  <c r="FD44" i="5"/>
  <c r="EV44" i="5"/>
  <c r="FZ44" i="5" s="1"/>
  <c r="EN44" i="5"/>
  <c r="DN44" i="5"/>
  <c r="FI44" i="5"/>
  <c r="FA44" i="5"/>
  <c r="ES44" i="5"/>
  <c r="DK44" i="5"/>
  <c r="EQ44" i="5"/>
  <c r="FU44" i="5" s="1"/>
  <c r="FB44" i="5"/>
  <c r="FM44" i="5"/>
  <c r="FM45" i="5"/>
  <c r="FE45" i="5"/>
  <c r="EW45" i="5"/>
  <c r="EO45" i="5"/>
  <c r="DO45" i="5"/>
  <c r="FL45" i="5"/>
  <c r="FD45" i="5"/>
  <c r="EV45" i="5"/>
  <c r="EN45" i="5"/>
  <c r="DN45" i="5"/>
  <c r="FK45" i="5"/>
  <c r="FC45" i="5"/>
  <c r="EU45" i="5"/>
  <c r="DM45" i="5"/>
  <c r="FI45" i="5"/>
  <c r="FA45" i="5"/>
  <c r="ES45" i="5"/>
  <c r="DK45" i="5"/>
  <c r="EP45" i="5"/>
  <c r="FF45" i="5"/>
  <c r="AL43" i="5"/>
  <c r="DP43" i="5"/>
  <c r="EX43" i="5"/>
  <c r="FH43" i="5"/>
  <c r="DJ44" i="5"/>
  <c r="ER44" i="5"/>
  <c r="FC44" i="5"/>
  <c r="DJ45" i="5"/>
  <c r="EQ45" i="5"/>
  <c r="FG45" i="5"/>
  <c r="T46" i="5"/>
  <c r="U46" i="5" s="1"/>
  <c r="W46" i="5" s="1"/>
  <c r="CE57" i="5"/>
  <c r="T57" i="5" s="1"/>
  <c r="U57" i="5" s="1"/>
  <c r="W57" i="5" s="1"/>
  <c r="HJ57" i="5"/>
  <c r="FH42" i="5"/>
  <c r="EZ42" i="5"/>
  <c r="ER42" i="5"/>
  <c r="FV42" i="5" s="1"/>
  <c r="DJ42" i="5"/>
  <c r="FR42" i="5" s="1"/>
  <c r="FM42" i="5"/>
  <c r="FE42" i="5"/>
  <c r="EW42" i="5"/>
  <c r="EO42" i="5"/>
  <c r="R42" i="5" s="1"/>
  <c r="DO42" i="5"/>
  <c r="FW42" i="5" s="1"/>
  <c r="EQ42" i="5"/>
  <c r="FU42" i="5" s="1"/>
  <c r="FB42" i="5"/>
  <c r="FL42" i="5"/>
  <c r="DQ43" i="5"/>
  <c r="EO43" i="5"/>
  <c r="EY43" i="5"/>
  <c r="FJ43" i="5"/>
  <c r="DL44" i="5"/>
  <c r="ET44" i="5"/>
  <c r="FE44" i="5"/>
  <c r="DL45" i="5"/>
  <c r="ER45" i="5"/>
  <c r="FH45" i="5"/>
  <c r="DS46" i="5"/>
  <c r="EQ46" i="5"/>
  <c r="J48" i="5"/>
  <c r="I48" i="5"/>
  <c r="FM49" i="5"/>
  <c r="FE49" i="5"/>
  <c r="EW49" i="5"/>
  <c r="EO49" i="5"/>
  <c r="DO49" i="5"/>
  <c r="FL49" i="5"/>
  <c r="FD49" i="5"/>
  <c r="EV49" i="5"/>
  <c r="EN49" i="5"/>
  <c r="DN49" i="5"/>
  <c r="FK49" i="5"/>
  <c r="FC49" i="5"/>
  <c r="EU49" i="5"/>
  <c r="FY49" i="5" s="1"/>
  <c r="DM49" i="5"/>
  <c r="FU49" i="5" s="1"/>
  <c r="FJ49" i="5"/>
  <c r="FB49" i="5"/>
  <c r="ET49" i="5"/>
  <c r="FX49" i="5" s="1"/>
  <c r="DL49" i="5"/>
  <c r="FT49" i="5" s="1"/>
  <c r="FI49" i="5"/>
  <c r="FA49" i="5"/>
  <c r="ES49" i="5"/>
  <c r="DK49" i="5"/>
  <c r="FH49" i="5"/>
  <c r="EZ49" i="5"/>
  <c r="ER49" i="5"/>
  <c r="DR49" i="5"/>
  <c r="DJ49" i="5"/>
  <c r="K60" i="5"/>
  <c r="L60" i="5"/>
  <c r="N57" i="5"/>
  <c r="O57" i="5"/>
  <c r="FH57" i="5"/>
  <c r="EZ57" i="5"/>
  <c r="ER57" i="5"/>
  <c r="DJ57" i="5"/>
  <c r="FF57" i="5"/>
  <c r="EX57" i="5"/>
  <c r="EP57" i="5"/>
  <c r="DP57" i="5"/>
  <c r="FL57" i="5"/>
  <c r="FD57" i="5"/>
  <c r="EV57" i="5"/>
  <c r="EN57" i="5"/>
  <c r="DN57" i="5"/>
  <c r="FJ57" i="5"/>
  <c r="FB57" i="5"/>
  <c r="ET57" i="5"/>
  <c r="DL57" i="5"/>
  <c r="FA57" i="5"/>
  <c r="EY57" i="5"/>
  <c r="FM57" i="5"/>
  <c r="EW57" i="5"/>
  <c r="DQ57" i="5"/>
  <c r="FK57" i="5"/>
  <c r="EU57" i="5"/>
  <c r="DO57" i="5"/>
  <c r="FI57" i="5"/>
  <c r="ES57" i="5"/>
  <c r="DM57" i="5"/>
  <c r="FG57" i="5"/>
  <c r="EQ57" i="5"/>
  <c r="DK57" i="5"/>
  <c r="DQ48" i="5"/>
  <c r="EQ48" i="5"/>
  <c r="EY48" i="5"/>
  <c r="FG48" i="5"/>
  <c r="K50" i="5"/>
  <c r="FS50" i="5"/>
  <c r="AK52" i="5"/>
  <c r="FJ52" i="5"/>
  <c r="FB52" i="5"/>
  <c r="ET52" i="5"/>
  <c r="DL52" i="5"/>
  <c r="FI52" i="5"/>
  <c r="FA52" i="5"/>
  <c r="ES52" i="5"/>
  <c r="DK52" i="5"/>
  <c r="FH52" i="5"/>
  <c r="EZ52" i="5"/>
  <c r="ER52" i="5"/>
  <c r="DJ52" i="5"/>
  <c r="FF52" i="5"/>
  <c r="EX52" i="5"/>
  <c r="EP52" i="5"/>
  <c r="DP52" i="5"/>
  <c r="FM52" i="5"/>
  <c r="FE52" i="5"/>
  <c r="EW52" i="5"/>
  <c r="EO52" i="5"/>
  <c r="DO52" i="5"/>
  <c r="EY52" i="5"/>
  <c r="DR54" i="5"/>
  <c r="FZ54" i="5" s="1"/>
  <c r="AK54" i="5"/>
  <c r="FJ64" i="5"/>
  <c r="FB64" i="5"/>
  <c r="ET64" i="5"/>
  <c r="DL64" i="5"/>
  <c r="FI64" i="5"/>
  <c r="FA64" i="5"/>
  <c r="ES64" i="5"/>
  <c r="DK64" i="5"/>
  <c r="FH64" i="5"/>
  <c r="EZ64" i="5"/>
  <c r="ER64" i="5"/>
  <c r="DJ64" i="5"/>
  <c r="FG64" i="5"/>
  <c r="EV64" i="5"/>
  <c r="FD64" i="5"/>
  <c r="EP64" i="5"/>
  <c r="DP64" i="5"/>
  <c r="FC64" i="5"/>
  <c r="EO64" i="5"/>
  <c r="DO64" i="5"/>
  <c r="EW64" i="5"/>
  <c r="FM64" i="5"/>
  <c r="EU64" i="5"/>
  <c r="FL64" i="5"/>
  <c r="EQ64" i="5"/>
  <c r="FK64" i="5"/>
  <c r="EN64" i="5"/>
  <c r="R64" i="5" s="1"/>
  <c r="FF64" i="5"/>
  <c r="DQ64" i="5"/>
  <c r="FE64" i="5"/>
  <c r="DN64" i="5"/>
  <c r="EY64" i="5"/>
  <c r="DM64" i="5"/>
  <c r="FU64" i="5" s="1"/>
  <c r="EX64" i="5"/>
  <c r="DJ48" i="5"/>
  <c r="ER48" i="5"/>
  <c r="EZ48" i="5"/>
  <c r="FH48" i="5"/>
  <c r="DM52" i="5"/>
  <c r="FC52" i="5"/>
  <c r="FR53" i="5"/>
  <c r="R53" i="5"/>
  <c r="FV56" i="5"/>
  <c r="DK48" i="5"/>
  <c r="FS48" i="5" s="1"/>
  <c r="ES48" i="5"/>
  <c r="FW48" i="5" s="1"/>
  <c r="FA48" i="5"/>
  <c r="FI48" i="5"/>
  <c r="FH51" i="5"/>
  <c r="EZ51" i="5"/>
  <c r="ER51" i="5"/>
  <c r="DJ51" i="5"/>
  <c r="FG51" i="5"/>
  <c r="EY51" i="5"/>
  <c r="EQ51" i="5"/>
  <c r="DQ51" i="5"/>
  <c r="FM51" i="5"/>
  <c r="FE51" i="5"/>
  <c r="EW51" i="5"/>
  <c r="EO51" i="5"/>
  <c r="FS51" i="5" s="1"/>
  <c r="DO51" i="5"/>
  <c r="FW51" i="5" s="1"/>
  <c r="FL51" i="5"/>
  <c r="FD51" i="5"/>
  <c r="EV51" i="5"/>
  <c r="EN51" i="5"/>
  <c r="DN51" i="5"/>
  <c r="EP51" i="5"/>
  <c r="FF51" i="5"/>
  <c r="DN52" i="5"/>
  <c r="FD52" i="5"/>
  <c r="DL48" i="5"/>
  <c r="FT48" i="5" s="1"/>
  <c r="ET48" i="5"/>
  <c r="FX48" i="5" s="1"/>
  <c r="FB48" i="5"/>
  <c r="FJ48" i="5"/>
  <c r="DR51" i="5"/>
  <c r="AK51" i="5"/>
  <c r="DQ52" i="5"/>
  <c r="FY52" i="5" s="1"/>
  <c r="FG52" i="5"/>
  <c r="FV54" i="5"/>
  <c r="AK63" i="5"/>
  <c r="DR63" i="5"/>
  <c r="FZ63" i="5" s="1"/>
  <c r="DM48" i="5"/>
  <c r="EU48" i="5"/>
  <c r="FC48" i="5"/>
  <c r="FK48" i="5"/>
  <c r="DL51" i="5"/>
  <c r="ET51" i="5"/>
  <c r="FX51" i="5" s="1"/>
  <c r="FJ51" i="5"/>
  <c r="N52" i="5"/>
  <c r="EN52" i="5"/>
  <c r="FK52" i="5"/>
  <c r="L54" i="5"/>
  <c r="EO57" i="5"/>
  <c r="FT58" i="5"/>
  <c r="DN48" i="5"/>
  <c r="EN48" i="5"/>
  <c r="R48" i="5" s="1"/>
  <c r="EV48" i="5"/>
  <c r="FZ48" i="5" s="1"/>
  <c r="FD48" i="5"/>
  <c r="DM51" i="5"/>
  <c r="EU51" i="5"/>
  <c r="FK51" i="5"/>
  <c r="EQ52" i="5"/>
  <c r="FL52" i="5"/>
  <c r="FC57" i="5"/>
  <c r="DM50" i="5"/>
  <c r="EU50" i="5"/>
  <c r="FC50" i="5"/>
  <c r="FK50" i="5"/>
  <c r="M54" i="5"/>
  <c r="J64" i="5"/>
  <c r="I64" i="5"/>
  <c r="CE52" i="5"/>
  <c r="T52" i="5" s="1"/>
  <c r="U52" i="5" s="1"/>
  <c r="W52" i="5" s="1"/>
  <c r="FZ58" i="5"/>
  <c r="M67" i="5"/>
  <c r="T67" i="5"/>
  <c r="U67" i="5" s="1"/>
  <c r="W67" i="5" s="1"/>
  <c r="AL60" i="5"/>
  <c r="DS60" i="5"/>
  <c r="GA60" i="5" s="1"/>
  <c r="DQ50" i="5"/>
  <c r="EQ50" i="5"/>
  <c r="EY50" i="5"/>
  <c r="K52" i="5"/>
  <c r="AL56" i="5"/>
  <c r="DR57" i="5"/>
  <c r="AK57" i="5"/>
  <c r="DS58" i="5"/>
  <c r="GA58" i="5" s="1"/>
  <c r="AL58" i="5"/>
  <c r="M59" i="5"/>
  <c r="DQ55" i="5"/>
  <c r="EQ55" i="5"/>
  <c r="EY55" i="5"/>
  <c r="FG55" i="5"/>
  <c r="DK56" i="5"/>
  <c r="ES56" i="5"/>
  <c r="FA56" i="5"/>
  <c r="FI56" i="5"/>
  <c r="DM59" i="5"/>
  <c r="EU59" i="5"/>
  <c r="FF59" i="5"/>
  <c r="FF61" i="5"/>
  <c r="DM62" i="5"/>
  <c r="EZ62" i="5"/>
  <c r="FK62" i="5"/>
  <c r="DR66" i="5"/>
  <c r="AK66" i="5"/>
  <c r="AK68" i="5"/>
  <c r="DR68" i="5"/>
  <c r="FZ68" i="5" s="1"/>
  <c r="EZ68" i="5"/>
  <c r="L69" i="5"/>
  <c r="K69" i="5"/>
  <c r="FJ69" i="5"/>
  <c r="FB69" i="5"/>
  <c r="ET69" i="5"/>
  <c r="DL69" i="5"/>
  <c r="FM69" i="5"/>
  <c r="FE69" i="5"/>
  <c r="EW69" i="5"/>
  <c r="EO69" i="5"/>
  <c r="DO69" i="5"/>
  <c r="FL69" i="5"/>
  <c r="FA69" i="5"/>
  <c r="EQ69" i="5"/>
  <c r="DJ69" i="5"/>
  <c r="FI69" i="5"/>
  <c r="EY69" i="5"/>
  <c r="EN69" i="5"/>
  <c r="R69" i="5" s="1"/>
  <c r="FG69" i="5"/>
  <c r="EV69" i="5"/>
  <c r="DP69" i="5"/>
  <c r="FX69" i="5" s="1"/>
  <c r="FF69" i="5"/>
  <c r="EU69" i="5"/>
  <c r="DN69" i="5"/>
  <c r="FD69" i="5"/>
  <c r="ES69" i="5"/>
  <c r="DM69" i="5"/>
  <c r="EX69" i="5"/>
  <c r="ER69" i="5"/>
  <c r="EP69" i="5"/>
  <c r="DQ69" i="5"/>
  <c r="FY69" i="5" s="1"/>
  <c r="FK69" i="5"/>
  <c r="EZ69" i="5"/>
  <c r="DO59" i="5"/>
  <c r="EW59" i="5"/>
  <c r="FG59" i="5"/>
  <c r="CE61" i="5"/>
  <c r="FW61" i="5"/>
  <c r="FN62" i="5"/>
  <c r="DN62" i="5"/>
  <c r="EN62" i="5"/>
  <c r="FA62" i="5"/>
  <c r="FM62" i="5"/>
  <c r="DS65" i="5"/>
  <c r="GA65" i="5" s="1"/>
  <c r="AL65" i="5"/>
  <c r="FW66" i="5"/>
  <c r="FB68" i="5"/>
  <c r="O69" i="5"/>
  <c r="N69" i="5"/>
  <c r="DK69" i="5"/>
  <c r="FS69" i="5" s="1"/>
  <c r="DQ54" i="5"/>
  <c r="FY54" i="5" s="1"/>
  <c r="EQ54" i="5"/>
  <c r="FU54" i="5" s="1"/>
  <c r="EY54" i="5"/>
  <c r="FG54" i="5"/>
  <c r="DK55" i="5"/>
  <c r="FS55" i="5" s="1"/>
  <c r="ES55" i="5"/>
  <c r="FW55" i="5" s="1"/>
  <c r="FA55" i="5"/>
  <c r="FI55" i="5"/>
  <c r="DM56" i="5"/>
  <c r="EU56" i="5"/>
  <c r="FC56" i="5"/>
  <c r="FK56" i="5"/>
  <c r="FW58" i="5"/>
  <c r="DP59" i="5"/>
  <c r="FX59" i="5" s="1"/>
  <c r="EX59" i="5"/>
  <c r="FI59" i="5"/>
  <c r="DO62" i="5"/>
  <c r="EQ62" i="5"/>
  <c r="FB62" i="5"/>
  <c r="DQ59" i="5"/>
  <c r="EO59" i="5"/>
  <c r="EY59" i="5"/>
  <c r="FJ59" i="5"/>
  <c r="DR61" i="5"/>
  <c r="FZ61" i="5" s="1"/>
  <c r="ER62" i="5"/>
  <c r="FD62" i="5"/>
  <c r="DK54" i="5"/>
  <c r="FS54" i="5" s="1"/>
  <c r="ES54" i="5"/>
  <c r="FW54" i="5" s="1"/>
  <c r="FA54" i="5"/>
  <c r="DM55" i="5"/>
  <c r="EU55" i="5"/>
  <c r="FC55" i="5"/>
  <c r="DO56" i="5"/>
  <c r="EO56" i="5"/>
  <c r="R56" i="5" s="1"/>
  <c r="EW56" i="5"/>
  <c r="GA56" i="5" s="1"/>
  <c r="FE56" i="5"/>
  <c r="FM56" i="5"/>
  <c r="CE59" i="5"/>
  <c r="T59" i="5" s="1"/>
  <c r="U59" i="5" s="1"/>
  <c r="W59" i="5" s="1"/>
  <c r="EP59" i="5"/>
  <c r="FT59" i="5" s="1"/>
  <c r="FA59" i="5"/>
  <c r="AL61" i="5"/>
  <c r="FG61" i="5"/>
  <c r="EY61" i="5"/>
  <c r="FH61" i="5"/>
  <c r="EX61" i="5"/>
  <c r="EP61" i="5"/>
  <c r="DP61" i="5"/>
  <c r="FL61" i="5"/>
  <c r="FC61" i="5"/>
  <c r="ET61" i="5"/>
  <c r="DL61" i="5"/>
  <c r="EO61" i="5"/>
  <c r="FS61" i="5" s="1"/>
  <c r="FA61" i="5"/>
  <c r="FM61" i="5"/>
  <c r="I62" i="5"/>
  <c r="ES62" i="5"/>
  <c r="I66" i="5"/>
  <c r="AK69" i="5"/>
  <c r="DR69" i="5"/>
  <c r="FL59" i="5"/>
  <c r="FD59" i="5"/>
  <c r="EV59" i="5"/>
  <c r="EN59" i="5"/>
  <c r="DN59" i="5"/>
  <c r="FH59" i="5"/>
  <c r="EZ59" i="5"/>
  <c r="ER59" i="5"/>
  <c r="DJ59" i="5"/>
  <c r="EQ59" i="5"/>
  <c r="FB59" i="5"/>
  <c r="FM59" i="5"/>
  <c r="L62" i="5"/>
  <c r="FF62" i="5"/>
  <c r="EX62" i="5"/>
  <c r="EP62" i="5"/>
  <c r="DP62" i="5"/>
  <c r="FL62" i="5"/>
  <c r="FC62" i="5"/>
  <c r="ET62" i="5"/>
  <c r="DQ62" i="5"/>
  <c r="FH62" i="5"/>
  <c r="EY62" i="5"/>
  <c r="EO62" i="5"/>
  <c r="FS62" i="5" s="1"/>
  <c r="DL62" i="5"/>
  <c r="EU62" i="5"/>
  <c r="FG62" i="5"/>
  <c r="DR64" i="5"/>
  <c r="K66" i="5"/>
  <c r="DS67" i="5"/>
  <c r="GA67" i="5" s="1"/>
  <c r="AL67" i="5"/>
  <c r="FV67" i="5"/>
  <c r="DT71" i="5"/>
  <c r="GB71" i="5" s="1"/>
  <c r="AM71" i="5"/>
  <c r="DQ56" i="5"/>
  <c r="EQ56" i="5"/>
  <c r="EY56" i="5"/>
  <c r="AK59" i="5"/>
  <c r="DR59" i="5"/>
  <c r="DK59" i="5"/>
  <c r="FS59" i="5" s="1"/>
  <c r="ES59" i="5"/>
  <c r="FC59" i="5"/>
  <c r="DJ62" i="5"/>
  <c r="EV62" i="5"/>
  <c r="FZ62" i="5" s="1"/>
  <c r="FI62" i="5"/>
  <c r="DS64" i="5"/>
  <c r="AL64" i="5"/>
  <c r="R65" i="5"/>
  <c r="FI68" i="5"/>
  <c r="FA68" i="5"/>
  <c r="ES68" i="5"/>
  <c r="DK68" i="5"/>
  <c r="FM68" i="5"/>
  <c r="FD68" i="5"/>
  <c r="EU68" i="5"/>
  <c r="DQ68" i="5"/>
  <c r="FH68" i="5"/>
  <c r="EY68" i="5"/>
  <c r="EP68" i="5"/>
  <c r="DM68" i="5"/>
  <c r="FF68" i="5"/>
  <c r="EW68" i="5"/>
  <c r="EN68" i="5"/>
  <c r="DJ68" i="5"/>
  <c r="FG68" i="5"/>
  <c r="ER68" i="5"/>
  <c r="DO68" i="5"/>
  <c r="FW68" i="5" s="1"/>
  <c r="FE68" i="5"/>
  <c r="EQ68" i="5"/>
  <c r="DN68" i="5"/>
  <c r="FC68" i="5"/>
  <c r="EO68" i="5"/>
  <c r="DL68" i="5"/>
  <c r="EX68" i="5"/>
  <c r="FL68" i="5"/>
  <c r="FK68" i="5"/>
  <c r="DP68" i="5"/>
  <c r="ET68" i="5"/>
  <c r="DU70" i="5"/>
  <c r="AN70" i="5"/>
  <c r="M63" i="5"/>
  <c r="M65" i="5"/>
  <c r="T65" i="5"/>
  <c r="U65" i="5" s="1"/>
  <c r="W65" i="5" s="1"/>
  <c r="DT70" i="5"/>
  <c r="DQ63" i="5"/>
  <c r="FY63" i="5" s="1"/>
  <c r="EQ63" i="5"/>
  <c r="FU63" i="5" s="1"/>
  <c r="EY63" i="5"/>
  <c r="FG63" i="5"/>
  <c r="EU66" i="5"/>
  <c r="FY66" i="5" s="1"/>
  <c r="FH67" i="5"/>
  <c r="EZ67" i="5"/>
  <c r="ER67" i="5"/>
  <c r="FE67" i="5"/>
  <c r="EV67" i="5"/>
  <c r="FZ67" i="5" s="1"/>
  <c r="DK67" i="5"/>
  <c r="FJ67" i="5"/>
  <c r="FA67" i="5"/>
  <c r="EQ67" i="5"/>
  <c r="DO67" i="5"/>
  <c r="FW67" i="5" s="1"/>
  <c r="FG67" i="5"/>
  <c r="EX67" i="5"/>
  <c r="EO67" i="5"/>
  <c r="DM67" i="5"/>
  <c r="EY67" i="5"/>
  <c r="FM67" i="5"/>
  <c r="FH66" i="5"/>
  <c r="EZ66" i="5"/>
  <c r="ER66" i="5"/>
  <c r="DJ66" i="5"/>
  <c r="FL66" i="5"/>
  <c r="FD66" i="5"/>
  <c r="EV66" i="5"/>
  <c r="EN66" i="5"/>
  <c r="R66" i="5" s="1"/>
  <c r="DN66" i="5"/>
  <c r="FJ66" i="5"/>
  <c r="FB66" i="5"/>
  <c r="ET66" i="5"/>
  <c r="FX66" i="5" s="1"/>
  <c r="DL66" i="5"/>
  <c r="FT66" i="5" s="1"/>
  <c r="EW66" i="5"/>
  <c r="FI66" i="5"/>
  <c r="DJ67" i="5"/>
  <c r="FB67" i="5"/>
  <c r="DS72" i="5"/>
  <c r="GA72" i="5" s="1"/>
  <c r="AL72" i="5"/>
  <c r="AL74" i="5"/>
  <c r="DS74" i="5"/>
  <c r="GA74" i="5" s="1"/>
  <c r="DK63" i="5"/>
  <c r="FS63" i="5" s="1"/>
  <c r="ES63" i="5"/>
  <c r="FW63" i="5" s="1"/>
  <c r="FA63" i="5"/>
  <c r="DK66" i="5"/>
  <c r="FS66" i="5" s="1"/>
  <c r="EX66" i="5"/>
  <c r="FK66" i="5"/>
  <c r="DL67" i="5"/>
  <c r="FT67" i="5" s="1"/>
  <c r="EN67" i="5"/>
  <c r="R67" i="5" s="1"/>
  <c r="FC67" i="5"/>
  <c r="M73" i="5"/>
  <c r="L74" i="5"/>
  <c r="K74" i="5"/>
  <c r="DK65" i="5"/>
  <c r="FS65" i="5" s="1"/>
  <c r="ES65" i="5"/>
  <c r="FW65" i="5" s="1"/>
  <c r="FA65" i="5"/>
  <c r="FI65" i="5"/>
  <c r="T70" i="5"/>
  <c r="U70" i="5" s="1"/>
  <c r="W70" i="5" s="1"/>
  <c r="FR71" i="5"/>
  <c r="DR71" i="5"/>
  <c r="FZ71" i="5" s="1"/>
  <c r="DM65" i="5"/>
  <c r="EU65" i="5"/>
  <c r="FC65" i="5"/>
  <c r="FK65" i="5"/>
  <c r="T72" i="5"/>
  <c r="U72" i="5" s="1"/>
  <c r="W72" i="5" s="1"/>
  <c r="L73" i="5"/>
  <c r="K73" i="5"/>
  <c r="FS73" i="5"/>
  <c r="J71" i="5"/>
  <c r="I71" i="5"/>
  <c r="R71" i="5"/>
  <c r="I74" i="5"/>
  <c r="DQ65" i="5"/>
  <c r="EQ65" i="5"/>
  <c r="EY65" i="5"/>
  <c r="FY72" i="5"/>
  <c r="FW73" i="5"/>
  <c r="DP70" i="5"/>
  <c r="FX70" i="5" s="1"/>
  <c r="EP70" i="5"/>
  <c r="FT70" i="5" s="1"/>
  <c r="EX70" i="5"/>
  <c r="FF70" i="5"/>
  <c r="DQ70" i="5"/>
  <c r="EQ70" i="5"/>
  <c r="EY70" i="5"/>
  <c r="FG70" i="5"/>
  <c r="DM70" i="5"/>
  <c r="EU70" i="5"/>
  <c r="FC70" i="5"/>
  <c r="Q7" i="1"/>
  <c r="Q21" i="1"/>
  <c r="Q12" i="1"/>
  <c r="Q4" i="1"/>
  <c r="Q18" i="1"/>
  <c r="Q10" i="1"/>
  <c r="Q25" i="1"/>
  <c r="Q17" i="1"/>
  <c r="Q9" i="1"/>
  <c r="Q23" i="1"/>
  <c r="Q15" i="1"/>
  <c r="Q6" i="1"/>
  <c r="D49" i="1"/>
  <c r="E33" i="1" s="1"/>
  <c r="E45" i="1"/>
  <c r="Q26" i="1"/>
  <c r="R8" i="1" s="1"/>
  <c r="E31" i="1"/>
  <c r="E38" i="1"/>
  <c r="L72" i="5" l="1"/>
  <c r="FY57" i="5"/>
  <c r="T49" i="5"/>
  <c r="U49" i="5" s="1"/>
  <c r="W49" i="5" s="1"/>
  <c r="FS21" i="5"/>
  <c r="T68" i="5"/>
  <c r="U68" i="5" s="1"/>
  <c r="W68" i="5" s="1"/>
  <c r="DU31" i="5"/>
  <c r="GC31" i="5" s="1"/>
  <c r="AM17" i="5"/>
  <c r="DV39" i="5"/>
  <c r="GD39" i="5" s="1"/>
  <c r="DV31" i="5"/>
  <c r="GD31" i="5" s="1"/>
  <c r="DW39" i="5"/>
  <c r="M31" i="5"/>
  <c r="GB17" i="5"/>
  <c r="DS17" i="5"/>
  <c r="GA17" i="5" s="1"/>
  <c r="M19" i="5"/>
  <c r="AM10" i="5"/>
  <c r="DU10" i="5" s="1"/>
  <c r="GC10" i="5" s="1"/>
  <c r="T50" i="5"/>
  <c r="U50" i="5" s="1"/>
  <c r="W50" i="5" s="1"/>
  <c r="GA25" i="5"/>
  <c r="T37" i="5"/>
  <c r="U37" i="5" s="1"/>
  <c r="W37" i="5" s="1"/>
  <c r="FT44" i="5"/>
  <c r="AL25" i="5"/>
  <c r="FS25" i="5"/>
  <c r="N37" i="5"/>
  <c r="FU55" i="5"/>
  <c r="FU51" i="5"/>
  <c r="N23" i="5"/>
  <c r="FR62" i="5"/>
  <c r="FR10" i="5"/>
  <c r="AL19" i="5"/>
  <c r="T36" i="5"/>
  <c r="U36" i="5" s="1"/>
  <c r="W36" i="5" s="1"/>
  <c r="GB36" i="5"/>
  <c r="DS28" i="5"/>
  <c r="GA28" i="5" s="1"/>
  <c r="AL21" i="5"/>
  <c r="FX10" i="5"/>
  <c r="R41" i="5"/>
  <c r="GA21" i="5"/>
  <c r="N6" i="5"/>
  <c r="FV66" i="5"/>
  <c r="FZ45" i="5"/>
  <c r="GA39" i="5"/>
  <c r="GA38" i="5"/>
  <c r="GB12" i="5"/>
  <c r="FZ8" i="5"/>
  <c r="FS38" i="5"/>
  <c r="FS44" i="5"/>
  <c r="K42" i="5"/>
  <c r="GA10" i="5"/>
  <c r="FZ57" i="5"/>
  <c r="DS73" i="5"/>
  <c r="GA73" i="5" s="1"/>
  <c r="FU13" i="5"/>
  <c r="FS46" i="5"/>
  <c r="R36" i="5"/>
  <c r="DT73" i="5"/>
  <c r="GB73" i="5" s="1"/>
  <c r="FR66" i="5"/>
  <c r="T61" i="5"/>
  <c r="U61" i="5" s="1"/>
  <c r="W61" i="5" s="1"/>
  <c r="FW41" i="5"/>
  <c r="T21" i="5"/>
  <c r="U21" i="5" s="1"/>
  <c r="W21" i="5" s="1"/>
  <c r="R68" i="5"/>
  <c r="GA64" i="5"/>
  <c r="FR41" i="5"/>
  <c r="GB39" i="5"/>
  <c r="AM28" i="5"/>
  <c r="DU28" i="5" s="1"/>
  <c r="GC28" i="5" s="1"/>
  <c r="O61" i="5"/>
  <c r="FU56" i="5"/>
  <c r="FU69" i="5"/>
  <c r="FT19" i="5"/>
  <c r="FZ18" i="5"/>
  <c r="FR38" i="5"/>
  <c r="T44" i="5"/>
  <c r="U44" i="5" s="1"/>
  <c r="W44" i="5" s="1"/>
  <c r="O29" i="5"/>
  <c r="GB31" i="5"/>
  <c r="T29" i="5"/>
  <c r="U29" i="5" s="1"/>
  <c r="W29" i="5" s="1"/>
  <c r="FS9" i="5"/>
  <c r="FV38" i="5"/>
  <c r="GC40" i="5"/>
  <c r="FR29" i="5"/>
  <c r="R26" i="5"/>
  <c r="GA14" i="5"/>
  <c r="GA45" i="5"/>
  <c r="R7" i="5"/>
  <c r="FS64" i="5"/>
  <c r="FX52" i="5"/>
  <c r="FS45" i="5"/>
  <c r="FX46" i="5"/>
  <c r="FX44" i="5"/>
  <c r="FX36" i="5"/>
  <c r="FR30" i="5"/>
  <c r="HR1" i="5"/>
  <c r="FT62" i="5"/>
  <c r="R62" i="5"/>
  <c r="AM55" i="5"/>
  <c r="DU55" i="5" s="1"/>
  <c r="GC55" i="5" s="1"/>
  <c r="FY51" i="5"/>
  <c r="FU52" i="5"/>
  <c r="R45" i="5"/>
  <c r="GA41" i="5"/>
  <c r="FS20" i="5"/>
  <c r="FX17" i="5"/>
  <c r="GA12" i="5"/>
  <c r="FX43" i="5"/>
  <c r="FR32" i="5"/>
  <c r="T22" i="5"/>
  <c r="U22" i="5" s="1"/>
  <c r="W22" i="5" s="1"/>
  <c r="FS22" i="5"/>
  <c r="R40" i="5"/>
  <c r="N22" i="5"/>
  <c r="FZ38" i="5"/>
  <c r="FV10" i="5"/>
  <c r="FV52" i="5"/>
  <c r="FR64" i="5"/>
  <c r="FR52" i="5"/>
  <c r="FU45" i="5"/>
  <c r="FW5" i="5"/>
  <c r="T51" i="5"/>
  <c r="U51" i="5" s="1"/>
  <c r="W51" i="5" s="1"/>
  <c r="K67" i="5"/>
  <c r="L67" i="5"/>
  <c r="FV68" i="5"/>
  <c r="FU57" i="5"/>
  <c r="R57" i="5"/>
  <c r="FS43" i="5"/>
  <c r="FZ35" i="5"/>
  <c r="FT35" i="5"/>
  <c r="FZ31" i="5"/>
  <c r="R25" i="5"/>
  <c r="FW19" i="5"/>
  <c r="FU9" i="5"/>
  <c r="EN1" i="5"/>
  <c r="FU14" i="5"/>
  <c r="FX12" i="5"/>
  <c r="FU7" i="5"/>
  <c r="AN12" i="5"/>
  <c r="DV12" i="5" s="1"/>
  <c r="GD12" i="5" s="1"/>
  <c r="FU10" i="5"/>
  <c r="DS26" i="5"/>
  <c r="GA26" i="5" s="1"/>
  <c r="AL26" i="5"/>
  <c r="FU65" i="5"/>
  <c r="FY59" i="5"/>
  <c r="FV62" i="5"/>
  <c r="FV69" i="5"/>
  <c r="FY50" i="5"/>
  <c r="FU48" i="5"/>
  <c r="FY64" i="5"/>
  <c r="FW52" i="5"/>
  <c r="FZ49" i="5"/>
  <c r="FR44" i="5"/>
  <c r="FZ29" i="5"/>
  <c r="R35" i="5"/>
  <c r="FY31" i="5"/>
  <c r="FR26" i="5"/>
  <c r="FS36" i="5"/>
  <c r="FU22" i="5"/>
  <c r="FJ1" i="5"/>
  <c r="EV1" i="5"/>
  <c r="FR15" i="5"/>
  <c r="FT15" i="5"/>
  <c r="AM20" i="5"/>
  <c r="AN20" i="5" s="1"/>
  <c r="R13" i="5"/>
  <c r="FR13" i="5"/>
  <c r="FU8" i="5"/>
  <c r="N7" i="5"/>
  <c r="DS48" i="5"/>
  <c r="GA48" i="5" s="1"/>
  <c r="AL48" i="5"/>
  <c r="T56" i="5"/>
  <c r="U56" i="5" s="1"/>
  <c r="W56" i="5" s="1"/>
  <c r="M56" i="5"/>
  <c r="O20" i="5"/>
  <c r="N20" i="5"/>
  <c r="FR69" i="5"/>
  <c r="M60" i="5"/>
  <c r="N60" i="5" s="1"/>
  <c r="FZ51" i="5"/>
  <c r="FW64" i="5"/>
  <c r="FT64" i="5"/>
  <c r="FT52" i="5"/>
  <c r="R49" i="5"/>
  <c r="FU41" i="5"/>
  <c r="FZ40" i="5"/>
  <c r="R31" i="5"/>
  <c r="FS14" i="5"/>
  <c r="EP1" i="5"/>
  <c r="GA5" i="5"/>
  <c r="M47" i="5"/>
  <c r="T47" i="5"/>
  <c r="U47" i="5" s="1"/>
  <c r="W47" i="5" s="1"/>
  <c r="GC70" i="5"/>
  <c r="FW56" i="5"/>
  <c r="FR51" i="5"/>
  <c r="FU43" i="5"/>
  <c r="FZ30" i="5"/>
  <c r="FT31" i="5"/>
  <c r="FS19" i="5"/>
  <c r="FW20" i="5"/>
  <c r="FL1" i="5"/>
  <c r="FY38" i="5"/>
  <c r="FU38" i="5"/>
  <c r="AL6" i="5"/>
  <c r="DS6" i="5"/>
  <c r="GA6" i="5" s="1"/>
  <c r="T55" i="5"/>
  <c r="U55" i="5" s="1"/>
  <c r="W55" i="5" s="1"/>
  <c r="M55" i="5"/>
  <c r="DS33" i="5"/>
  <c r="GA33" i="5" s="1"/>
  <c r="AL33" i="5"/>
  <c r="FS35" i="5"/>
  <c r="FU35" i="5"/>
  <c r="FR36" i="5"/>
  <c r="FS31" i="5"/>
  <c r="FW26" i="5"/>
  <c r="FX19" i="5"/>
  <c r="R24" i="5"/>
  <c r="T43" i="5"/>
  <c r="U43" i="5" s="1"/>
  <c r="W43" i="5" s="1"/>
  <c r="M43" i="5"/>
  <c r="M14" i="5"/>
  <c r="T14" i="5"/>
  <c r="U14" i="5" s="1"/>
  <c r="W14" i="5" s="1"/>
  <c r="M17" i="5"/>
  <c r="T17" i="5"/>
  <c r="U17" i="5" s="1"/>
  <c r="W17" i="5" s="1"/>
  <c r="FY65" i="5"/>
  <c r="R59" i="5"/>
  <c r="FW62" i="5"/>
  <c r="FT51" i="5"/>
  <c r="FX64" i="5"/>
  <c r="FS49" i="5"/>
  <c r="R43" i="5"/>
  <c r="FT39" i="5"/>
  <c r="FU28" i="5"/>
  <c r="FR25" i="5"/>
  <c r="FZ36" i="5"/>
  <c r="FT36" i="5"/>
  <c r="FV36" i="5"/>
  <c r="FU31" i="5"/>
  <c r="GA31" i="5"/>
  <c r="FX15" i="5"/>
  <c r="FV15" i="5"/>
  <c r="FV7" i="5"/>
  <c r="FS7" i="5"/>
  <c r="FT16" i="5"/>
  <c r="FX13" i="5"/>
  <c r="R8" i="5"/>
  <c r="K65" i="5"/>
  <c r="L65" i="5"/>
  <c r="AL13" i="5"/>
  <c r="DS13" i="5"/>
  <c r="GA13" i="5" s="1"/>
  <c r="DS62" i="5"/>
  <c r="GA62" i="5" s="1"/>
  <c r="AL62" i="5"/>
  <c r="AL53" i="5"/>
  <c r="DS53" i="5"/>
  <c r="GA53" i="5" s="1"/>
  <c r="AL50" i="5"/>
  <c r="DS50" i="5"/>
  <c r="GA50" i="5" s="1"/>
  <c r="FR68" i="5"/>
  <c r="FY68" i="5"/>
  <c r="FW69" i="5"/>
  <c r="FY29" i="5"/>
  <c r="FZ32" i="5"/>
  <c r="N21" i="5"/>
  <c r="O21" i="5"/>
  <c r="AN17" i="5"/>
  <c r="DU17" i="5"/>
  <c r="GC17" i="5" s="1"/>
  <c r="FY70" i="5"/>
  <c r="FR59" i="5"/>
  <c r="FW59" i="5"/>
  <c r="N59" i="5"/>
  <c r="O59" i="5"/>
  <c r="R61" i="5"/>
  <c r="AM60" i="5"/>
  <c r="DT60" i="5"/>
  <c r="GB60" i="5" s="1"/>
  <c r="T64" i="5"/>
  <c r="U64" i="5" s="1"/>
  <c r="W64" i="5" s="1"/>
  <c r="M64" i="5"/>
  <c r="N51" i="5"/>
  <c r="O51" i="5"/>
  <c r="FR48" i="5"/>
  <c r="FW57" i="5"/>
  <c r="FT57" i="5"/>
  <c r="M48" i="5"/>
  <c r="T48" i="5"/>
  <c r="U48" i="5" s="1"/>
  <c r="W48" i="5" s="1"/>
  <c r="O49" i="5"/>
  <c r="N49" i="5"/>
  <c r="R44" i="5"/>
  <c r="FT46" i="5"/>
  <c r="FY41" i="5"/>
  <c r="FS41" i="5"/>
  <c r="GA35" i="5"/>
  <c r="FU30" i="5"/>
  <c r="FX35" i="5"/>
  <c r="FY36" i="5"/>
  <c r="DS32" i="5"/>
  <c r="GA32" i="5" s="1"/>
  <c r="AL32" i="5"/>
  <c r="FB1" i="5"/>
  <c r="FS16" i="5"/>
  <c r="FY16" i="5"/>
  <c r="FS11" i="5"/>
  <c r="DK1" i="5"/>
  <c r="M28" i="5"/>
  <c r="T28" i="5"/>
  <c r="U28" i="5" s="1"/>
  <c r="W28" i="5" s="1"/>
  <c r="DS18" i="5"/>
  <c r="GA18" i="5" s="1"/>
  <c r="AL18" i="5"/>
  <c r="FY11" i="5"/>
  <c r="DQ1" i="5"/>
  <c r="FK1" i="5"/>
  <c r="FM1" i="5"/>
  <c r="FU5" i="5"/>
  <c r="FW38" i="5"/>
  <c r="FV13" i="5"/>
  <c r="FR7" i="5"/>
  <c r="DS11" i="5"/>
  <c r="AK1" i="5"/>
  <c r="AL11" i="5"/>
  <c r="FX7" i="5"/>
  <c r="DU5" i="5"/>
  <c r="GC5" i="5" s="1"/>
  <c r="AN5" i="5"/>
  <c r="T27" i="5"/>
  <c r="U27" i="5" s="1"/>
  <c r="M27" i="5"/>
  <c r="ES1" i="5"/>
  <c r="FW16" i="5"/>
  <c r="FR18" i="5"/>
  <c r="FZ12" i="5"/>
  <c r="FY5" i="5"/>
  <c r="DT74" i="5"/>
  <c r="GB74" i="5" s="1"/>
  <c r="AM74" i="5"/>
  <c r="FX68" i="5"/>
  <c r="FZ59" i="5"/>
  <c r="DT67" i="5"/>
  <c r="GB67" i="5" s="1"/>
  <c r="AM67" i="5"/>
  <c r="FX62" i="5"/>
  <c r="AM72" i="5"/>
  <c r="DT72" i="5"/>
  <c r="GB72" i="5" s="1"/>
  <c r="GB70" i="5"/>
  <c r="FU68" i="5"/>
  <c r="FS68" i="5"/>
  <c r="DS59" i="5"/>
  <c r="GA59" i="5" s="1"/>
  <c r="AL59" i="5"/>
  <c r="FZ69" i="5"/>
  <c r="FT61" i="5"/>
  <c r="FU62" i="5"/>
  <c r="FS56" i="5"/>
  <c r="AM56" i="5"/>
  <c r="DT56" i="5"/>
  <c r="GB56" i="5" s="1"/>
  <c r="L64" i="5"/>
  <c r="K64" i="5"/>
  <c r="FU50" i="5"/>
  <c r="FV51" i="5"/>
  <c r="FY48" i="5"/>
  <c r="FX57" i="5"/>
  <c r="L48" i="5"/>
  <c r="K48" i="5"/>
  <c r="R46" i="5"/>
  <c r="GB46" i="5"/>
  <c r="FW44" i="5"/>
  <c r="FV43" i="5"/>
  <c r="AM41" i="5"/>
  <c r="DT41" i="5"/>
  <c r="GB41" i="5" s="1"/>
  <c r="GA49" i="5"/>
  <c r="FY40" i="5"/>
  <c r="FU40" i="5"/>
  <c r="FR40" i="5"/>
  <c r="GB40" i="5"/>
  <c r="N41" i="5"/>
  <c r="O41" i="5"/>
  <c r="O38" i="5"/>
  <c r="N38" i="5"/>
  <c r="AP31" i="5"/>
  <c r="DW31" i="5"/>
  <c r="GE31" i="5" s="1"/>
  <c r="GA36" i="5"/>
  <c r="FY22" i="5"/>
  <c r="FR31" i="5"/>
  <c r="DU30" i="5"/>
  <c r="GC30" i="5" s="1"/>
  <c r="AN30" i="5"/>
  <c r="T25" i="5"/>
  <c r="U25" i="5" s="1"/>
  <c r="W25" i="5" s="1"/>
  <c r="M25" i="5"/>
  <c r="GB35" i="5"/>
  <c r="FV26" i="5"/>
  <c r="ET1" i="5"/>
  <c r="FD1" i="5"/>
  <c r="FE1" i="5"/>
  <c r="FW9" i="5"/>
  <c r="FR12" i="5"/>
  <c r="FU12" i="5"/>
  <c r="R5" i="5"/>
  <c r="R10" i="5"/>
  <c r="DR1" i="5"/>
  <c r="FZ11" i="5"/>
  <c r="FS8" i="5"/>
  <c r="FW8" i="5"/>
  <c r="FR8" i="5"/>
  <c r="HJ1" i="5"/>
  <c r="DS7" i="5"/>
  <c r="GA7" i="5" s="1"/>
  <c r="AL7" i="5"/>
  <c r="DT58" i="5"/>
  <c r="GB58" i="5" s="1"/>
  <c r="AM58" i="5"/>
  <c r="FS57" i="5"/>
  <c r="DU46" i="5"/>
  <c r="GC46" i="5" s="1"/>
  <c r="AN46" i="5"/>
  <c r="DT49" i="5"/>
  <c r="GB49" i="5" s="1"/>
  <c r="AM49" i="5"/>
  <c r="O45" i="5"/>
  <c r="N45" i="5"/>
  <c r="FS24" i="5"/>
  <c r="T30" i="5"/>
  <c r="U30" i="5" s="1"/>
  <c r="W30" i="5" s="1"/>
  <c r="M30" i="5"/>
  <c r="GB38" i="5"/>
  <c r="DU35" i="5"/>
  <c r="GC35" i="5" s="1"/>
  <c r="AN35" i="5"/>
  <c r="FT17" i="5"/>
  <c r="DL1" i="5"/>
  <c r="EW1" i="5"/>
  <c r="DU73" i="5"/>
  <c r="GC73" i="5" s="1"/>
  <c r="AN73" i="5"/>
  <c r="M74" i="5"/>
  <c r="T74" i="5"/>
  <c r="U74" i="5" s="1"/>
  <c r="W74" i="5" s="1"/>
  <c r="O68" i="5"/>
  <c r="N68" i="5"/>
  <c r="T66" i="5"/>
  <c r="U66" i="5" s="1"/>
  <c r="W66" i="5" s="1"/>
  <c r="M66" i="5"/>
  <c r="DT61" i="5"/>
  <c r="GB61" i="5" s="1"/>
  <c r="AM61" i="5"/>
  <c r="O67" i="5"/>
  <c r="N67" i="5"/>
  <c r="R52" i="5"/>
  <c r="DS54" i="5"/>
  <c r="GA54" i="5" s="1"/>
  <c r="AL54" i="5"/>
  <c r="FS52" i="5"/>
  <c r="FW49" i="5"/>
  <c r="GA46" i="5"/>
  <c r="FW45" i="5"/>
  <c r="FY30" i="5"/>
  <c r="GA40" i="5"/>
  <c r="DV36" i="5"/>
  <c r="GD36" i="5" s="1"/>
  <c r="AO36" i="5"/>
  <c r="FW35" i="5"/>
  <c r="O35" i="5"/>
  <c r="N35" i="5"/>
  <c r="FR24" i="5"/>
  <c r="DU38" i="5"/>
  <c r="GC38" i="5" s="1"/>
  <c r="AN38" i="5"/>
  <c r="FX20" i="5"/>
  <c r="FY28" i="5"/>
  <c r="FV24" i="5"/>
  <c r="GE39" i="5"/>
  <c r="T18" i="5"/>
  <c r="U18" i="5" s="1"/>
  <c r="W18" i="5" s="1"/>
  <c r="M18" i="5"/>
  <c r="DS24" i="5"/>
  <c r="GA24" i="5" s="1"/>
  <c r="AL24" i="5"/>
  <c r="FF1" i="5"/>
  <c r="FH1" i="5"/>
  <c r="FU16" i="5"/>
  <c r="EO1" i="5"/>
  <c r="FS13" i="5"/>
  <c r="FT38" i="5"/>
  <c r="FS5" i="5"/>
  <c r="AM16" i="5"/>
  <c r="DT16" i="5"/>
  <c r="GB16" i="5" s="1"/>
  <c r="DT19" i="5"/>
  <c r="GB19" i="5" s="1"/>
  <c r="AM19" i="5"/>
  <c r="FT10" i="5"/>
  <c r="EQ1" i="5"/>
  <c r="O60" i="5"/>
  <c r="R51" i="5"/>
  <c r="DS52" i="5"/>
  <c r="GA52" i="5" s="1"/>
  <c r="AL52" i="5"/>
  <c r="FU70" i="5"/>
  <c r="T71" i="5"/>
  <c r="U71" i="5" s="1"/>
  <c r="W71" i="5" s="1"/>
  <c r="M71" i="5"/>
  <c r="O73" i="5"/>
  <c r="N73" i="5"/>
  <c r="FR67" i="5"/>
  <c r="O65" i="5"/>
  <c r="N65" i="5"/>
  <c r="FT68" i="5"/>
  <c r="FY56" i="5"/>
  <c r="FZ64" i="5"/>
  <c r="FY62" i="5"/>
  <c r="FV59" i="5"/>
  <c r="FT69" i="5"/>
  <c r="DS68" i="5"/>
  <c r="GA68" i="5" s="1"/>
  <c r="AL68" i="5"/>
  <c r="DS57" i="5"/>
  <c r="GA57" i="5" s="1"/>
  <c r="AL57" i="5"/>
  <c r="FV48" i="5"/>
  <c r="AL51" i="5"/>
  <c r="DS51" i="5"/>
  <c r="GA51" i="5" s="1"/>
  <c r="FV64" i="5"/>
  <c r="FV57" i="5"/>
  <c r="AM43" i="5"/>
  <c r="DT43" i="5"/>
  <c r="GB43" i="5" s="1"/>
  <c r="FU46" i="5"/>
  <c r="FW40" i="5"/>
  <c r="FU29" i="5"/>
  <c r="FS26" i="5"/>
  <c r="FT20" i="5"/>
  <c r="AN29" i="5"/>
  <c r="DU29" i="5"/>
  <c r="GC29" i="5" s="1"/>
  <c r="T24" i="5"/>
  <c r="U24" i="5" s="1"/>
  <c r="W24" i="5" s="1"/>
  <c r="M24" i="5"/>
  <c r="FW36" i="5"/>
  <c r="T26" i="5"/>
  <c r="U26" i="5" s="1"/>
  <c r="W26" i="5" s="1"/>
  <c r="M26" i="5"/>
  <c r="FW21" i="5"/>
  <c r="DX39" i="5"/>
  <c r="GF39" i="5" s="1"/>
  <c r="AQ39" i="5"/>
  <c r="FC1" i="5"/>
  <c r="L18" i="5"/>
  <c r="K18" i="5"/>
  <c r="FY14" i="5"/>
  <c r="FZ24" i="5"/>
  <c r="EX1" i="5"/>
  <c r="EZ1" i="5"/>
  <c r="FW14" i="5"/>
  <c r="FY9" i="5"/>
  <c r="FW11" i="5"/>
  <c r="DO1" i="5"/>
  <c r="FZ15" i="5"/>
  <c r="GB20" i="5"/>
  <c r="R38" i="5"/>
  <c r="FT13" i="5"/>
  <c r="GA16" i="5"/>
  <c r="GA19" i="5"/>
  <c r="L40" i="5"/>
  <c r="K40" i="5"/>
  <c r="L71" i="5"/>
  <c r="K71" i="5"/>
  <c r="AN71" i="5"/>
  <c r="DU71" i="5"/>
  <c r="GC71" i="5" s="1"/>
  <c r="T62" i="5"/>
  <c r="U62" i="5" s="1"/>
  <c r="W62" i="5" s="1"/>
  <c r="M62" i="5"/>
  <c r="DT65" i="5"/>
  <c r="GB65" i="5" s="1"/>
  <c r="AM65" i="5"/>
  <c r="AL66" i="5"/>
  <c r="DS66" i="5"/>
  <c r="GA66" i="5" s="1"/>
  <c r="FU59" i="5"/>
  <c r="FY55" i="5"/>
  <c r="N54" i="5"/>
  <c r="O54" i="5"/>
  <c r="DS63" i="5"/>
  <c r="GA63" i="5" s="1"/>
  <c r="AL63" i="5"/>
  <c r="FR57" i="5"/>
  <c r="FR49" i="5"/>
  <c r="FY43" i="5"/>
  <c r="FR45" i="5"/>
  <c r="AM44" i="5"/>
  <c r="DT44" i="5"/>
  <c r="GB44" i="5" s="1"/>
  <c r="FW46" i="5"/>
  <c r="O50" i="5"/>
  <c r="N50" i="5"/>
  <c r="FT40" i="5"/>
  <c r="FS40" i="5"/>
  <c r="FV40" i="5"/>
  <c r="M33" i="5"/>
  <c r="T33" i="5"/>
  <c r="U33" i="5" s="1"/>
  <c r="W33" i="5" s="1"/>
  <c r="FS42" i="5"/>
  <c r="FR35" i="5"/>
  <c r="FX31" i="5"/>
  <c r="DT34" i="5"/>
  <c r="GB34" i="5" s="1"/>
  <c r="AM34" i="5"/>
  <c r="R18" i="5"/>
  <c r="EU1" i="5"/>
  <c r="AM25" i="5"/>
  <c r="DT25" i="5"/>
  <c r="GB25" i="5" s="1"/>
  <c r="FI1" i="5"/>
  <c r="M34" i="5"/>
  <c r="T34" i="5"/>
  <c r="U34" i="5" s="1"/>
  <c r="W34" i="5" s="1"/>
  <c r="FV11" i="5"/>
  <c r="ER1" i="5"/>
  <c r="FG1" i="5"/>
  <c r="DS15" i="5"/>
  <c r="GA15" i="5" s="1"/>
  <c r="AL15" i="5"/>
  <c r="FT12" i="5"/>
  <c r="FV12" i="5"/>
  <c r="FX8" i="5"/>
  <c r="O19" i="5"/>
  <c r="N19" i="5"/>
  <c r="K13" i="5"/>
  <c r="L13" i="5"/>
  <c r="FV8" i="5"/>
  <c r="FX38" i="5"/>
  <c r="FT8" i="5"/>
  <c r="GB28" i="5"/>
  <c r="FV44" i="5"/>
  <c r="AL69" i="5"/>
  <c r="DS69" i="5"/>
  <c r="GA69" i="5" s="1"/>
  <c r="AN55" i="5"/>
  <c r="O63" i="5"/>
  <c r="N63" i="5"/>
  <c r="FX61" i="5"/>
  <c r="FU67" i="5"/>
  <c r="FS67" i="5"/>
  <c r="DV70" i="5"/>
  <c r="GD70" i="5" s="1"/>
  <c r="AO70" i="5"/>
  <c r="DT64" i="5"/>
  <c r="GB64" i="5" s="1"/>
  <c r="AM64" i="5"/>
  <c r="FZ66" i="5"/>
  <c r="FV49" i="5"/>
  <c r="FT45" i="5"/>
  <c r="FV45" i="5"/>
  <c r="FR43" i="5"/>
  <c r="FY45" i="5"/>
  <c r="DT45" i="5"/>
  <c r="GB45" i="5" s="1"/>
  <c r="AM45" i="5"/>
  <c r="DW40" i="5"/>
  <c r="GE40" i="5" s="1"/>
  <c r="AP40" i="5"/>
  <c r="AL42" i="5"/>
  <c r="DS42" i="5"/>
  <c r="GA42" i="5" s="1"/>
  <c r="FV35" i="5"/>
  <c r="AL22" i="5"/>
  <c r="DS22" i="5"/>
  <c r="GA22" i="5" s="1"/>
  <c r="O31" i="5"/>
  <c r="N31" i="5"/>
  <c r="FV25" i="5"/>
  <c r="FU11" i="5"/>
  <c r="DM1" i="5"/>
  <c r="FA1" i="5"/>
  <c r="L34" i="5"/>
  <c r="K34" i="5"/>
  <c r="FX16" i="5"/>
  <c r="DP1" i="5"/>
  <c r="FR11" i="5"/>
  <c r="DJ1" i="5"/>
  <c r="EY1" i="5"/>
  <c r="AM37" i="5"/>
  <c r="DT37" i="5"/>
  <c r="GB37" i="5" s="1"/>
  <c r="FV18" i="5"/>
  <c r="DN1" i="5"/>
  <c r="AL8" i="5"/>
  <c r="DS8" i="5"/>
  <c r="GA8" i="5" s="1"/>
  <c r="DS9" i="5"/>
  <c r="GA9" i="5" s="1"/>
  <c r="AL9" i="5"/>
  <c r="AM14" i="5"/>
  <c r="DT14" i="5"/>
  <c r="GB14" i="5" s="1"/>
  <c r="R24" i="1"/>
  <c r="R10" i="1"/>
  <c r="R11" i="1"/>
  <c r="R15" i="1"/>
  <c r="R9" i="1"/>
  <c r="R4" i="1"/>
  <c r="S4" i="1" s="1"/>
  <c r="T4" i="1" s="1"/>
  <c r="R18" i="1"/>
  <c r="R14" i="1"/>
  <c r="R6" i="1"/>
  <c r="E28" i="1"/>
  <c r="E30" i="1"/>
  <c r="E44" i="1"/>
  <c r="R13" i="1"/>
  <c r="R20" i="1"/>
  <c r="R5" i="1"/>
  <c r="R7" i="1"/>
  <c r="E40" i="1"/>
  <c r="R21" i="1"/>
  <c r="E43" i="1"/>
  <c r="E35" i="1"/>
  <c r="E37" i="1"/>
  <c r="R22" i="1"/>
  <c r="E48" i="1"/>
  <c r="R19" i="1"/>
  <c r="R12" i="1"/>
  <c r="R23" i="1"/>
  <c r="R17" i="1"/>
  <c r="E36" i="1"/>
  <c r="E46" i="1"/>
  <c r="E39" i="1"/>
  <c r="E42" i="1"/>
  <c r="R25" i="1"/>
  <c r="E29" i="1"/>
  <c r="E34" i="1"/>
  <c r="E26" i="1"/>
  <c r="E22" i="1"/>
  <c r="E18" i="1"/>
  <c r="E14" i="1"/>
  <c r="E9" i="1"/>
  <c r="E6" i="1"/>
  <c r="E4" i="1"/>
  <c r="F4" i="1" s="1"/>
  <c r="G4" i="1" s="1"/>
  <c r="E23" i="1"/>
  <c r="E19" i="1"/>
  <c r="E15" i="1"/>
  <c r="E12" i="1"/>
  <c r="E10" i="1"/>
  <c r="E25" i="1"/>
  <c r="E21" i="1"/>
  <c r="E17" i="1"/>
  <c r="E8" i="1"/>
  <c r="E5" i="1"/>
  <c r="F5" i="1" s="1"/>
  <c r="G5" i="1" s="1"/>
  <c r="E20" i="1"/>
  <c r="E7" i="1"/>
  <c r="E13" i="1"/>
  <c r="E24" i="1"/>
  <c r="E16" i="1"/>
  <c r="E11" i="1"/>
  <c r="E32" i="1"/>
  <c r="R16" i="1"/>
  <c r="E47" i="1"/>
  <c r="E41" i="1"/>
  <c r="E27" i="1"/>
  <c r="AN10" i="5" l="1"/>
  <c r="FR1" i="5"/>
  <c r="FX1" i="5"/>
  <c r="AN28" i="5"/>
  <c r="DT21" i="5"/>
  <c r="GB21" i="5" s="1"/>
  <c r="AM21" i="5"/>
  <c r="AO12" i="5"/>
  <c r="AP12" i="5" s="1"/>
  <c r="DU20" i="5"/>
  <c r="GC20" i="5" s="1"/>
  <c r="DT53" i="5"/>
  <c r="GB53" i="5" s="1"/>
  <c r="AM53" i="5"/>
  <c r="O14" i="5"/>
  <c r="N14" i="5"/>
  <c r="DT48" i="5"/>
  <c r="GB48" i="5" s="1"/>
  <c r="AM48" i="5"/>
  <c r="AM6" i="5"/>
  <c r="DT6" i="5"/>
  <c r="GB6" i="5" s="1"/>
  <c r="AM62" i="5"/>
  <c r="DT62" i="5"/>
  <c r="GB62" i="5" s="1"/>
  <c r="O43" i="5"/>
  <c r="N43" i="5"/>
  <c r="DT33" i="5"/>
  <c r="GB33" i="5" s="1"/>
  <c r="AM33" i="5"/>
  <c r="AM26" i="5"/>
  <c r="DT26" i="5"/>
  <c r="GB26" i="5" s="1"/>
  <c r="DT13" i="5"/>
  <c r="GB13" i="5" s="1"/>
  <c r="AM13" i="5"/>
  <c r="N55" i="5"/>
  <c r="O55" i="5"/>
  <c r="O47" i="5"/>
  <c r="N47" i="5"/>
  <c r="AM50" i="5"/>
  <c r="DT50" i="5"/>
  <c r="GB50" i="5" s="1"/>
  <c r="O17" i="5"/>
  <c r="N17" i="5"/>
  <c r="O56" i="5"/>
  <c r="N56" i="5"/>
  <c r="AM24" i="5"/>
  <c r="DT24" i="5"/>
  <c r="GB24" i="5" s="1"/>
  <c r="GA11" i="5"/>
  <c r="DS1" i="5"/>
  <c r="GA1" i="5" s="1"/>
  <c r="AN37" i="5"/>
  <c r="DU37" i="5"/>
  <c r="GC37" i="5" s="1"/>
  <c r="AN25" i="5"/>
  <c r="DU25" i="5"/>
  <c r="GC25" i="5" s="1"/>
  <c r="DT66" i="5"/>
  <c r="GB66" i="5" s="1"/>
  <c r="AM66" i="5"/>
  <c r="DT68" i="5"/>
  <c r="GB68" i="5" s="1"/>
  <c r="AM68" i="5"/>
  <c r="DV38" i="5"/>
  <c r="GD38" i="5" s="1"/>
  <c r="AO38" i="5"/>
  <c r="DV30" i="5"/>
  <c r="GD30" i="5" s="1"/>
  <c r="AO30" i="5"/>
  <c r="FU1" i="5"/>
  <c r="AM63" i="5"/>
  <c r="DT63" i="5"/>
  <c r="GB63" i="5" s="1"/>
  <c r="DU65" i="5"/>
  <c r="GC65" i="5" s="1"/>
  <c r="AN65" i="5"/>
  <c r="DW12" i="5"/>
  <c r="GE12" i="5" s="1"/>
  <c r="DV29" i="5"/>
  <c r="GD29" i="5" s="1"/>
  <c r="AO29" i="5"/>
  <c r="FT1" i="5"/>
  <c r="AN58" i="5"/>
  <c r="DU58" i="5"/>
  <c r="GC58" i="5" s="1"/>
  <c r="DU41" i="5"/>
  <c r="GC41" i="5" s="1"/>
  <c r="AN41" i="5"/>
  <c r="DU56" i="5"/>
  <c r="GC56" i="5" s="1"/>
  <c r="AN56" i="5"/>
  <c r="O27" i="5"/>
  <c r="N27" i="5"/>
  <c r="DT18" i="5"/>
  <c r="GB18" i="5" s="1"/>
  <c r="AM18" i="5"/>
  <c r="O74" i="5"/>
  <c r="N74" i="5"/>
  <c r="DT32" i="5"/>
  <c r="GB32" i="5" s="1"/>
  <c r="AM32" i="5"/>
  <c r="DV28" i="5"/>
  <c r="GD28" i="5" s="1"/>
  <c r="AO28" i="5"/>
  <c r="AQ40" i="5"/>
  <c r="DX40" i="5"/>
  <c r="GF40" i="5" s="1"/>
  <c r="DU34" i="5"/>
  <c r="GC34" i="5" s="1"/>
  <c r="AN34" i="5"/>
  <c r="O33" i="5"/>
  <c r="N33" i="5"/>
  <c r="O62" i="5"/>
  <c r="N62" i="5"/>
  <c r="O26" i="5"/>
  <c r="N26" i="5"/>
  <c r="AN19" i="5"/>
  <c r="DU19" i="5"/>
  <c r="GC19" i="5" s="1"/>
  <c r="AO20" i="5"/>
  <c r="DV20" i="5"/>
  <c r="GD20" i="5" s="1"/>
  <c r="AN61" i="5"/>
  <c r="DU61" i="5"/>
  <c r="GC61" i="5" s="1"/>
  <c r="DV73" i="5"/>
  <c r="GD73" i="5" s="1"/>
  <c r="AO73" i="5"/>
  <c r="DV35" i="5"/>
  <c r="GD35" i="5" s="1"/>
  <c r="AO35" i="5"/>
  <c r="DU49" i="5"/>
  <c r="GC49" i="5" s="1"/>
  <c r="AN49" i="5"/>
  <c r="DT7" i="5"/>
  <c r="GB7" i="5" s="1"/>
  <c r="AM7" i="5"/>
  <c r="FZ1" i="5"/>
  <c r="DV5" i="5"/>
  <c r="GD5" i="5" s="1"/>
  <c r="AO5" i="5"/>
  <c r="DT52" i="5"/>
  <c r="GB52" i="5" s="1"/>
  <c r="AM52" i="5"/>
  <c r="N64" i="5"/>
  <c r="O64" i="5"/>
  <c r="AN44" i="5"/>
  <c r="DU44" i="5"/>
  <c r="GC44" i="5" s="1"/>
  <c r="AM51" i="5"/>
  <c r="DT51" i="5"/>
  <c r="GB51" i="5" s="1"/>
  <c r="AN72" i="5"/>
  <c r="DU72" i="5"/>
  <c r="GC72" i="5" s="1"/>
  <c r="O28" i="5"/>
  <c r="N28" i="5"/>
  <c r="AN43" i="5"/>
  <c r="DU43" i="5"/>
  <c r="GC43" i="5" s="1"/>
  <c r="DT8" i="5"/>
  <c r="GB8" i="5" s="1"/>
  <c r="AM8" i="5"/>
  <c r="DT42" i="5"/>
  <c r="GB42" i="5" s="1"/>
  <c r="AM42" i="5"/>
  <c r="DT69" i="5"/>
  <c r="GB69" i="5" s="1"/>
  <c r="AM69" i="5"/>
  <c r="FV1" i="5"/>
  <c r="DU45" i="5"/>
  <c r="GC45" i="5" s="1"/>
  <c r="AN45" i="5"/>
  <c r="O34" i="5"/>
  <c r="N34" i="5"/>
  <c r="FW1" i="5"/>
  <c r="N71" i="5"/>
  <c r="O71" i="5"/>
  <c r="N66" i="5"/>
  <c r="O66" i="5"/>
  <c r="DV46" i="5"/>
  <c r="GD46" i="5" s="1"/>
  <c r="AO46" i="5"/>
  <c r="FS1" i="5"/>
  <c r="DU60" i="5"/>
  <c r="GC60" i="5" s="1"/>
  <c r="AN60" i="5"/>
  <c r="AO17" i="5"/>
  <c r="DV17" i="5"/>
  <c r="GD17" i="5" s="1"/>
  <c r="AN14" i="5"/>
  <c r="DU14" i="5"/>
  <c r="GC14" i="5" s="1"/>
  <c r="DU64" i="5"/>
  <c r="GC64" i="5" s="1"/>
  <c r="AN64" i="5"/>
  <c r="AO71" i="5"/>
  <c r="DV71" i="5"/>
  <c r="GD71" i="5" s="1"/>
  <c r="O24" i="5"/>
  <c r="N24" i="5"/>
  <c r="AM57" i="5"/>
  <c r="DT57" i="5"/>
  <c r="GB57" i="5" s="1"/>
  <c r="DU16" i="5"/>
  <c r="GC16" i="5" s="1"/>
  <c r="AN16" i="5"/>
  <c r="DW36" i="5"/>
  <c r="GE36" i="5" s="1"/>
  <c r="AP36" i="5"/>
  <c r="DT54" i="5"/>
  <c r="GB54" i="5" s="1"/>
  <c r="AM54" i="5"/>
  <c r="O30" i="5"/>
  <c r="N30" i="5"/>
  <c r="O25" i="5"/>
  <c r="N25" i="5"/>
  <c r="DX31" i="5"/>
  <c r="GF31" i="5" s="1"/>
  <c r="AQ31" i="5"/>
  <c r="DT59" i="5"/>
  <c r="GB59" i="5" s="1"/>
  <c r="AM59" i="5"/>
  <c r="DU67" i="5"/>
  <c r="GC67" i="5" s="1"/>
  <c r="AN67" i="5"/>
  <c r="AM11" i="5"/>
  <c r="DT11" i="5"/>
  <c r="AL1" i="5"/>
  <c r="AP70" i="5"/>
  <c r="DW70" i="5"/>
  <c r="GE70" i="5" s="1"/>
  <c r="DY39" i="5"/>
  <c r="GG39" i="5" s="1"/>
  <c r="AR39" i="5"/>
  <c r="O18" i="5"/>
  <c r="N18" i="5"/>
  <c r="DU74" i="5"/>
  <c r="GC74" i="5" s="1"/>
  <c r="AN74" i="5"/>
  <c r="N48" i="5"/>
  <c r="O48" i="5"/>
  <c r="AM9" i="5"/>
  <c r="DT9" i="5"/>
  <c r="GB9" i="5" s="1"/>
  <c r="DT22" i="5"/>
  <c r="GB22" i="5" s="1"/>
  <c r="AM22" i="5"/>
  <c r="AO55" i="5"/>
  <c r="DV55" i="5"/>
  <c r="GD55" i="5" s="1"/>
  <c r="DT15" i="5"/>
  <c r="GB15" i="5" s="1"/>
  <c r="AM15" i="5"/>
  <c r="FY1" i="5"/>
  <c r="S5" i="1"/>
  <c r="T5" i="1" s="1"/>
  <c r="F6" i="1"/>
  <c r="G6" i="1" s="1"/>
  <c r="AO10" i="5" l="1"/>
  <c r="DV10" i="5"/>
  <c r="GD10" i="5" s="1"/>
  <c r="AN21" i="5"/>
  <c r="DU21" i="5"/>
  <c r="GC21" i="5" s="1"/>
  <c r="DU50" i="5"/>
  <c r="GC50" i="5" s="1"/>
  <c r="AN50" i="5"/>
  <c r="AN26" i="5"/>
  <c r="DU26" i="5"/>
  <c r="GC26" i="5" s="1"/>
  <c r="DU6" i="5"/>
  <c r="GC6" i="5" s="1"/>
  <c r="AN6" i="5"/>
  <c r="DU33" i="5"/>
  <c r="GC33" i="5" s="1"/>
  <c r="AN33" i="5"/>
  <c r="DU48" i="5"/>
  <c r="GC48" i="5" s="1"/>
  <c r="AN48" i="5"/>
  <c r="AN13" i="5"/>
  <c r="DU13" i="5"/>
  <c r="GC13" i="5" s="1"/>
  <c r="DU53" i="5"/>
  <c r="GC53" i="5" s="1"/>
  <c r="AN53" i="5"/>
  <c r="AN62" i="5"/>
  <c r="DU62" i="5"/>
  <c r="GC62" i="5" s="1"/>
  <c r="DU22" i="5"/>
  <c r="GC22" i="5" s="1"/>
  <c r="AN22" i="5"/>
  <c r="AN42" i="5"/>
  <c r="DU42" i="5"/>
  <c r="GC42" i="5" s="1"/>
  <c r="DU52" i="5"/>
  <c r="GC52" i="5" s="1"/>
  <c r="AN52" i="5"/>
  <c r="DV67" i="5"/>
  <c r="GD67" i="5" s="1"/>
  <c r="AO67" i="5"/>
  <c r="DV72" i="5"/>
  <c r="GD72" i="5" s="1"/>
  <c r="AO72" i="5"/>
  <c r="DW35" i="5"/>
  <c r="GE35" i="5" s="1"/>
  <c r="AP35" i="5"/>
  <c r="AN32" i="5"/>
  <c r="DU32" i="5"/>
  <c r="GC32" i="5" s="1"/>
  <c r="DZ39" i="5"/>
  <c r="GH39" i="5" s="1"/>
  <c r="AS39" i="5"/>
  <c r="AN24" i="5"/>
  <c r="DU24" i="5"/>
  <c r="GC24" i="5" s="1"/>
  <c r="AP73" i="5"/>
  <c r="DW73" i="5"/>
  <c r="GE73" i="5" s="1"/>
  <c r="DU15" i="5"/>
  <c r="GC15" i="5" s="1"/>
  <c r="AN15" i="5"/>
  <c r="AR40" i="5"/>
  <c r="DY40" i="5"/>
  <c r="GG40" i="5" s="1"/>
  <c r="AO25" i="5"/>
  <c r="DV25" i="5"/>
  <c r="GD25" i="5" s="1"/>
  <c r="DX70" i="5"/>
  <c r="GF70" i="5" s="1"/>
  <c r="AQ70" i="5"/>
  <c r="DV43" i="5"/>
  <c r="GD43" i="5" s="1"/>
  <c r="AO43" i="5"/>
  <c r="DV44" i="5"/>
  <c r="GD44" i="5" s="1"/>
  <c r="AO44" i="5"/>
  <c r="DU7" i="5"/>
  <c r="GC7" i="5" s="1"/>
  <c r="AN7" i="5"/>
  <c r="DU18" i="5"/>
  <c r="GC18" i="5" s="1"/>
  <c r="AN18" i="5"/>
  <c r="DX12" i="5"/>
  <c r="GF12" i="5" s="1"/>
  <c r="AQ12" i="5"/>
  <c r="DW38" i="5"/>
  <c r="GE38" i="5" s="1"/>
  <c r="AP38" i="5"/>
  <c r="DU11" i="5"/>
  <c r="AN11" i="5"/>
  <c r="AM1" i="5"/>
  <c r="DU57" i="5"/>
  <c r="GC57" i="5" s="1"/>
  <c r="AN57" i="5"/>
  <c r="AO64" i="5"/>
  <c r="DV64" i="5"/>
  <c r="GD64" i="5" s="1"/>
  <c r="AO56" i="5"/>
  <c r="DV56" i="5"/>
  <c r="GD56" i="5" s="1"/>
  <c r="DU63" i="5"/>
  <c r="GC63" i="5" s="1"/>
  <c r="AN63" i="5"/>
  <c r="DW46" i="5"/>
  <c r="GE46" i="5" s="1"/>
  <c r="AP46" i="5"/>
  <c r="AO19" i="5"/>
  <c r="DV19" i="5"/>
  <c r="GD19" i="5" s="1"/>
  <c r="AP29" i="5"/>
  <c r="DW29" i="5"/>
  <c r="GE29" i="5" s="1"/>
  <c r="DU9" i="5"/>
  <c r="GC9" i="5" s="1"/>
  <c r="AN9" i="5"/>
  <c r="DU59" i="5"/>
  <c r="GC59" i="5" s="1"/>
  <c r="AN59" i="5"/>
  <c r="DV45" i="5"/>
  <c r="GD45" i="5" s="1"/>
  <c r="AO45" i="5"/>
  <c r="DU51" i="5"/>
  <c r="GC51" i="5" s="1"/>
  <c r="AN51" i="5"/>
  <c r="AO41" i="5"/>
  <c r="DV41" i="5"/>
  <c r="GD41" i="5" s="1"/>
  <c r="AO14" i="5"/>
  <c r="DV14" i="5"/>
  <c r="GD14" i="5" s="1"/>
  <c r="DV74" i="5"/>
  <c r="GD74" i="5" s="1"/>
  <c r="AO74" i="5"/>
  <c r="DW71" i="5"/>
  <c r="GE71" i="5" s="1"/>
  <c r="AP71" i="5"/>
  <c r="DW17" i="5"/>
  <c r="GE17" i="5" s="1"/>
  <c r="AP17" i="5"/>
  <c r="DU69" i="5"/>
  <c r="GC69" i="5" s="1"/>
  <c r="AN69" i="5"/>
  <c r="AO61" i="5"/>
  <c r="DV61" i="5"/>
  <c r="GD61" i="5" s="1"/>
  <c r="DV58" i="5"/>
  <c r="GD58" i="5" s="1"/>
  <c r="AO58" i="5"/>
  <c r="AO65" i="5"/>
  <c r="DV65" i="5"/>
  <c r="GD65" i="5" s="1"/>
  <c r="AO37" i="5"/>
  <c r="DV37" i="5"/>
  <c r="GD37" i="5" s="1"/>
  <c r="AP20" i="5"/>
  <c r="DW20" i="5"/>
  <c r="GE20" i="5" s="1"/>
  <c r="DX36" i="5"/>
  <c r="GF36" i="5" s="1"/>
  <c r="AQ36" i="5"/>
  <c r="DV34" i="5"/>
  <c r="GD34" i="5" s="1"/>
  <c r="AO34" i="5"/>
  <c r="DU66" i="5"/>
  <c r="GC66" i="5" s="1"/>
  <c r="AN66" i="5"/>
  <c r="AN8" i="5"/>
  <c r="DU8" i="5"/>
  <c r="GC8" i="5" s="1"/>
  <c r="DW5" i="5"/>
  <c r="GE5" i="5" s="1"/>
  <c r="AP5" i="5"/>
  <c r="AO16" i="5"/>
  <c r="DV16" i="5"/>
  <c r="GD16" i="5" s="1"/>
  <c r="AP30" i="5"/>
  <c r="DW30" i="5"/>
  <c r="GE30" i="5" s="1"/>
  <c r="DW55" i="5"/>
  <c r="GE55" i="5" s="1"/>
  <c r="AP55" i="5"/>
  <c r="DT1" i="5"/>
  <c r="GB1" i="5" s="1"/>
  <c r="GB11" i="5"/>
  <c r="AR31" i="5"/>
  <c r="DY31" i="5"/>
  <c r="GG31" i="5" s="1"/>
  <c r="AN54" i="5"/>
  <c r="DU54" i="5"/>
  <c r="GC54" i="5" s="1"/>
  <c r="AO60" i="5"/>
  <c r="DV60" i="5"/>
  <c r="GD60" i="5" s="1"/>
  <c r="DV49" i="5"/>
  <c r="GD49" i="5" s="1"/>
  <c r="AO49" i="5"/>
  <c r="DW28" i="5"/>
  <c r="GE28" i="5" s="1"/>
  <c r="AP28" i="5"/>
  <c r="AN68" i="5"/>
  <c r="DU68" i="5"/>
  <c r="GC68" i="5" s="1"/>
  <c r="S6" i="1"/>
  <c r="T6" i="1" s="1"/>
  <c r="F7" i="1"/>
  <c r="S7" i="1"/>
  <c r="DW10" i="5" l="1"/>
  <c r="GE10" i="5" s="1"/>
  <c r="AP10" i="5"/>
  <c r="AO21" i="5"/>
  <c r="DV21" i="5"/>
  <c r="GD21" i="5" s="1"/>
  <c r="DV62" i="5"/>
  <c r="GD62" i="5" s="1"/>
  <c r="AO62" i="5"/>
  <c r="DV53" i="5"/>
  <c r="GD53" i="5" s="1"/>
  <c r="AO53" i="5"/>
  <c r="DV6" i="5"/>
  <c r="GD6" i="5" s="1"/>
  <c r="AO6" i="5"/>
  <c r="DV33" i="5"/>
  <c r="GD33" i="5" s="1"/>
  <c r="AO33" i="5"/>
  <c r="AO13" i="5"/>
  <c r="DV13" i="5"/>
  <c r="GD13" i="5" s="1"/>
  <c r="AO26" i="5"/>
  <c r="DV26" i="5"/>
  <c r="GD26" i="5" s="1"/>
  <c r="DV48" i="5"/>
  <c r="GD48" i="5" s="1"/>
  <c r="AO48" i="5"/>
  <c r="DV50" i="5"/>
  <c r="GD50" i="5" s="1"/>
  <c r="AO50" i="5"/>
  <c r="AO9" i="5"/>
  <c r="DV9" i="5"/>
  <c r="GD9" i="5" s="1"/>
  <c r="DV15" i="5"/>
  <c r="GD15" i="5" s="1"/>
  <c r="AO15" i="5"/>
  <c r="DX71" i="5"/>
  <c r="GF71" i="5" s="1"/>
  <c r="AQ71" i="5"/>
  <c r="AP41" i="5"/>
  <c r="DW41" i="5"/>
  <c r="GE41" i="5" s="1"/>
  <c r="AO11" i="5"/>
  <c r="AN1" i="5"/>
  <c r="DV11" i="5"/>
  <c r="AR70" i="5"/>
  <c r="DY70" i="5"/>
  <c r="GG70" i="5" s="1"/>
  <c r="AQ28" i="5"/>
  <c r="DX28" i="5"/>
  <c r="GF28" i="5" s="1"/>
  <c r="AP58" i="5"/>
  <c r="DW58" i="5"/>
  <c r="GE58" i="5" s="1"/>
  <c r="DW74" i="5"/>
  <c r="GE74" i="5" s="1"/>
  <c r="AP74" i="5"/>
  <c r="AO51" i="5"/>
  <c r="DV51" i="5"/>
  <c r="GD51" i="5" s="1"/>
  <c r="GC11" i="5"/>
  <c r="DU1" i="5"/>
  <c r="GC1" i="5" s="1"/>
  <c r="AO32" i="5"/>
  <c r="DV32" i="5"/>
  <c r="GD32" i="5" s="1"/>
  <c r="AO54" i="5"/>
  <c r="DV54" i="5"/>
  <c r="GD54" i="5" s="1"/>
  <c r="DV8" i="5"/>
  <c r="GD8" i="5" s="1"/>
  <c r="AO8" i="5"/>
  <c r="AQ29" i="5"/>
  <c r="DX29" i="5"/>
  <c r="GF29" i="5" s="1"/>
  <c r="DW56" i="5"/>
  <c r="GE56" i="5" s="1"/>
  <c r="AP56" i="5"/>
  <c r="DX38" i="5"/>
  <c r="GF38" i="5" s="1"/>
  <c r="AQ38" i="5"/>
  <c r="DV7" i="5"/>
  <c r="GD7" i="5" s="1"/>
  <c r="AO7" i="5"/>
  <c r="DX35" i="5"/>
  <c r="GF35" i="5" s="1"/>
  <c r="AQ35" i="5"/>
  <c r="AO52" i="5"/>
  <c r="DV52" i="5"/>
  <c r="GD52" i="5" s="1"/>
  <c r="AQ5" i="5"/>
  <c r="DX5" i="5"/>
  <c r="GF5" i="5" s="1"/>
  <c r="AP65" i="5"/>
  <c r="DW65" i="5"/>
  <c r="GE65" i="5" s="1"/>
  <c r="AP25" i="5"/>
  <c r="DW25" i="5"/>
  <c r="GE25" i="5" s="1"/>
  <c r="DZ31" i="5"/>
  <c r="GH31" i="5" s="1"/>
  <c r="AS31" i="5"/>
  <c r="DX30" i="5"/>
  <c r="GF30" i="5" s="1"/>
  <c r="AQ30" i="5"/>
  <c r="AQ20" i="5"/>
  <c r="DX20" i="5"/>
  <c r="GF20" i="5" s="1"/>
  <c r="AP61" i="5"/>
  <c r="DW61" i="5"/>
  <c r="GE61" i="5" s="1"/>
  <c r="AP19" i="5"/>
  <c r="DW19" i="5"/>
  <c r="GE19" i="5" s="1"/>
  <c r="DW64" i="5"/>
  <c r="GE64" i="5" s="1"/>
  <c r="AP64" i="5"/>
  <c r="AR12" i="5"/>
  <c r="DY12" i="5"/>
  <c r="GG12" i="5" s="1"/>
  <c r="DW44" i="5"/>
  <c r="GE44" i="5" s="1"/>
  <c r="AP44" i="5"/>
  <c r="DW72" i="5"/>
  <c r="GE72" i="5" s="1"/>
  <c r="AP72" i="5"/>
  <c r="AQ55" i="5"/>
  <c r="DX55" i="5"/>
  <c r="GF55" i="5" s="1"/>
  <c r="DW45" i="5"/>
  <c r="GE45" i="5" s="1"/>
  <c r="AP45" i="5"/>
  <c r="AQ73" i="5"/>
  <c r="DX73" i="5"/>
  <c r="GF73" i="5" s="1"/>
  <c r="AO69" i="5"/>
  <c r="DV69" i="5"/>
  <c r="GD69" i="5" s="1"/>
  <c r="DV59" i="5"/>
  <c r="GD59" i="5" s="1"/>
  <c r="AO59" i="5"/>
  <c r="AO57" i="5"/>
  <c r="DV57" i="5"/>
  <c r="GD57" i="5" s="1"/>
  <c r="DZ40" i="5"/>
  <c r="GH40" i="5" s="1"/>
  <c r="AS40" i="5"/>
  <c r="AO24" i="5"/>
  <c r="DV24" i="5"/>
  <c r="GD24" i="5" s="1"/>
  <c r="DV42" i="5"/>
  <c r="GD42" i="5" s="1"/>
  <c r="AO42" i="5"/>
  <c r="AR36" i="5"/>
  <c r="DY36" i="5"/>
  <c r="GG36" i="5" s="1"/>
  <c r="DX17" i="5"/>
  <c r="GF17" i="5" s="1"/>
  <c r="AQ17" i="5"/>
  <c r="AO63" i="5"/>
  <c r="DV63" i="5"/>
  <c r="GD63" i="5" s="1"/>
  <c r="DV68" i="5"/>
  <c r="GD68" i="5" s="1"/>
  <c r="AO68" i="5"/>
  <c r="DW49" i="5"/>
  <c r="GE49" i="5" s="1"/>
  <c r="AP49" i="5"/>
  <c r="AO66" i="5"/>
  <c r="DV66" i="5"/>
  <c r="GD66" i="5" s="1"/>
  <c r="DW34" i="5"/>
  <c r="GE34" i="5" s="1"/>
  <c r="AP34" i="5"/>
  <c r="DX46" i="5"/>
  <c r="GF46" i="5" s="1"/>
  <c r="AQ46" i="5"/>
  <c r="AP60" i="5"/>
  <c r="DW60" i="5"/>
  <c r="GE60" i="5" s="1"/>
  <c r="DW16" i="5"/>
  <c r="GE16" i="5" s="1"/>
  <c r="AP16" i="5"/>
  <c r="DW37" i="5"/>
  <c r="GE37" i="5" s="1"/>
  <c r="AP37" i="5"/>
  <c r="AP14" i="5"/>
  <c r="DW14" i="5"/>
  <c r="GE14" i="5" s="1"/>
  <c r="AO18" i="5"/>
  <c r="DV18" i="5"/>
  <c r="GD18" i="5" s="1"/>
  <c r="AP43" i="5"/>
  <c r="DW43" i="5"/>
  <c r="GE43" i="5" s="1"/>
  <c r="EA39" i="5"/>
  <c r="GI39" i="5" s="1"/>
  <c r="AT39" i="5"/>
  <c r="AP67" i="5"/>
  <c r="DW67" i="5"/>
  <c r="GE67" i="5" s="1"/>
  <c r="DV22" i="5"/>
  <c r="GD22" i="5" s="1"/>
  <c r="AO22" i="5"/>
  <c r="G7" i="1"/>
  <c r="F8" i="1"/>
  <c r="T7" i="1"/>
  <c r="S8" i="1"/>
  <c r="DX10" i="5" l="1"/>
  <c r="GF10" i="5" s="1"/>
  <c r="AQ10" i="5"/>
  <c r="AP21" i="5"/>
  <c r="DW21" i="5"/>
  <c r="GE21" i="5" s="1"/>
  <c r="AP48" i="5"/>
  <c r="DW48" i="5"/>
  <c r="GE48" i="5" s="1"/>
  <c r="DW6" i="5"/>
  <c r="GE6" i="5" s="1"/>
  <c r="AP6" i="5"/>
  <c r="DW50" i="5"/>
  <c r="GE50" i="5" s="1"/>
  <c r="AP50" i="5"/>
  <c r="AP53" i="5"/>
  <c r="DW53" i="5"/>
  <c r="GE53" i="5" s="1"/>
  <c r="AP62" i="5"/>
  <c r="DW62" i="5"/>
  <c r="GE62" i="5" s="1"/>
  <c r="DW33" i="5"/>
  <c r="GE33" i="5" s="1"/>
  <c r="AP33" i="5"/>
  <c r="AP26" i="5"/>
  <c r="DW26" i="5"/>
  <c r="GE26" i="5" s="1"/>
  <c r="DW13" i="5"/>
  <c r="GE13" i="5" s="1"/>
  <c r="AP13" i="5"/>
  <c r="AR35" i="5"/>
  <c r="DY35" i="5"/>
  <c r="GG35" i="5" s="1"/>
  <c r="AP18" i="5"/>
  <c r="DW18" i="5"/>
  <c r="GE18" i="5" s="1"/>
  <c r="DW69" i="5"/>
  <c r="GE69" i="5" s="1"/>
  <c r="AP69" i="5"/>
  <c r="AR46" i="5"/>
  <c r="DY46" i="5"/>
  <c r="GG46" i="5" s="1"/>
  <c r="AQ64" i="5"/>
  <c r="DX64" i="5"/>
  <c r="GF64" i="5" s="1"/>
  <c r="DW7" i="5"/>
  <c r="GE7" i="5" s="1"/>
  <c r="AP7" i="5"/>
  <c r="DW8" i="5"/>
  <c r="GE8" i="5" s="1"/>
  <c r="AP8" i="5"/>
  <c r="DV1" i="5"/>
  <c r="GD1" i="5" s="1"/>
  <c r="GD11" i="5"/>
  <c r="DX67" i="5"/>
  <c r="GF67" i="5" s="1"/>
  <c r="AQ67" i="5"/>
  <c r="DX14" i="5"/>
  <c r="GF14" i="5" s="1"/>
  <c r="AQ14" i="5"/>
  <c r="DW66" i="5"/>
  <c r="GE66" i="5" s="1"/>
  <c r="AP66" i="5"/>
  <c r="DY73" i="5"/>
  <c r="GG73" i="5" s="1"/>
  <c r="AR73" i="5"/>
  <c r="DY55" i="5"/>
  <c r="GG55" i="5" s="1"/>
  <c r="AR55" i="5"/>
  <c r="AR20" i="5"/>
  <c r="DY20" i="5"/>
  <c r="GG20" i="5" s="1"/>
  <c r="AQ65" i="5"/>
  <c r="DX65" i="5"/>
  <c r="GF65" i="5" s="1"/>
  <c r="AP15" i="5"/>
  <c r="DW15" i="5"/>
  <c r="GE15" i="5" s="1"/>
  <c r="DX61" i="5"/>
  <c r="GF61" i="5" s="1"/>
  <c r="AQ61" i="5"/>
  <c r="AP24" i="5"/>
  <c r="DW24" i="5"/>
  <c r="GE24" i="5" s="1"/>
  <c r="AQ37" i="5"/>
  <c r="DX37" i="5"/>
  <c r="GF37" i="5" s="1"/>
  <c r="AQ72" i="5"/>
  <c r="DX72" i="5"/>
  <c r="GF72" i="5" s="1"/>
  <c r="DW11" i="5"/>
  <c r="AP11" i="5"/>
  <c r="AO1" i="5"/>
  <c r="AS36" i="5"/>
  <c r="DZ36" i="5"/>
  <c r="GH36" i="5" s="1"/>
  <c r="AP57" i="5"/>
  <c r="DW57" i="5"/>
  <c r="GE57" i="5" s="1"/>
  <c r="AQ19" i="5"/>
  <c r="DX19" i="5"/>
  <c r="GF19" i="5" s="1"/>
  <c r="AR5" i="5"/>
  <c r="DY5" i="5"/>
  <c r="GG5" i="5" s="1"/>
  <c r="AP54" i="5"/>
  <c r="DW54" i="5"/>
  <c r="GE54" i="5" s="1"/>
  <c r="DW51" i="5"/>
  <c r="GE51" i="5" s="1"/>
  <c r="AP51" i="5"/>
  <c r="DW63" i="5"/>
  <c r="GE63" i="5" s="1"/>
  <c r="AP63" i="5"/>
  <c r="AQ25" i="5"/>
  <c r="DX25" i="5"/>
  <c r="GF25" i="5" s="1"/>
  <c r="DY29" i="5"/>
  <c r="GG29" i="5" s="1"/>
  <c r="AR29" i="5"/>
  <c r="DZ70" i="5"/>
  <c r="GH70" i="5" s="1"/>
  <c r="AS70" i="5"/>
  <c r="EA40" i="5"/>
  <c r="GI40" i="5" s="1"/>
  <c r="AT40" i="5"/>
  <c r="AQ49" i="5"/>
  <c r="DX49" i="5"/>
  <c r="GF49" i="5" s="1"/>
  <c r="DX16" i="5"/>
  <c r="GF16" i="5" s="1"/>
  <c r="AQ16" i="5"/>
  <c r="AQ34" i="5"/>
  <c r="DX34" i="5"/>
  <c r="GF34" i="5" s="1"/>
  <c r="AP68" i="5"/>
  <c r="DW68" i="5"/>
  <c r="GE68" i="5" s="1"/>
  <c r="DW42" i="5"/>
  <c r="GE42" i="5" s="1"/>
  <c r="AP42" i="5"/>
  <c r="AP59" i="5"/>
  <c r="DW59" i="5"/>
  <c r="GE59" i="5" s="1"/>
  <c r="AQ44" i="5"/>
  <c r="DX44" i="5"/>
  <c r="GF44" i="5" s="1"/>
  <c r="EA31" i="5"/>
  <c r="GI31" i="5" s="1"/>
  <c r="AT31" i="5"/>
  <c r="AQ56" i="5"/>
  <c r="DX56" i="5"/>
  <c r="GF56" i="5" s="1"/>
  <c r="DX74" i="5"/>
  <c r="GF74" i="5" s="1"/>
  <c r="AQ74" i="5"/>
  <c r="DX41" i="5"/>
  <c r="GF41" i="5" s="1"/>
  <c r="AQ41" i="5"/>
  <c r="DW22" i="5"/>
  <c r="GE22" i="5" s="1"/>
  <c r="AP22" i="5"/>
  <c r="DW9" i="5"/>
  <c r="GE9" i="5" s="1"/>
  <c r="AP9" i="5"/>
  <c r="AQ60" i="5"/>
  <c r="DX60" i="5"/>
  <c r="GF60" i="5" s="1"/>
  <c r="DZ12" i="5"/>
  <c r="GH12" i="5" s="1"/>
  <c r="AS12" i="5"/>
  <c r="DX58" i="5"/>
  <c r="GF58" i="5" s="1"/>
  <c r="AQ58" i="5"/>
  <c r="DY17" i="5"/>
  <c r="GG17" i="5" s="1"/>
  <c r="AR17" i="5"/>
  <c r="AU39" i="5"/>
  <c r="EB39" i="5"/>
  <c r="GJ39" i="5" s="1"/>
  <c r="AQ45" i="5"/>
  <c r="DX45" i="5"/>
  <c r="GF45" i="5" s="1"/>
  <c r="DY30" i="5"/>
  <c r="GG30" i="5" s="1"/>
  <c r="AR30" i="5"/>
  <c r="AR38" i="5"/>
  <c r="DY38" i="5"/>
  <c r="GG38" i="5" s="1"/>
  <c r="DX43" i="5"/>
  <c r="GF43" i="5" s="1"/>
  <c r="AQ43" i="5"/>
  <c r="AP52" i="5"/>
  <c r="DW52" i="5"/>
  <c r="GE52" i="5" s="1"/>
  <c r="AP32" i="5"/>
  <c r="DW32" i="5"/>
  <c r="GE32" i="5" s="1"/>
  <c r="AR28" i="5"/>
  <c r="DY28" i="5"/>
  <c r="GG28" i="5" s="1"/>
  <c r="DY71" i="5"/>
  <c r="GG71" i="5" s="1"/>
  <c r="AR71" i="5"/>
  <c r="T8" i="1"/>
  <c r="S9" i="1"/>
  <c r="G8" i="1"/>
  <c r="F9" i="1"/>
  <c r="AR10" i="5" l="1"/>
  <c r="DY10" i="5"/>
  <c r="GG10" i="5" s="1"/>
  <c r="DX21" i="5"/>
  <c r="GF21" i="5" s="1"/>
  <c r="AQ21" i="5"/>
  <c r="DX53" i="5"/>
  <c r="GF53" i="5" s="1"/>
  <c r="AQ53" i="5"/>
  <c r="DX50" i="5"/>
  <c r="GF50" i="5" s="1"/>
  <c r="AQ50" i="5"/>
  <c r="AQ26" i="5"/>
  <c r="DX26" i="5"/>
  <c r="GF26" i="5" s="1"/>
  <c r="DX13" i="5"/>
  <c r="GF13" i="5" s="1"/>
  <c r="AQ13" i="5"/>
  <c r="AQ33" i="5"/>
  <c r="DX33" i="5"/>
  <c r="GF33" i="5" s="1"/>
  <c r="AQ6" i="5"/>
  <c r="DX6" i="5"/>
  <c r="GF6" i="5" s="1"/>
  <c r="DX62" i="5"/>
  <c r="GF62" i="5" s="1"/>
  <c r="AQ62" i="5"/>
  <c r="DX48" i="5"/>
  <c r="GF48" i="5" s="1"/>
  <c r="AQ48" i="5"/>
  <c r="DY72" i="5"/>
  <c r="GG72" i="5" s="1"/>
  <c r="AR72" i="5"/>
  <c r="DY65" i="5"/>
  <c r="GG65" i="5" s="1"/>
  <c r="AR65" i="5"/>
  <c r="AS46" i="5"/>
  <c r="DZ46" i="5"/>
  <c r="GH46" i="5" s="1"/>
  <c r="AQ66" i="5"/>
  <c r="DX66" i="5"/>
  <c r="GF66" i="5" s="1"/>
  <c r="AS17" i="5"/>
  <c r="DZ17" i="5"/>
  <c r="GH17" i="5" s="1"/>
  <c r="EB40" i="5"/>
  <c r="GJ40" i="5" s="1"/>
  <c r="AU40" i="5"/>
  <c r="DY60" i="5"/>
  <c r="GG60" i="5" s="1"/>
  <c r="AR60" i="5"/>
  <c r="AR49" i="5"/>
  <c r="DY49" i="5"/>
  <c r="GG49" i="5" s="1"/>
  <c r="DX8" i="5"/>
  <c r="GF8" i="5" s="1"/>
  <c r="AQ8" i="5"/>
  <c r="AS20" i="5"/>
  <c r="DZ20" i="5"/>
  <c r="GH20" i="5" s="1"/>
  <c r="AQ32" i="5"/>
  <c r="DX32" i="5"/>
  <c r="GF32" i="5" s="1"/>
  <c r="AS38" i="5"/>
  <c r="DZ38" i="5"/>
  <c r="GH38" i="5" s="1"/>
  <c r="AR44" i="5"/>
  <c r="DY44" i="5"/>
  <c r="GG44" i="5" s="1"/>
  <c r="AR34" i="5"/>
  <c r="DY34" i="5"/>
  <c r="GG34" i="5" s="1"/>
  <c r="AS5" i="5"/>
  <c r="DZ5" i="5"/>
  <c r="GH5" i="5" s="1"/>
  <c r="AR61" i="5"/>
  <c r="DY61" i="5"/>
  <c r="GG61" i="5" s="1"/>
  <c r="AS55" i="5"/>
  <c r="DZ55" i="5"/>
  <c r="GH55" i="5" s="1"/>
  <c r="AR67" i="5"/>
  <c r="DY67" i="5"/>
  <c r="GG67" i="5" s="1"/>
  <c r="DX7" i="5"/>
  <c r="GF7" i="5" s="1"/>
  <c r="AQ7" i="5"/>
  <c r="DY41" i="5"/>
  <c r="GG41" i="5" s="1"/>
  <c r="AR41" i="5"/>
  <c r="EC39" i="5"/>
  <c r="GK39" i="5" s="1"/>
  <c r="AV39" i="5"/>
  <c r="AR25" i="5"/>
  <c r="DY25" i="5"/>
  <c r="GG25" i="5" s="1"/>
  <c r="DY14" i="5"/>
  <c r="GG14" i="5" s="1"/>
  <c r="AR14" i="5"/>
  <c r="DX18" i="5"/>
  <c r="GF18" i="5" s="1"/>
  <c r="AQ18" i="5"/>
  <c r="AR45" i="5"/>
  <c r="DY45" i="5"/>
  <c r="GG45" i="5" s="1"/>
  <c r="DX57" i="5"/>
  <c r="GF57" i="5" s="1"/>
  <c r="AQ57" i="5"/>
  <c r="AQ9" i="5"/>
  <c r="DX9" i="5"/>
  <c r="GF9" i="5" s="1"/>
  <c r="AS30" i="5"/>
  <c r="DZ30" i="5"/>
  <c r="GH30" i="5" s="1"/>
  <c r="AQ52" i="5"/>
  <c r="DX52" i="5"/>
  <c r="GF52" i="5" s="1"/>
  <c r="DY56" i="5"/>
  <c r="GG56" i="5" s="1"/>
  <c r="AR56" i="5"/>
  <c r="DX59" i="5"/>
  <c r="GF59" i="5" s="1"/>
  <c r="AQ59" i="5"/>
  <c r="DY19" i="5"/>
  <c r="GG19" i="5" s="1"/>
  <c r="AR19" i="5"/>
  <c r="AQ11" i="5"/>
  <c r="AP1" i="5"/>
  <c r="DX11" i="5"/>
  <c r="DZ73" i="5"/>
  <c r="GH73" i="5" s="1"/>
  <c r="AS73" i="5"/>
  <c r="DY43" i="5"/>
  <c r="GG43" i="5" s="1"/>
  <c r="AR43" i="5"/>
  <c r="AS28" i="5"/>
  <c r="DZ28" i="5"/>
  <c r="GH28" i="5" s="1"/>
  <c r="DX68" i="5"/>
  <c r="GF68" i="5" s="1"/>
  <c r="AQ68" i="5"/>
  <c r="DX54" i="5"/>
  <c r="GF54" i="5" s="1"/>
  <c r="AQ54" i="5"/>
  <c r="AT36" i="5"/>
  <c r="EA36" i="5"/>
  <c r="GI36" i="5" s="1"/>
  <c r="AQ69" i="5"/>
  <c r="DX69" i="5"/>
  <c r="GF69" i="5" s="1"/>
  <c r="DY74" i="5"/>
  <c r="GG74" i="5" s="1"/>
  <c r="AR74" i="5"/>
  <c r="AR37" i="5"/>
  <c r="DY37" i="5"/>
  <c r="GG37" i="5" s="1"/>
  <c r="DY58" i="5"/>
  <c r="GG58" i="5" s="1"/>
  <c r="AR58" i="5"/>
  <c r="DX22" i="5"/>
  <c r="GF22" i="5" s="1"/>
  <c r="AQ22" i="5"/>
  <c r="DY16" i="5"/>
  <c r="GG16" i="5" s="1"/>
  <c r="AR16" i="5"/>
  <c r="AT70" i="5"/>
  <c r="EA70" i="5"/>
  <c r="GI70" i="5" s="1"/>
  <c r="AQ63" i="5"/>
  <c r="DX63" i="5"/>
  <c r="GF63" i="5" s="1"/>
  <c r="AS71" i="5"/>
  <c r="DZ71" i="5"/>
  <c r="GH71" i="5" s="1"/>
  <c r="AT12" i="5"/>
  <c r="EA12" i="5"/>
  <c r="GI12" i="5" s="1"/>
  <c r="AU31" i="5"/>
  <c r="EB31" i="5"/>
  <c r="GJ31" i="5" s="1"/>
  <c r="AQ42" i="5"/>
  <c r="DX42" i="5"/>
  <c r="GF42" i="5" s="1"/>
  <c r="AS29" i="5"/>
  <c r="DZ29" i="5"/>
  <c r="GH29" i="5" s="1"/>
  <c r="DX51" i="5"/>
  <c r="GF51" i="5" s="1"/>
  <c r="AQ51" i="5"/>
  <c r="GE11" i="5"/>
  <c r="DW1" i="5"/>
  <c r="GE1" i="5" s="1"/>
  <c r="DX24" i="5"/>
  <c r="GF24" i="5" s="1"/>
  <c r="AQ24" i="5"/>
  <c r="AQ15" i="5"/>
  <c r="DX15" i="5"/>
  <c r="GF15" i="5" s="1"/>
  <c r="AR64" i="5"/>
  <c r="DY64" i="5"/>
  <c r="GG64" i="5" s="1"/>
  <c r="AS35" i="5"/>
  <c r="DZ35" i="5"/>
  <c r="GH35" i="5" s="1"/>
  <c r="G9" i="1"/>
  <c r="F10" i="1"/>
  <c r="T9" i="1"/>
  <c r="S10" i="1"/>
  <c r="AS10" i="5" l="1"/>
  <c r="DZ10" i="5"/>
  <c r="GH10" i="5" s="1"/>
  <c r="DY21" i="5"/>
  <c r="GG21" i="5" s="1"/>
  <c r="AR21" i="5"/>
  <c r="DY13" i="5"/>
  <c r="GG13" i="5" s="1"/>
  <c r="AR13" i="5"/>
  <c r="DY62" i="5"/>
  <c r="GG62" i="5" s="1"/>
  <c r="AR62" i="5"/>
  <c r="AR26" i="5"/>
  <c r="DY26" i="5"/>
  <c r="GG26" i="5" s="1"/>
  <c r="AR48" i="5"/>
  <c r="DY48" i="5"/>
  <c r="GG48" i="5" s="1"/>
  <c r="AR6" i="5"/>
  <c r="DY6" i="5"/>
  <c r="GG6" i="5" s="1"/>
  <c r="DY50" i="5"/>
  <c r="GG50" i="5" s="1"/>
  <c r="AR50" i="5"/>
  <c r="DY53" i="5"/>
  <c r="GG53" i="5" s="1"/>
  <c r="AR53" i="5"/>
  <c r="DY33" i="5"/>
  <c r="GG33" i="5" s="1"/>
  <c r="AR33" i="5"/>
  <c r="DY9" i="5"/>
  <c r="GG9" i="5" s="1"/>
  <c r="AR9" i="5"/>
  <c r="EC40" i="5"/>
  <c r="GK40" i="5" s="1"/>
  <c r="AV40" i="5"/>
  <c r="DY51" i="5"/>
  <c r="GG51" i="5" s="1"/>
  <c r="AR51" i="5"/>
  <c r="AS16" i="5"/>
  <c r="DZ16" i="5"/>
  <c r="GH16" i="5" s="1"/>
  <c r="AS74" i="5"/>
  <c r="DZ74" i="5"/>
  <c r="GH74" i="5" s="1"/>
  <c r="DY68" i="5"/>
  <c r="GG68" i="5" s="1"/>
  <c r="AR68" i="5"/>
  <c r="DY11" i="5"/>
  <c r="AR11" i="5"/>
  <c r="AQ1" i="5"/>
  <c r="AR52" i="5"/>
  <c r="DY52" i="5"/>
  <c r="GG52" i="5" s="1"/>
  <c r="DZ25" i="5"/>
  <c r="GH25" i="5" s="1"/>
  <c r="AS25" i="5"/>
  <c r="DZ67" i="5"/>
  <c r="GH67" i="5" s="1"/>
  <c r="AS67" i="5"/>
  <c r="EA5" i="5"/>
  <c r="GI5" i="5" s="1"/>
  <c r="AT5" i="5"/>
  <c r="AT38" i="5"/>
  <c r="EA38" i="5"/>
  <c r="GI38" i="5" s="1"/>
  <c r="AS49" i="5"/>
  <c r="DZ49" i="5"/>
  <c r="GH49" i="5" s="1"/>
  <c r="DZ64" i="5"/>
  <c r="GH64" i="5" s="1"/>
  <c r="AS64" i="5"/>
  <c r="EB12" i="5"/>
  <c r="GJ12" i="5" s="1"/>
  <c r="AU12" i="5"/>
  <c r="DZ19" i="5"/>
  <c r="GH19" i="5" s="1"/>
  <c r="AS19" i="5"/>
  <c r="AW39" i="5"/>
  <c r="ED39" i="5"/>
  <c r="GL39" i="5" s="1"/>
  <c r="DZ60" i="5"/>
  <c r="GH60" i="5" s="1"/>
  <c r="AS60" i="5"/>
  <c r="AS44" i="5"/>
  <c r="DZ44" i="5"/>
  <c r="GH44" i="5" s="1"/>
  <c r="EC31" i="5"/>
  <c r="GK31" i="5" s="1"/>
  <c r="AV31" i="5"/>
  <c r="DY22" i="5"/>
  <c r="GG22" i="5" s="1"/>
  <c r="AR22" i="5"/>
  <c r="AT17" i="5"/>
  <c r="EA17" i="5"/>
  <c r="GI17" i="5" s="1"/>
  <c r="DY15" i="5"/>
  <c r="GG15" i="5" s="1"/>
  <c r="AR15" i="5"/>
  <c r="EA29" i="5"/>
  <c r="GI29" i="5" s="1"/>
  <c r="AT29" i="5"/>
  <c r="EA71" i="5"/>
  <c r="GI71" i="5" s="1"/>
  <c r="AT71" i="5"/>
  <c r="DY69" i="5"/>
  <c r="GG69" i="5" s="1"/>
  <c r="AR69" i="5"/>
  <c r="AT28" i="5"/>
  <c r="EA28" i="5"/>
  <c r="GI28" i="5" s="1"/>
  <c r="AR59" i="5"/>
  <c r="DY59" i="5"/>
  <c r="GG59" i="5" s="1"/>
  <c r="DY18" i="5"/>
  <c r="GG18" i="5" s="1"/>
  <c r="AR18" i="5"/>
  <c r="DZ41" i="5"/>
  <c r="GH41" i="5" s="1"/>
  <c r="AS41" i="5"/>
  <c r="AS65" i="5"/>
  <c r="DZ65" i="5"/>
  <c r="GH65" i="5" s="1"/>
  <c r="GF11" i="5"/>
  <c r="DX1" i="5"/>
  <c r="GF1" i="5" s="1"/>
  <c r="AR66" i="5"/>
  <c r="DY66" i="5"/>
  <c r="GG66" i="5" s="1"/>
  <c r="AS37" i="5"/>
  <c r="DZ37" i="5"/>
  <c r="GH37" i="5" s="1"/>
  <c r="AT73" i="5"/>
  <c r="EA73" i="5"/>
  <c r="GI73" i="5" s="1"/>
  <c r="AS61" i="5"/>
  <c r="DZ61" i="5"/>
  <c r="GH61" i="5" s="1"/>
  <c r="AS34" i="5"/>
  <c r="DZ34" i="5"/>
  <c r="GH34" i="5" s="1"/>
  <c r="EA20" i="5"/>
  <c r="GI20" i="5" s="1"/>
  <c r="AT20" i="5"/>
  <c r="DY54" i="5"/>
  <c r="GG54" i="5" s="1"/>
  <c r="AR54" i="5"/>
  <c r="AT35" i="5"/>
  <c r="EA35" i="5"/>
  <c r="GI35" i="5" s="1"/>
  <c r="AU70" i="5"/>
  <c r="EB70" i="5"/>
  <c r="GJ70" i="5" s="1"/>
  <c r="AR57" i="5"/>
  <c r="DY57" i="5"/>
  <c r="GG57" i="5" s="1"/>
  <c r="AT30" i="5"/>
  <c r="EA30" i="5"/>
  <c r="GI30" i="5" s="1"/>
  <c r="AS45" i="5"/>
  <c r="DZ45" i="5"/>
  <c r="GH45" i="5" s="1"/>
  <c r="EA55" i="5"/>
  <c r="GI55" i="5" s="1"/>
  <c r="AT55" i="5"/>
  <c r="DY32" i="5"/>
  <c r="GG32" i="5" s="1"/>
  <c r="AR32" i="5"/>
  <c r="AT46" i="5"/>
  <c r="EA46" i="5"/>
  <c r="GI46" i="5" s="1"/>
  <c r="DY24" i="5"/>
  <c r="GG24" i="5" s="1"/>
  <c r="AR24" i="5"/>
  <c r="DZ58" i="5"/>
  <c r="GH58" i="5" s="1"/>
  <c r="AS58" i="5"/>
  <c r="DZ43" i="5"/>
  <c r="GH43" i="5" s="1"/>
  <c r="AS43" i="5"/>
  <c r="DY42" i="5"/>
  <c r="GG42" i="5" s="1"/>
  <c r="AR42" i="5"/>
  <c r="DY63" i="5"/>
  <c r="GG63" i="5" s="1"/>
  <c r="AR63" i="5"/>
  <c r="AU36" i="5"/>
  <c r="EB36" i="5"/>
  <c r="GJ36" i="5" s="1"/>
  <c r="AS56" i="5"/>
  <c r="DZ56" i="5"/>
  <c r="GH56" i="5" s="1"/>
  <c r="AS14" i="5"/>
  <c r="DZ14" i="5"/>
  <c r="GH14" i="5" s="1"/>
  <c r="DY7" i="5"/>
  <c r="GG7" i="5" s="1"/>
  <c r="AR7" i="5"/>
  <c r="DY8" i="5"/>
  <c r="GG8" i="5" s="1"/>
  <c r="AR8" i="5"/>
  <c r="DZ72" i="5"/>
  <c r="GH72" i="5" s="1"/>
  <c r="AS72" i="5"/>
  <c r="T10" i="1"/>
  <c r="S11" i="1"/>
  <c r="G10" i="1"/>
  <c r="F11" i="1"/>
  <c r="AT10" i="5" l="1"/>
  <c r="EA10" i="5"/>
  <c r="GI10" i="5" s="1"/>
  <c r="DZ21" i="5"/>
  <c r="GH21" i="5" s="1"/>
  <c r="AS21" i="5"/>
  <c r="DZ48" i="5"/>
  <c r="GH48" i="5" s="1"/>
  <c r="AS48" i="5"/>
  <c r="DZ53" i="5"/>
  <c r="GH53" i="5" s="1"/>
  <c r="AS53" i="5"/>
  <c r="AS26" i="5"/>
  <c r="DZ26" i="5"/>
  <c r="GH26" i="5" s="1"/>
  <c r="DZ33" i="5"/>
  <c r="GH33" i="5" s="1"/>
  <c r="AS33" i="5"/>
  <c r="AS62" i="5"/>
  <c r="DZ62" i="5"/>
  <c r="GH62" i="5" s="1"/>
  <c r="AS13" i="5"/>
  <c r="DZ13" i="5"/>
  <c r="GH13" i="5" s="1"/>
  <c r="DZ50" i="5"/>
  <c r="GH50" i="5" s="1"/>
  <c r="AS50" i="5"/>
  <c r="AS6" i="5"/>
  <c r="DZ6" i="5"/>
  <c r="GH6" i="5" s="1"/>
  <c r="DZ7" i="5"/>
  <c r="GH7" i="5" s="1"/>
  <c r="AS7" i="5"/>
  <c r="EA61" i="5"/>
  <c r="GI61" i="5" s="1"/>
  <c r="AT61" i="5"/>
  <c r="AU38" i="5"/>
  <c r="EB38" i="5"/>
  <c r="GJ38" i="5" s="1"/>
  <c r="AW31" i="5"/>
  <c r="ED31" i="5"/>
  <c r="GL31" i="5" s="1"/>
  <c r="EA19" i="5"/>
  <c r="GI19" i="5" s="1"/>
  <c r="AT19" i="5"/>
  <c r="EB5" i="5"/>
  <c r="GJ5" i="5" s="1"/>
  <c r="AU5" i="5"/>
  <c r="EA16" i="5"/>
  <c r="GI16" i="5" s="1"/>
  <c r="AT16" i="5"/>
  <c r="EB55" i="5"/>
  <c r="GJ55" i="5" s="1"/>
  <c r="AU55" i="5"/>
  <c r="DZ22" i="5"/>
  <c r="GH22" i="5" s="1"/>
  <c r="AS22" i="5"/>
  <c r="EB29" i="5"/>
  <c r="GJ29" i="5" s="1"/>
  <c r="AU29" i="5"/>
  <c r="EA14" i="5"/>
  <c r="GI14" i="5" s="1"/>
  <c r="AT14" i="5"/>
  <c r="AU46" i="5"/>
  <c r="EB46" i="5"/>
  <c r="GJ46" i="5" s="1"/>
  <c r="EA45" i="5"/>
  <c r="GI45" i="5" s="1"/>
  <c r="AT45" i="5"/>
  <c r="EC70" i="5"/>
  <c r="GK70" i="5" s="1"/>
  <c r="AV70" i="5"/>
  <c r="AS59" i="5"/>
  <c r="DZ59" i="5"/>
  <c r="GH59" i="5" s="1"/>
  <c r="DZ11" i="5"/>
  <c r="AS11" i="5"/>
  <c r="AR1" i="5"/>
  <c r="DZ51" i="5"/>
  <c r="GH51" i="5" s="1"/>
  <c r="AS51" i="5"/>
  <c r="EA72" i="5"/>
  <c r="GI72" i="5" s="1"/>
  <c r="AT72" i="5"/>
  <c r="EB71" i="5"/>
  <c r="GJ71" i="5" s="1"/>
  <c r="AU71" i="5"/>
  <c r="DZ57" i="5"/>
  <c r="GH57" i="5" s="1"/>
  <c r="AS57" i="5"/>
  <c r="DZ8" i="5"/>
  <c r="GH8" i="5" s="1"/>
  <c r="AS8" i="5"/>
  <c r="EA43" i="5"/>
  <c r="GI43" i="5" s="1"/>
  <c r="AT43" i="5"/>
  <c r="AS15" i="5"/>
  <c r="DZ15" i="5"/>
  <c r="GH15" i="5" s="1"/>
  <c r="EA56" i="5"/>
  <c r="GI56" i="5" s="1"/>
  <c r="AT56" i="5"/>
  <c r="AU30" i="5"/>
  <c r="EB30" i="5"/>
  <c r="GJ30" i="5" s="1"/>
  <c r="AU35" i="5"/>
  <c r="EB35" i="5"/>
  <c r="GJ35" i="5" s="1"/>
  <c r="EB73" i="5"/>
  <c r="GJ73" i="5" s="1"/>
  <c r="AU73" i="5"/>
  <c r="EA65" i="5"/>
  <c r="GI65" i="5" s="1"/>
  <c r="AT65" i="5"/>
  <c r="AU28" i="5"/>
  <c r="EB28" i="5"/>
  <c r="GJ28" i="5" s="1"/>
  <c r="AT44" i="5"/>
  <c r="EA44" i="5"/>
  <c r="GI44" i="5" s="1"/>
  <c r="DZ68" i="5"/>
  <c r="GH68" i="5" s="1"/>
  <c r="AS68" i="5"/>
  <c r="AW40" i="5"/>
  <c r="ED40" i="5"/>
  <c r="GL40" i="5" s="1"/>
  <c r="DZ63" i="5"/>
  <c r="GH63" i="5" s="1"/>
  <c r="AS63" i="5"/>
  <c r="AT74" i="5"/>
  <c r="EA74" i="5"/>
  <c r="GI74" i="5" s="1"/>
  <c r="DZ52" i="5"/>
  <c r="GH52" i="5" s="1"/>
  <c r="AS52" i="5"/>
  <c r="EB20" i="5"/>
  <c r="GJ20" i="5" s="1"/>
  <c r="AU20" i="5"/>
  <c r="GG11" i="5"/>
  <c r="DY1" i="5"/>
  <c r="GG1" i="5" s="1"/>
  <c r="EA58" i="5"/>
  <c r="GI58" i="5" s="1"/>
  <c r="AT58" i="5"/>
  <c r="AS54" i="5"/>
  <c r="DZ54" i="5"/>
  <c r="GH54" i="5" s="1"/>
  <c r="EA41" i="5"/>
  <c r="GI41" i="5" s="1"/>
  <c r="AT41" i="5"/>
  <c r="AS69" i="5"/>
  <c r="DZ69" i="5"/>
  <c r="GH69" i="5" s="1"/>
  <c r="AT60" i="5"/>
  <c r="EA60" i="5"/>
  <c r="GI60" i="5" s="1"/>
  <c r="EC12" i="5"/>
  <c r="GK12" i="5" s="1"/>
  <c r="AV12" i="5"/>
  <c r="EA25" i="5"/>
  <c r="GI25" i="5" s="1"/>
  <c r="AT25" i="5"/>
  <c r="DZ24" i="5"/>
  <c r="GH24" i="5" s="1"/>
  <c r="AS24" i="5"/>
  <c r="DZ18" i="5"/>
  <c r="GH18" i="5" s="1"/>
  <c r="AS18" i="5"/>
  <c r="EA64" i="5"/>
  <c r="GI64" i="5" s="1"/>
  <c r="AT64" i="5"/>
  <c r="DZ66" i="5"/>
  <c r="GH66" i="5" s="1"/>
  <c r="AS66" i="5"/>
  <c r="AX39" i="5"/>
  <c r="EE39" i="5"/>
  <c r="GM39" i="5" s="1"/>
  <c r="DZ42" i="5"/>
  <c r="GH42" i="5" s="1"/>
  <c r="AS42" i="5"/>
  <c r="DZ32" i="5"/>
  <c r="GH32" i="5" s="1"/>
  <c r="AS32" i="5"/>
  <c r="AT67" i="5"/>
  <c r="EA67" i="5"/>
  <c r="GI67" i="5" s="1"/>
  <c r="AV36" i="5"/>
  <c r="EC36" i="5"/>
  <c r="GK36" i="5" s="1"/>
  <c r="AT34" i="5"/>
  <c r="EA34" i="5"/>
  <c r="GI34" i="5" s="1"/>
  <c r="AT37" i="5"/>
  <c r="EA37" i="5"/>
  <c r="GI37" i="5" s="1"/>
  <c r="EB17" i="5"/>
  <c r="GJ17" i="5" s="1"/>
  <c r="AU17" i="5"/>
  <c r="AT49" i="5"/>
  <c r="EA49" i="5"/>
  <c r="GI49" i="5" s="1"/>
  <c r="DZ9" i="5"/>
  <c r="GH9" i="5" s="1"/>
  <c r="AS9" i="5"/>
  <c r="G11" i="1"/>
  <c r="F12" i="1"/>
  <c r="T11" i="1"/>
  <c r="S12" i="1"/>
  <c r="AU10" i="5" l="1"/>
  <c r="EB10" i="5"/>
  <c r="GJ10" i="5" s="1"/>
  <c r="AT21" i="5"/>
  <c r="EA21" i="5"/>
  <c r="GI21" i="5" s="1"/>
  <c r="EA6" i="5"/>
  <c r="GI6" i="5" s="1"/>
  <c r="AT6" i="5"/>
  <c r="EA50" i="5"/>
  <c r="GI50" i="5" s="1"/>
  <c r="AT50" i="5"/>
  <c r="AT26" i="5"/>
  <c r="EA26" i="5"/>
  <c r="GI26" i="5" s="1"/>
  <c r="AT13" i="5"/>
  <c r="EA13" i="5"/>
  <c r="GI13" i="5" s="1"/>
  <c r="EA53" i="5"/>
  <c r="GI53" i="5" s="1"/>
  <c r="AT53" i="5"/>
  <c r="EA48" i="5"/>
  <c r="GI48" i="5" s="1"/>
  <c r="AT48" i="5"/>
  <c r="EA33" i="5"/>
  <c r="GI33" i="5" s="1"/>
  <c r="AT33" i="5"/>
  <c r="EA62" i="5"/>
  <c r="GI62" i="5" s="1"/>
  <c r="AT62" i="5"/>
  <c r="AV29" i="5"/>
  <c r="EC29" i="5"/>
  <c r="GK29" i="5" s="1"/>
  <c r="EA24" i="5"/>
  <c r="GI24" i="5" s="1"/>
  <c r="AT24" i="5"/>
  <c r="EB49" i="5"/>
  <c r="GJ49" i="5" s="1"/>
  <c r="AU49" i="5"/>
  <c r="ED36" i="5"/>
  <c r="GL36" i="5" s="1"/>
  <c r="AW36" i="5"/>
  <c r="EF39" i="5"/>
  <c r="GN39" i="5" s="1"/>
  <c r="AY39" i="5"/>
  <c r="AT69" i="5"/>
  <c r="EA69" i="5"/>
  <c r="GI69" i="5" s="1"/>
  <c r="EE40" i="5"/>
  <c r="GM40" i="5" s="1"/>
  <c r="AX40" i="5"/>
  <c r="EC28" i="5"/>
  <c r="GK28" i="5" s="1"/>
  <c r="AV28" i="5"/>
  <c r="EC30" i="5"/>
  <c r="GK30" i="5" s="1"/>
  <c r="AV30" i="5"/>
  <c r="EC5" i="5"/>
  <c r="GK5" i="5" s="1"/>
  <c r="AV5" i="5"/>
  <c r="AV17" i="5"/>
  <c r="EC17" i="5"/>
  <c r="GK17" i="5" s="1"/>
  <c r="AT66" i="5"/>
  <c r="EA66" i="5"/>
  <c r="GI66" i="5" s="1"/>
  <c r="AU25" i="5"/>
  <c r="EB25" i="5"/>
  <c r="GJ25" i="5" s="1"/>
  <c r="AU41" i="5"/>
  <c r="EB41" i="5"/>
  <c r="GJ41" i="5" s="1"/>
  <c r="AU58" i="5"/>
  <c r="EB58" i="5"/>
  <c r="GJ58" i="5" s="1"/>
  <c r="EA52" i="5"/>
  <c r="GI52" i="5" s="1"/>
  <c r="AT52" i="5"/>
  <c r="EA68" i="5"/>
  <c r="GI68" i="5" s="1"/>
  <c r="AT68" i="5"/>
  <c r="EB65" i="5"/>
  <c r="GJ65" i="5" s="1"/>
  <c r="AU65" i="5"/>
  <c r="AU56" i="5"/>
  <c r="EB56" i="5"/>
  <c r="GJ56" i="5" s="1"/>
  <c r="EA8" i="5"/>
  <c r="GI8" i="5" s="1"/>
  <c r="AT8" i="5"/>
  <c r="EA51" i="5"/>
  <c r="GI51" i="5" s="1"/>
  <c r="AT51" i="5"/>
  <c r="EA59" i="5"/>
  <c r="GI59" i="5" s="1"/>
  <c r="AT59" i="5"/>
  <c r="EC46" i="5"/>
  <c r="GK46" i="5" s="1"/>
  <c r="AV46" i="5"/>
  <c r="EC38" i="5"/>
  <c r="GK38" i="5" s="1"/>
  <c r="AV38" i="5"/>
  <c r="AT22" i="5"/>
  <c r="EA22" i="5"/>
  <c r="GI22" i="5" s="1"/>
  <c r="EB19" i="5"/>
  <c r="GJ19" i="5" s="1"/>
  <c r="AU19" i="5"/>
  <c r="EB61" i="5"/>
  <c r="GJ61" i="5" s="1"/>
  <c r="AU61" i="5"/>
  <c r="EB64" i="5"/>
  <c r="GJ64" i="5" s="1"/>
  <c r="AU64" i="5"/>
  <c r="EC73" i="5"/>
  <c r="GK73" i="5" s="1"/>
  <c r="AV73" i="5"/>
  <c r="AT57" i="5"/>
  <c r="EA57" i="5"/>
  <c r="GI57" i="5" s="1"/>
  <c r="EA15" i="5"/>
  <c r="GI15" i="5" s="1"/>
  <c r="AT15" i="5"/>
  <c r="AU43" i="5"/>
  <c r="EB43" i="5"/>
  <c r="GJ43" i="5" s="1"/>
  <c r="AU72" i="5"/>
  <c r="EB72" i="5"/>
  <c r="GJ72" i="5" s="1"/>
  <c r="EB67" i="5"/>
  <c r="GJ67" i="5" s="1"/>
  <c r="AU67" i="5"/>
  <c r="AU37" i="5"/>
  <c r="EB37" i="5"/>
  <c r="GJ37" i="5" s="1"/>
  <c r="EA54" i="5"/>
  <c r="GI54" i="5" s="1"/>
  <c r="AT54" i="5"/>
  <c r="EB74" i="5"/>
  <c r="GJ74" i="5" s="1"/>
  <c r="AU74" i="5"/>
  <c r="EA11" i="5"/>
  <c r="AT11" i="5"/>
  <c r="AS1" i="5"/>
  <c r="ED70" i="5"/>
  <c r="GL70" i="5" s="1"/>
  <c r="AW70" i="5"/>
  <c r="EC55" i="5"/>
  <c r="GK55" i="5" s="1"/>
  <c r="AV55" i="5"/>
  <c r="AT7" i="5"/>
  <c r="EA7" i="5"/>
  <c r="GI7" i="5" s="1"/>
  <c r="EB34" i="5"/>
  <c r="GJ34" i="5" s="1"/>
  <c r="AU34" i="5"/>
  <c r="AU60" i="5"/>
  <c r="EB60" i="5"/>
  <c r="GJ60" i="5" s="1"/>
  <c r="AU44" i="5"/>
  <c r="EB44" i="5"/>
  <c r="GJ44" i="5" s="1"/>
  <c r="EC35" i="5"/>
  <c r="GK35" i="5" s="1"/>
  <c r="AV35" i="5"/>
  <c r="EB45" i="5"/>
  <c r="GJ45" i="5" s="1"/>
  <c r="AU45" i="5"/>
  <c r="AU16" i="5"/>
  <c r="EB16" i="5"/>
  <c r="GJ16" i="5" s="1"/>
  <c r="AV20" i="5"/>
  <c r="EC20" i="5"/>
  <c r="GK20" i="5" s="1"/>
  <c r="AU14" i="5"/>
  <c r="EB14" i="5"/>
  <c r="GJ14" i="5" s="1"/>
  <c r="EA32" i="5"/>
  <c r="GI32" i="5" s="1"/>
  <c r="AT32" i="5"/>
  <c r="ED12" i="5"/>
  <c r="GL12" i="5" s="1"/>
  <c r="AW12" i="5"/>
  <c r="EA9" i="5"/>
  <c r="GI9" i="5" s="1"/>
  <c r="AT9" i="5"/>
  <c r="EA42" i="5"/>
  <c r="GI42" i="5" s="1"/>
  <c r="AT42" i="5"/>
  <c r="EA18" i="5"/>
  <c r="GI18" i="5" s="1"/>
  <c r="AT18" i="5"/>
  <c r="EA63" i="5"/>
  <c r="GI63" i="5" s="1"/>
  <c r="AT63" i="5"/>
  <c r="AV71" i="5"/>
  <c r="EC71" i="5"/>
  <c r="GK71" i="5" s="1"/>
  <c r="GH11" i="5"/>
  <c r="DZ1" i="5"/>
  <c r="GH1" i="5" s="1"/>
  <c r="AX31" i="5"/>
  <c r="EE31" i="5"/>
  <c r="GM31" i="5" s="1"/>
  <c r="T12" i="1"/>
  <c r="S13" i="1"/>
  <c r="G12" i="1"/>
  <c r="F13" i="1"/>
  <c r="EC10" i="5" l="1"/>
  <c r="GK10" i="5" s="1"/>
  <c r="AV10" i="5"/>
  <c r="EB21" i="5"/>
  <c r="GJ21" i="5" s="1"/>
  <c r="AU21" i="5"/>
  <c r="EB13" i="5"/>
  <c r="GJ13" i="5" s="1"/>
  <c r="AU13" i="5"/>
  <c r="EB26" i="5"/>
  <c r="GJ26" i="5" s="1"/>
  <c r="AU26" i="5"/>
  <c r="EB62" i="5"/>
  <c r="GJ62" i="5" s="1"/>
  <c r="AU62" i="5"/>
  <c r="EB33" i="5"/>
  <c r="GJ33" i="5" s="1"/>
  <c r="AU33" i="5"/>
  <c r="EB48" i="5"/>
  <c r="GJ48" i="5" s="1"/>
  <c r="AU48" i="5"/>
  <c r="AU50" i="5"/>
  <c r="EB50" i="5"/>
  <c r="GJ50" i="5" s="1"/>
  <c r="AU53" i="5"/>
  <c r="EB53" i="5"/>
  <c r="GJ53" i="5" s="1"/>
  <c r="EB6" i="5"/>
  <c r="GJ6" i="5" s="1"/>
  <c r="AU6" i="5"/>
  <c r="EB32" i="5"/>
  <c r="GJ32" i="5" s="1"/>
  <c r="AU32" i="5"/>
  <c r="AW55" i="5"/>
  <c r="ED55" i="5"/>
  <c r="GL55" i="5" s="1"/>
  <c r="GI11" i="5"/>
  <c r="EA1" i="5"/>
  <c r="GI1" i="5" s="1"/>
  <c r="EB66" i="5"/>
  <c r="GJ66" i="5" s="1"/>
  <c r="AU66" i="5"/>
  <c r="EB7" i="5"/>
  <c r="GJ7" i="5" s="1"/>
  <c r="AU7" i="5"/>
  <c r="EB15" i="5"/>
  <c r="GJ15" i="5" s="1"/>
  <c r="AU15" i="5"/>
  <c r="EB8" i="5"/>
  <c r="GJ8" i="5" s="1"/>
  <c r="AU8" i="5"/>
  <c r="EB52" i="5"/>
  <c r="GJ52" i="5" s="1"/>
  <c r="AU52" i="5"/>
  <c r="ED28" i="5"/>
  <c r="GL28" i="5" s="1"/>
  <c r="AW28" i="5"/>
  <c r="EE36" i="5"/>
  <c r="GM36" i="5" s="1"/>
  <c r="AX36" i="5"/>
  <c r="AU18" i="5"/>
  <c r="EB18" i="5"/>
  <c r="GJ18" i="5" s="1"/>
  <c r="AV44" i="5"/>
  <c r="EC44" i="5"/>
  <c r="GK44" i="5" s="1"/>
  <c r="EC74" i="5"/>
  <c r="GK74" i="5" s="1"/>
  <c r="AV74" i="5"/>
  <c r="EC19" i="5"/>
  <c r="GK19" i="5" s="1"/>
  <c r="AV19" i="5"/>
  <c r="ED46" i="5"/>
  <c r="GL46" i="5" s="1"/>
  <c r="AW46" i="5"/>
  <c r="EF40" i="5"/>
  <c r="GN40" i="5" s="1"/>
  <c r="AY40" i="5"/>
  <c r="EC49" i="5"/>
  <c r="GK49" i="5" s="1"/>
  <c r="AV49" i="5"/>
  <c r="ED73" i="5"/>
  <c r="GL73" i="5" s="1"/>
  <c r="AW73" i="5"/>
  <c r="AU42" i="5"/>
  <c r="EB42" i="5"/>
  <c r="GJ42" i="5" s="1"/>
  <c r="AV72" i="5"/>
  <c r="EC72" i="5"/>
  <c r="GK72" i="5" s="1"/>
  <c r="EC56" i="5"/>
  <c r="GK56" i="5" s="1"/>
  <c r="AV56" i="5"/>
  <c r="AV58" i="5"/>
  <c r="EC58" i="5"/>
  <c r="GK58" i="5" s="1"/>
  <c r="AW17" i="5"/>
  <c r="ED17" i="5"/>
  <c r="GL17" i="5" s="1"/>
  <c r="AU59" i="5"/>
  <c r="EB59" i="5"/>
  <c r="GJ59" i="5" s="1"/>
  <c r="EC65" i="5"/>
  <c r="GK65" i="5" s="1"/>
  <c r="AV65" i="5"/>
  <c r="ED5" i="5"/>
  <c r="GL5" i="5" s="1"/>
  <c r="AW5" i="5"/>
  <c r="AU24" i="5"/>
  <c r="EB24" i="5"/>
  <c r="GJ24" i="5" s="1"/>
  <c r="AU11" i="5"/>
  <c r="AT1" i="5"/>
  <c r="EB11" i="5"/>
  <c r="EC60" i="5"/>
  <c r="GK60" i="5" s="1"/>
  <c r="AV60" i="5"/>
  <c r="EC45" i="5"/>
  <c r="GK45" i="5" s="1"/>
  <c r="AV45" i="5"/>
  <c r="AV43" i="5"/>
  <c r="EC43" i="5"/>
  <c r="GK43" i="5" s="1"/>
  <c r="AU22" i="5"/>
  <c r="EB22" i="5"/>
  <c r="GJ22" i="5" s="1"/>
  <c r="EC41" i="5"/>
  <c r="GK41" i="5" s="1"/>
  <c r="AV41" i="5"/>
  <c r="EB69" i="5"/>
  <c r="GJ69" i="5" s="1"/>
  <c r="AU69" i="5"/>
  <c r="AV61" i="5"/>
  <c r="EC61" i="5"/>
  <c r="GK61" i="5" s="1"/>
  <c r="EB9" i="5"/>
  <c r="GJ9" i="5" s="1"/>
  <c r="AU9" i="5"/>
  <c r="AX70" i="5"/>
  <c r="EE70" i="5"/>
  <c r="GM70" i="5" s="1"/>
  <c r="EB68" i="5"/>
  <c r="GJ68" i="5" s="1"/>
  <c r="AU68" i="5"/>
  <c r="ED30" i="5"/>
  <c r="GL30" i="5" s="1"/>
  <c r="AW30" i="5"/>
  <c r="AZ39" i="5"/>
  <c r="EG39" i="5"/>
  <c r="GO39" i="5" s="1"/>
  <c r="EF31" i="5"/>
  <c r="GN31" i="5" s="1"/>
  <c r="AY31" i="5"/>
  <c r="AW20" i="5"/>
  <c r="ED20" i="5"/>
  <c r="GL20" i="5" s="1"/>
  <c r="AV67" i="5"/>
  <c r="EC67" i="5"/>
  <c r="GK67" i="5" s="1"/>
  <c r="AW71" i="5"/>
  <c r="ED71" i="5"/>
  <c r="GL71" i="5" s="1"/>
  <c r="AV14" i="5"/>
  <c r="EC14" i="5"/>
  <c r="GK14" i="5" s="1"/>
  <c r="EC16" i="5"/>
  <c r="GK16" i="5" s="1"/>
  <c r="AV16" i="5"/>
  <c r="AU54" i="5"/>
  <c r="EB54" i="5"/>
  <c r="GJ54" i="5" s="1"/>
  <c r="AU63" i="5"/>
  <c r="EB63" i="5"/>
  <c r="GJ63" i="5" s="1"/>
  <c r="EC34" i="5"/>
  <c r="GK34" i="5" s="1"/>
  <c r="AV34" i="5"/>
  <c r="AU57" i="5"/>
  <c r="EB57" i="5"/>
  <c r="GJ57" i="5" s="1"/>
  <c r="EC64" i="5"/>
  <c r="GK64" i="5" s="1"/>
  <c r="AV64" i="5"/>
  <c r="ED38" i="5"/>
  <c r="GL38" i="5" s="1"/>
  <c r="AW38" i="5"/>
  <c r="EB51" i="5"/>
  <c r="GJ51" i="5" s="1"/>
  <c r="AU51" i="5"/>
  <c r="AX12" i="5"/>
  <c r="EE12" i="5"/>
  <c r="GM12" i="5" s="1"/>
  <c r="ED35" i="5"/>
  <c r="GL35" i="5" s="1"/>
  <c r="AW35" i="5"/>
  <c r="AV37" i="5"/>
  <c r="EC37" i="5"/>
  <c r="GK37" i="5" s="1"/>
  <c r="AV25" i="5"/>
  <c r="EC25" i="5"/>
  <c r="GK25" i="5" s="1"/>
  <c r="ED29" i="5"/>
  <c r="GL29" i="5" s="1"/>
  <c r="AW29" i="5"/>
  <c r="G13" i="1"/>
  <c r="F14" i="1"/>
  <c r="T13" i="1"/>
  <c r="S14" i="1"/>
  <c r="ED10" i="5" l="1"/>
  <c r="GL10" i="5" s="1"/>
  <c r="AW10" i="5"/>
  <c r="AV21" i="5"/>
  <c r="EC21" i="5"/>
  <c r="GK21" i="5" s="1"/>
  <c r="EC26" i="5"/>
  <c r="GK26" i="5" s="1"/>
  <c r="AV26" i="5"/>
  <c r="AV6" i="5"/>
  <c r="EC6" i="5"/>
  <c r="GK6" i="5" s="1"/>
  <c r="AV62" i="5"/>
  <c r="EC62" i="5"/>
  <c r="GK62" i="5" s="1"/>
  <c r="AV33" i="5"/>
  <c r="EC33" i="5"/>
  <c r="GK33" i="5" s="1"/>
  <c r="AV53" i="5"/>
  <c r="EC53" i="5"/>
  <c r="GK53" i="5" s="1"/>
  <c r="EC50" i="5"/>
  <c r="GK50" i="5" s="1"/>
  <c r="AV50" i="5"/>
  <c r="AV48" i="5"/>
  <c r="EC48" i="5"/>
  <c r="GK48" i="5" s="1"/>
  <c r="EC13" i="5"/>
  <c r="GK13" i="5" s="1"/>
  <c r="AV13" i="5"/>
  <c r="EE5" i="5"/>
  <c r="GM5" i="5" s="1"/>
  <c r="AX5" i="5"/>
  <c r="ED49" i="5"/>
  <c r="GL49" i="5" s="1"/>
  <c r="AW49" i="5"/>
  <c r="EF36" i="5"/>
  <c r="GN36" i="5" s="1"/>
  <c r="AY36" i="5"/>
  <c r="EC15" i="5"/>
  <c r="GK15" i="5" s="1"/>
  <c r="AV15" i="5"/>
  <c r="AW64" i="5"/>
  <c r="ED64" i="5"/>
  <c r="GL64" i="5" s="1"/>
  <c r="ED34" i="5"/>
  <c r="GL34" i="5" s="1"/>
  <c r="AW34" i="5"/>
  <c r="AZ31" i="5"/>
  <c r="EG31" i="5"/>
  <c r="GO31" i="5" s="1"/>
  <c r="AW41" i="5"/>
  <c r="ED41" i="5"/>
  <c r="GL41" i="5" s="1"/>
  <c r="AW60" i="5"/>
  <c r="ED60" i="5"/>
  <c r="GL60" i="5" s="1"/>
  <c r="EE17" i="5"/>
  <c r="GM17" i="5" s="1"/>
  <c r="AX17" i="5"/>
  <c r="ED72" i="5"/>
  <c r="GL72" i="5" s="1"/>
  <c r="AW72" i="5"/>
  <c r="AX20" i="5"/>
  <c r="EE20" i="5"/>
  <c r="GM20" i="5" s="1"/>
  <c r="EF12" i="5"/>
  <c r="GN12" i="5" s="1"/>
  <c r="AY12" i="5"/>
  <c r="ED74" i="5"/>
  <c r="GL74" i="5" s="1"/>
  <c r="AW74" i="5"/>
  <c r="EE28" i="5"/>
  <c r="GM28" i="5" s="1"/>
  <c r="AX28" i="5"/>
  <c r="EC9" i="5"/>
  <c r="GK9" i="5" s="1"/>
  <c r="AV9" i="5"/>
  <c r="GJ11" i="5"/>
  <c r="EB1" i="5"/>
  <c r="GJ1" i="5" s="1"/>
  <c r="AW58" i="5"/>
  <c r="ED58" i="5"/>
  <c r="GL58" i="5" s="1"/>
  <c r="EE55" i="5"/>
  <c r="GM55" i="5" s="1"/>
  <c r="AX55" i="5"/>
  <c r="EF70" i="5"/>
  <c r="GN70" i="5" s="1"/>
  <c r="AY70" i="5"/>
  <c r="AZ40" i="5"/>
  <c r="EG40" i="5"/>
  <c r="GO40" i="5" s="1"/>
  <c r="AV63" i="5"/>
  <c r="EC63" i="5"/>
  <c r="GK63" i="5" s="1"/>
  <c r="AW56" i="5"/>
  <c r="ED56" i="5"/>
  <c r="GL56" i="5" s="1"/>
  <c r="EE46" i="5"/>
  <c r="GM46" i="5" s="1"/>
  <c r="AX46" i="5"/>
  <c r="AV52" i="5"/>
  <c r="EC52" i="5"/>
  <c r="GK52" i="5" s="1"/>
  <c r="AV66" i="5"/>
  <c r="EC66" i="5"/>
  <c r="GK66" i="5" s="1"/>
  <c r="AV57" i="5"/>
  <c r="EC57" i="5"/>
  <c r="GK57" i="5" s="1"/>
  <c r="AW25" i="5"/>
  <c r="ED25" i="5"/>
  <c r="GL25" i="5" s="1"/>
  <c r="AW14" i="5"/>
  <c r="ED14" i="5"/>
  <c r="GL14" i="5" s="1"/>
  <c r="ED65" i="5"/>
  <c r="GL65" i="5" s="1"/>
  <c r="AW65" i="5"/>
  <c r="AV7" i="5"/>
  <c r="EC7" i="5"/>
  <c r="GK7" i="5" s="1"/>
  <c r="AX71" i="5"/>
  <c r="EE71" i="5"/>
  <c r="GM71" i="5" s="1"/>
  <c r="EH39" i="5"/>
  <c r="GP39" i="5" s="1"/>
  <c r="BA39" i="5"/>
  <c r="EI39" i="5" s="1"/>
  <c r="GQ39" i="5" s="1"/>
  <c r="EC22" i="5"/>
  <c r="GK22" i="5" s="1"/>
  <c r="AV22" i="5"/>
  <c r="EC51" i="5"/>
  <c r="GK51" i="5" s="1"/>
  <c r="AV51" i="5"/>
  <c r="AX30" i="5"/>
  <c r="EE30" i="5"/>
  <c r="GM30" i="5" s="1"/>
  <c r="EC11" i="5"/>
  <c r="AV11" i="5"/>
  <c r="AU1" i="5"/>
  <c r="EC59" i="5"/>
  <c r="GK59" i="5" s="1"/>
  <c r="AV59" i="5"/>
  <c r="AV42" i="5"/>
  <c r="EC42" i="5"/>
  <c r="GK42" i="5" s="1"/>
  <c r="ED44" i="5"/>
  <c r="GL44" i="5" s="1"/>
  <c r="AW44" i="5"/>
  <c r="AW37" i="5"/>
  <c r="ED37" i="5"/>
  <c r="GL37" i="5" s="1"/>
  <c r="EC54" i="5"/>
  <c r="GK54" i="5" s="1"/>
  <c r="AV54" i="5"/>
  <c r="ED67" i="5"/>
  <c r="GL67" i="5" s="1"/>
  <c r="AW67" i="5"/>
  <c r="AW61" i="5"/>
  <c r="ED61" i="5"/>
  <c r="GL61" i="5" s="1"/>
  <c r="ED43" i="5"/>
  <c r="GL43" i="5" s="1"/>
  <c r="AW43" i="5"/>
  <c r="AX73" i="5"/>
  <c r="EE73" i="5"/>
  <c r="GM73" i="5" s="1"/>
  <c r="AW19" i="5"/>
  <c r="ED19" i="5"/>
  <c r="GL19" i="5" s="1"/>
  <c r="AV8" i="5"/>
  <c r="EC8" i="5"/>
  <c r="GK8" i="5" s="1"/>
  <c r="AV32" i="5"/>
  <c r="EC32" i="5"/>
  <c r="GK32" i="5" s="1"/>
  <c r="AX29" i="5"/>
  <c r="EE29" i="5"/>
  <c r="GM29" i="5" s="1"/>
  <c r="EE35" i="5"/>
  <c r="GM35" i="5" s="1"/>
  <c r="AX35" i="5"/>
  <c r="EE38" i="5"/>
  <c r="GM38" i="5" s="1"/>
  <c r="AX38" i="5"/>
  <c r="AW16" i="5"/>
  <c r="ED16" i="5"/>
  <c r="GL16" i="5" s="1"/>
  <c r="EC68" i="5"/>
  <c r="GK68" i="5" s="1"/>
  <c r="AV68" i="5"/>
  <c r="AV69" i="5"/>
  <c r="EC69" i="5"/>
  <c r="GK69" i="5" s="1"/>
  <c r="ED45" i="5"/>
  <c r="GL45" i="5" s="1"/>
  <c r="AW45" i="5"/>
  <c r="AV24" i="5"/>
  <c r="EC24" i="5"/>
  <c r="GK24" i="5" s="1"/>
  <c r="AV18" i="5"/>
  <c r="EC18" i="5"/>
  <c r="GK18" i="5" s="1"/>
  <c r="T14" i="1"/>
  <c r="S15" i="1"/>
  <c r="G14" i="1"/>
  <c r="F15" i="1"/>
  <c r="EE10" i="5" l="1"/>
  <c r="GM10" i="5" s="1"/>
  <c r="AX10" i="5"/>
  <c r="ED21" i="5"/>
  <c r="GL21" i="5" s="1"/>
  <c r="AW21" i="5"/>
  <c r="ED13" i="5"/>
  <c r="GL13" i="5" s="1"/>
  <c r="AW13" i="5"/>
  <c r="AW33" i="5"/>
  <c r="ED33" i="5"/>
  <c r="GL33" i="5" s="1"/>
  <c r="AW48" i="5"/>
  <c r="ED48" i="5"/>
  <c r="GL48" i="5" s="1"/>
  <c r="AW62" i="5"/>
  <c r="ED62" i="5"/>
  <c r="GL62" i="5" s="1"/>
  <c r="ED6" i="5"/>
  <c r="GL6" i="5" s="1"/>
  <c r="AW6" i="5"/>
  <c r="ED50" i="5"/>
  <c r="GL50" i="5" s="1"/>
  <c r="AW50" i="5"/>
  <c r="AW26" i="5"/>
  <c r="ED26" i="5"/>
  <c r="GL26" i="5" s="1"/>
  <c r="AW53" i="5"/>
  <c r="ED53" i="5"/>
  <c r="GL53" i="5" s="1"/>
  <c r="AW24" i="5"/>
  <c r="ED24" i="5"/>
  <c r="GL24" i="5" s="1"/>
  <c r="EE16" i="5"/>
  <c r="GM16" i="5" s="1"/>
  <c r="AX16" i="5"/>
  <c r="AW32" i="5"/>
  <c r="ED32" i="5"/>
  <c r="GL32" i="5" s="1"/>
  <c r="EE37" i="5"/>
  <c r="GM37" i="5" s="1"/>
  <c r="AX37" i="5"/>
  <c r="AW51" i="5"/>
  <c r="ED51" i="5"/>
  <c r="GL51" i="5" s="1"/>
  <c r="AY28" i="5"/>
  <c r="EF28" i="5"/>
  <c r="GN28" i="5" s="1"/>
  <c r="ED15" i="5"/>
  <c r="GL15" i="5" s="1"/>
  <c r="AW15" i="5"/>
  <c r="EE45" i="5"/>
  <c r="GM45" i="5" s="1"/>
  <c r="AX45" i="5"/>
  <c r="EF38" i="5"/>
  <c r="GN38" i="5" s="1"/>
  <c r="AY38" i="5"/>
  <c r="AX14" i="5"/>
  <c r="EE14" i="5"/>
  <c r="GM14" i="5" s="1"/>
  <c r="AW52" i="5"/>
  <c r="ED52" i="5"/>
  <c r="GL52" i="5" s="1"/>
  <c r="AX58" i="5"/>
  <c r="EE58" i="5"/>
  <c r="GM58" i="5" s="1"/>
  <c r="AX41" i="5"/>
  <c r="EE41" i="5"/>
  <c r="GM41" i="5" s="1"/>
  <c r="AW18" i="5"/>
  <c r="ED18" i="5"/>
  <c r="GL18" i="5" s="1"/>
  <c r="ED8" i="5"/>
  <c r="GL8" i="5" s="1"/>
  <c r="AW8" i="5"/>
  <c r="ED22" i="5"/>
  <c r="GL22" i="5" s="1"/>
  <c r="AW22" i="5"/>
  <c r="EE74" i="5"/>
  <c r="GM74" i="5" s="1"/>
  <c r="AX74" i="5"/>
  <c r="AZ36" i="5"/>
  <c r="EG36" i="5"/>
  <c r="GO36" i="5" s="1"/>
  <c r="EF35" i="5"/>
  <c r="GN35" i="5" s="1"/>
  <c r="AY35" i="5"/>
  <c r="AX67" i="5"/>
  <c r="EE67" i="5"/>
  <c r="GM67" i="5" s="1"/>
  <c r="AX44" i="5"/>
  <c r="EE44" i="5"/>
  <c r="GM44" i="5" s="1"/>
  <c r="GK11" i="5"/>
  <c r="EC1" i="5"/>
  <c r="GK1" i="5" s="1"/>
  <c r="AW7" i="5"/>
  <c r="ED7" i="5"/>
  <c r="GL7" i="5" s="1"/>
  <c r="AX25" i="5"/>
  <c r="EE25" i="5"/>
  <c r="GM25" i="5" s="1"/>
  <c r="EH40" i="5"/>
  <c r="GP40" i="5" s="1"/>
  <c r="BA40" i="5"/>
  <c r="EI40" i="5" s="1"/>
  <c r="GQ40" i="5" s="1"/>
  <c r="EH31" i="5"/>
  <c r="GP31" i="5" s="1"/>
  <c r="BA31" i="5"/>
  <c r="EI31" i="5" s="1"/>
  <c r="GQ31" i="5" s="1"/>
  <c r="EE61" i="5"/>
  <c r="GM61" i="5" s="1"/>
  <c r="AX61" i="5"/>
  <c r="AW11" i="5"/>
  <c r="ED11" i="5"/>
  <c r="AV1" i="5"/>
  <c r="EF46" i="5"/>
  <c r="GN46" i="5" s="1"/>
  <c r="AY46" i="5"/>
  <c r="EE72" i="5"/>
  <c r="GM72" i="5" s="1"/>
  <c r="AX72" i="5"/>
  <c r="AW69" i="5"/>
  <c r="ED69" i="5"/>
  <c r="GL69" i="5" s="1"/>
  <c r="AX19" i="5"/>
  <c r="EE19" i="5"/>
  <c r="GM19" i="5" s="1"/>
  <c r="AZ70" i="5"/>
  <c r="EG70" i="5"/>
  <c r="GO70" i="5" s="1"/>
  <c r="AW9" i="5"/>
  <c r="ED9" i="5"/>
  <c r="GL9" i="5" s="1"/>
  <c r="AZ12" i="5"/>
  <c r="EG12" i="5"/>
  <c r="GO12" i="5" s="1"/>
  <c r="EF17" i="5"/>
  <c r="GN17" i="5" s="1"/>
  <c r="AY17" i="5"/>
  <c r="EE34" i="5"/>
  <c r="GM34" i="5" s="1"/>
  <c r="AX34" i="5"/>
  <c r="EE49" i="5"/>
  <c r="GM49" i="5" s="1"/>
  <c r="AX49" i="5"/>
  <c r="ED68" i="5"/>
  <c r="GL68" i="5" s="1"/>
  <c r="AW68" i="5"/>
  <c r="AW54" i="5"/>
  <c r="ED54" i="5"/>
  <c r="GL54" i="5" s="1"/>
  <c r="EF30" i="5"/>
  <c r="GN30" i="5" s="1"/>
  <c r="AY30" i="5"/>
  <c r="AW57" i="5"/>
  <c r="ED57" i="5"/>
  <c r="GL57" i="5" s="1"/>
  <c r="EE56" i="5"/>
  <c r="GM56" i="5" s="1"/>
  <c r="AX56" i="5"/>
  <c r="AY29" i="5"/>
  <c r="EF29" i="5"/>
  <c r="GN29" i="5" s="1"/>
  <c r="AY73" i="5"/>
  <c r="EF73" i="5"/>
  <c r="GN73" i="5" s="1"/>
  <c r="ED42" i="5"/>
  <c r="GL42" i="5" s="1"/>
  <c r="AW42" i="5"/>
  <c r="AX65" i="5"/>
  <c r="EE65" i="5"/>
  <c r="GM65" i="5" s="1"/>
  <c r="AY55" i="5"/>
  <c r="EF55" i="5"/>
  <c r="GN55" i="5" s="1"/>
  <c r="AY5" i="5"/>
  <c r="EF5" i="5"/>
  <c r="GN5" i="5" s="1"/>
  <c r="AX43" i="5"/>
  <c r="EE43" i="5"/>
  <c r="GM43" i="5" s="1"/>
  <c r="ED59" i="5"/>
  <c r="GL59" i="5" s="1"/>
  <c r="AW59" i="5"/>
  <c r="EF71" i="5"/>
  <c r="GN71" i="5" s="1"/>
  <c r="AY71" i="5"/>
  <c r="AW66" i="5"/>
  <c r="ED66" i="5"/>
  <c r="GL66" i="5" s="1"/>
  <c r="AW63" i="5"/>
  <c r="ED63" i="5"/>
  <c r="GL63" i="5" s="1"/>
  <c r="AY20" i="5"/>
  <c r="EF20" i="5"/>
  <c r="GN20" i="5" s="1"/>
  <c r="AX60" i="5"/>
  <c r="EE60" i="5"/>
  <c r="GM60" i="5" s="1"/>
  <c r="AX64" i="5"/>
  <c r="EE64" i="5"/>
  <c r="GM64" i="5" s="1"/>
  <c r="G15" i="1"/>
  <c r="F16" i="1"/>
  <c r="T15" i="1"/>
  <c r="S16" i="1"/>
  <c r="EF10" i="5" l="1"/>
  <c r="GN10" i="5" s="1"/>
  <c r="AY10" i="5"/>
  <c r="AX21" i="5"/>
  <c r="EE21" i="5"/>
  <c r="GM21" i="5" s="1"/>
  <c r="EE13" i="5"/>
  <c r="GM13" i="5" s="1"/>
  <c r="AX13" i="5"/>
  <c r="EE53" i="5"/>
  <c r="GM53" i="5" s="1"/>
  <c r="AX53" i="5"/>
  <c r="EE62" i="5"/>
  <c r="GM62" i="5" s="1"/>
  <c r="AX62" i="5"/>
  <c r="AX50" i="5"/>
  <c r="EE50" i="5"/>
  <c r="GM50" i="5" s="1"/>
  <c r="EE6" i="5"/>
  <c r="GM6" i="5" s="1"/>
  <c r="AX6" i="5"/>
  <c r="AX26" i="5"/>
  <c r="EE26" i="5"/>
  <c r="GM26" i="5" s="1"/>
  <c r="EE48" i="5"/>
  <c r="GM48" i="5" s="1"/>
  <c r="AX48" i="5"/>
  <c r="AX33" i="5"/>
  <c r="EE33" i="5"/>
  <c r="GM33" i="5" s="1"/>
  <c r="EG30" i="5"/>
  <c r="GO30" i="5" s="1"/>
  <c r="AZ30" i="5"/>
  <c r="AY34" i="5"/>
  <c r="EF34" i="5"/>
  <c r="GN34" i="5" s="1"/>
  <c r="AZ46" i="5"/>
  <c r="EG46" i="5"/>
  <c r="GO46" i="5" s="1"/>
  <c r="AX32" i="5"/>
  <c r="EE32" i="5"/>
  <c r="GM32" i="5" s="1"/>
  <c r="EF65" i="5"/>
  <c r="GN65" i="5" s="1"/>
  <c r="AY65" i="5"/>
  <c r="AZ38" i="5"/>
  <c r="EG38" i="5"/>
  <c r="GO38" i="5" s="1"/>
  <c r="EF16" i="5"/>
  <c r="GN16" i="5" s="1"/>
  <c r="AY16" i="5"/>
  <c r="EE9" i="5"/>
  <c r="GM9" i="5" s="1"/>
  <c r="AX9" i="5"/>
  <c r="AY64" i="5"/>
  <c r="EF64" i="5"/>
  <c r="GN64" i="5" s="1"/>
  <c r="AY43" i="5"/>
  <c r="EF43" i="5"/>
  <c r="GN43" i="5" s="1"/>
  <c r="BA70" i="5"/>
  <c r="EI70" i="5" s="1"/>
  <c r="GQ70" i="5" s="1"/>
  <c r="EH70" i="5"/>
  <c r="GP70" i="5" s="1"/>
  <c r="EE42" i="5"/>
  <c r="GM42" i="5" s="1"/>
  <c r="AX42" i="5"/>
  <c r="EG17" i="5"/>
  <c r="GO17" i="5" s="1"/>
  <c r="AZ17" i="5"/>
  <c r="AY44" i="5"/>
  <c r="EF44" i="5"/>
  <c r="GN44" i="5" s="1"/>
  <c r="BA36" i="5"/>
  <c r="EI36" i="5" s="1"/>
  <c r="GQ36" i="5" s="1"/>
  <c r="EH36" i="5"/>
  <c r="GP36" i="5" s="1"/>
  <c r="AX18" i="5"/>
  <c r="EE18" i="5"/>
  <c r="GM18" i="5" s="1"/>
  <c r="AX52" i="5"/>
  <c r="EE52" i="5"/>
  <c r="GM52" i="5" s="1"/>
  <c r="AZ28" i="5"/>
  <c r="EG28" i="5"/>
  <c r="GO28" i="5" s="1"/>
  <c r="EG29" i="5"/>
  <c r="GO29" i="5" s="1"/>
  <c r="AZ29" i="5"/>
  <c r="EE8" i="5"/>
  <c r="GM8" i="5" s="1"/>
  <c r="AX8" i="5"/>
  <c r="EE63" i="5"/>
  <c r="GM63" i="5" s="1"/>
  <c r="AX63" i="5"/>
  <c r="AX66" i="5"/>
  <c r="EE66" i="5"/>
  <c r="GM66" i="5" s="1"/>
  <c r="AZ5" i="5"/>
  <c r="EG5" i="5"/>
  <c r="GO5" i="5" s="1"/>
  <c r="AX54" i="5"/>
  <c r="EE54" i="5"/>
  <c r="GM54" i="5" s="1"/>
  <c r="AY19" i="5"/>
  <c r="EF19" i="5"/>
  <c r="GN19" i="5" s="1"/>
  <c r="ED1" i="5"/>
  <c r="GL1" i="5" s="1"/>
  <c r="GL11" i="5"/>
  <c r="EF74" i="5"/>
  <c r="GN74" i="5" s="1"/>
  <c r="AY74" i="5"/>
  <c r="AY45" i="5"/>
  <c r="EF45" i="5"/>
  <c r="GN45" i="5" s="1"/>
  <c r="AY56" i="5"/>
  <c r="EF56" i="5"/>
  <c r="GN56" i="5" s="1"/>
  <c r="AY60" i="5"/>
  <c r="EF60" i="5"/>
  <c r="GN60" i="5" s="1"/>
  <c r="AZ71" i="5"/>
  <c r="EG71" i="5"/>
  <c r="GO71" i="5" s="1"/>
  <c r="AX68" i="5"/>
  <c r="EE68" i="5"/>
  <c r="GM68" i="5" s="1"/>
  <c r="EE11" i="5"/>
  <c r="AX11" i="5"/>
  <c r="AW1" i="5"/>
  <c r="AY25" i="5"/>
  <c r="EF25" i="5"/>
  <c r="GN25" i="5" s="1"/>
  <c r="EF67" i="5"/>
  <c r="GN67" i="5" s="1"/>
  <c r="AY67" i="5"/>
  <c r="EF41" i="5"/>
  <c r="GN41" i="5" s="1"/>
  <c r="AY41" i="5"/>
  <c r="EF14" i="5"/>
  <c r="GN14" i="5" s="1"/>
  <c r="AY14" i="5"/>
  <c r="EE51" i="5"/>
  <c r="GM51" i="5" s="1"/>
  <c r="AX51" i="5"/>
  <c r="AX24" i="5"/>
  <c r="EE24" i="5"/>
  <c r="GM24" i="5" s="1"/>
  <c r="EE22" i="5"/>
  <c r="GM22" i="5" s="1"/>
  <c r="AX22" i="5"/>
  <c r="AX15" i="5"/>
  <c r="EE15" i="5"/>
  <c r="GM15" i="5" s="1"/>
  <c r="AY37" i="5"/>
  <c r="EF37" i="5"/>
  <c r="GN37" i="5" s="1"/>
  <c r="AZ20" i="5"/>
  <c r="EG20" i="5"/>
  <c r="GO20" i="5" s="1"/>
  <c r="EG55" i="5"/>
  <c r="GO55" i="5" s="1"/>
  <c r="AZ55" i="5"/>
  <c r="EG73" i="5"/>
  <c r="GO73" i="5" s="1"/>
  <c r="AZ73" i="5"/>
  <c r="AX57" i="5"/>
  <c r="EE57" i="5"/>
  <c r="GM57" i="5" s="1"/>
  <c r="EH12" i="5"/>
  <c r="GP12" i="5" s="1"/>
  <c r="BA12" i="5"/>
  <c r="EI12" i="5" s="1"/>
  <c r="GQ12" i="5" s="1"/>
  <c r="EE69" i="5"/>
  <c r="GM69" i="5" s="1"/>
  <c r="AX69" i="5"/>
  <c r="EF61" i="5"/>
  <c r="GN61" i="5" s="1"/>
  <c r="AY61" i="5"/>
  <c r="AZ35" i="5"/>
  <c r="EG35" i="5"/>
  <c r="GO35" i="5" s="1"/>
  <c r="EE59" i="5"/>
  <c r="GM59" i="5" s="1"/>
  <c r="AX59" i="5"/>
  <c r="AY49" i="5"/>
  <c r="EF49" i="5"/>
  <c r="GN49" i="5" s="1"/>
  <c r="AY72" i="5"/>
  <c r="EF72" i="5"/>
  <c r="GN72" i="5" s="1"/>
  <c r="EE7" i="5"/>
  <c r="GM7" i="5" s="1"/>
  <c r="AX7" i="5"/>
  <c r="AY58" i="5"/>
  <c r="EF58" i="5"/>
  <c r="GN58" i="5" s="1"/>
  <c r="G16" i="1"/>
  <c r="F17" i="1"/>
  <c r="T16" i="1"/>
  <c r="S17" i="1"/>
  <c r="EG10" i="5" l="1"/>
  <c r="GO10" i="5" s="1"/>
  <c r="AZ10" i="5"/>
  <c r="EF21" i="5"/>
  <c r="GN21" i="5" s="1"/>
  <c r="AY21" i="5"/>
  <c r="AY33" i="5"/>
  <c r="EF33" i="5"/>
  <c r="GN33" i="5" s="1"/>
  <c r="AY50" i="5"/>
  <c r="EF50" i="5"/>
  <c r="GN50" i="5" s="1"/>
  <c r="AY48" i="5"/>
  <c r="EF48" i="5"/>
  <c r="GN48" i="5" s="1"/>
  <c r="EF62" i="5"/>
  <c r="GN62" i="5" s="1"/>
  <c r="AY62" i="5"/>
  <c r="EF53" i="5"/>
  <c r="GN53" i="5" s="1"/>
  <c r="AY53" i="5"/>
  <c r="EF26" i="5"/>
  <c r="GN26" i="5" s="1"/>
  <c r="AY26" i="5"/>
  <c r="AY6" i="5"/>
  <c r="EF6" i="5"/>
  <c r="GN6" i="5" s="1"/>
  <c r="EF13" i="5"/>
  <c r="GN13" i="5" s="1"/>
  <c r="AY13" i="5"/>
  <c r="AY7" i="5"/>
  <c r="EF7" i="5"/>
  <c r="GN7" i="5" s="1"/>
  <c r="AY68" i="5"/>
  <c r="EF68" i="5"/>
  <c r="GN68" i="5" s="1"/>
  <c r="BA35" i="5"/>
  <c r="EI35" i="5" s="1"/>
  <c r="GQ35" i="5" s="1"/>
  <c r="EH35" i="5"/>
  <c r="GP35" i="5" s="1"/>
  <c r="EF57" i="5"/>
  <c r="GN57" i="5" s="1"/>
  <c r="AY57" i="5"/>
  <c r="EF24" i="5"/>
  <c r="GN24" i="5" s="1"/>
  <c r="AY24" i="5"/>
  <c r="EG74" i="5"/>
  <c r="GO74" i="5" s="1"/>
  <c r="AZ74" i="5"/>
  <c r="BA29" i="5"/>
  <c r="EI29" i="5" s="1"/>
  <c r="GQ29" i="5" s="1"/>
  <c r="EH29" i="5"/>
  <c r="GP29" i="5" s="1"/>
  <c r="AY42" i="5"/>
  <c r="EF42" i="5"/>
  <c r="GN42" i="5" s="1"/>
  <c r="AY9" i="5"/>
  <c r="EF9" i="5"/>
  <c r="GN9" i="5" s="1"/>
  <c r="EG61" i="5"/>
  <c r="GO61" i="5" s="1"/>
  <c r="AZ61" i="5"/>
  <c r="EH73" i="5"/>
  <c r="GP73" i="5" s="1"/>
  <c r="BA73" i="5"/>
  <c r="EI73" i="5" s="1"/>
  <c r="GQ73" i="5" s="1"/>
  <c r="EF51" i="5"/>
  <c r="GN51" i="5" s="1"/>
  <c r="AY51" i="5"/>
  <c r="BA71" i="5"/>
  <c r="EI71" i="5" s="1"/>
  <c r="GQ71" i="5" s="1"/>
  <c r="EH71" i="5"/>
  <c r="GP71" i="5" s="1"/>
  <c r="BA5" i="5"/>
  <c r="EI5" i="5" s="1"/>
  <c r="GQ5" i="5" s="1"/>
  <c r="EH5" i="5"/>
  <c r="GP5" i="5" s="1"/>
  <c r="EF18" i="5"/>
  <c r="GN18" i="5" s="1"/>
  <c r="AY18" i="5"/>
  <c r="AY32" i="5"/>
  <c r="EF32" i="5"/>
  <c r="GN32" i="5" s="1"/>
  <c r="BA46" i="5"/>
  <c r="EI46" i="5" s="1"/>
  <c r="GQ46" i="5" s="1"/>
  <c r="EH46" i="5"/>
  <c r="GP46" i="5" s="1"/>
  <c r="AY8" i="5"/>
  <c r="EF8" i="5"/>
  <c r="GN8" i="5" s="1"/>
  <c r="BA17" i="5"/>
  <c r="EI17" i="5" s="1"/>
  <c r="GQ17" i="5" s="1"/>
  <c r="EH17" i="5"/>
  <c r="GP17" i="5" s="1"/>
  <c r="EG16" i="5"/>
  <c r="GO16" i="5" s="1"/>
  <c r="AZ16" i="5"/>
  <c r="EH55" i="5"/>
  <c r="GP55" i="5" s="1"/>
  <c r="BA55" i="5"/>
  <c r="EI55" i="5" s="1"/>
  <c r="GQ55" i="5" s="1"/>
  <c r="EG60" i="5"/>
  <c r="GO60" i="5" s="1"/>
  <c r="AZ60" i="5"/>
  <c r="AY66" i="5"/>
  <c r="EF66" i="5"/>
  <c r="GN66" i="5" s="1"/>
  <c r="AZ34" i="5"/>
  <c r="EG34" i="5"/>
  <c r="GO34" i="5" s="1"/>
  <c r="EG65" i="5"/>
  <c r="GO65" i="5" s="1"/>
  <c r="AZ65" i="5"/>
  <c r="AY52" i="5"/>
  <c r="EF52" i="5"/>
  <c r="GN52" i="5" s="1"/>
  <c r="AY69" i="5"/>
  <c r="EF69" i="5"/>
  <c r="GN69" i="5" s="1"/>
  <c r="AZ49" i="5"/>
  <c r="EG49" i="5"/>
  <c r="GO49" i="5" s="1"/>
  <c r="AY15" i="5"/>
  <c r="EF15" i="5"/>
  <c r="GN15" i="5" s="1"/>
  <c r="AY11" i="5"/>
  <c r="EF11" i="5"/>
  <c r="AX1" i="5"/>
  <c r="EF63" i="5"/>
  <c r="GN63" i="5" s="1"/>
  <c r="AY63" i="5"/>
  <c r="BA30" i="5"/>
  <c r="EI30" i="5" s="1"/>
  <c r="GQ30" i="5" s="1"/>
  <c r="EH30" i="5"/>
  <c r="GP30" i="5" s="1"/>
  <c r="EG58" i="5"/>
  <c r="GO58" i="5" s="1"/>
  <c r="AZ58" i="5"/>
  <c r="BA20" i="5"/>
  <c r="EI20" i="5" s="1"/>
  <c r="GQ20" i="5" s="1"/>
  <c r="EH20" i="5"/>
  <c r="GP20" i="5" s="1"/>
  <c r="AZ67" i="5"/>
  <c r="EG67" i="5"/>
  <c r="GO67" i="5" s="1"/>
  <c r="AZ45" i="5"/>
  <c r="EG45" i="5"/>
  <c r="GO45" i="5" s="1"/>
  <c r="AY54" i="5"/>
  <c r="EF54" i="5"/>
  <c r="GN54" i="5" s="1"/>
  <c r="EG64" i="5"/>
  <c r="GO64" i="5" s="1"/>
  <c r="AZ64" i="5"/>
  <c r="EG72" i="5"/>
  <c r="GO72" i="5" s="1"/>
  <c r="AZ72" i="5"/>
  <c r="AZ37" i="5"/>
  <c r="EG37" i="5"/>
  <c r="GO37" i="5" s="1"/>
  <c r="AZ25" i="5"/>
  <c r="EG25" i="5"/>
  <c r="GO25" i="5" s="1"/>
  <c r="EG14" i="5"/>
  <c r="GO14" i="5" s="1"/>
  <c r="AZ14" i="5"/>
  <c r="EF59" i="5"/>
  <c r="GN59" i="5" s="1"/>
  <c r="AY59" i="5"/>
  <c r="EF22" i="5"/>
  <c r="GN22" i="5" s="1"/>
  <c r="AY22" i="5"/>
  <c r="AZ41" i="5"/>
  <c r="EG41" i="5"/>
  <c r="GO41" i="5" s="1"/>
  <c r="GM11" i="5"/>
  <c r="EE1" i="5"/>
  <c r="GM1" i="5" s="1"/>
  <c r="EG56" i="5"/>
  <c r="GO56" i="5" s="1"/>
  <c r="AZ56" i="5"/>
  <c r="EG19" i="5"/>
  <c r="GO19" i="5" s="1"/>
  <c r="AZ19" i="5"/>
  <c r="BA28" i="5"/>
  <c r="EI28" i="5" s="1"/>
  <c r="GQ28" i="5" s="1"/>
  <c r="EH28" i="5"/>
  <c r="GP28" i="5" s="1"/>
  <c r="EG44" i="5"/>
  <c r="GO44" i="5" s="1"/>
  <c r="AZ44" i="5"/>
  <c r="EG43" i="5"/>
  <c r="GO43" i="5" s="1"/>
  <c r="AZ43" i="5"/>
  <c r="BA38" i="5"/>
  <c r="EI38" i="5" s="1"/>
  <c r="GQ38" i="5" s="1"/>
  <c r="EH38" i="5"/>
  <c r="GP38" i="5" s="1"/>
  <c r="T17" i="1"/>
  <c r="S18" i="1"/>
  <c r="G17" i="1"/>
  <c r="F18" i="1"/>
  <c r="EH10" i="5" l="1"/>
  <c r="GP10" i="5" s="1"/>
  <c r="BA10" i="5"/>
  <c r="EI10" i="5" s="1"/>
  <c r="GQ10" i="5" s="1"/>
  <c r="AZ21" i="5"/>
  <c r="EG21" i="5"/>
  <c r="GO21" i="5" s="1"/>
  <c r="EG6" i="5"/>
  <c r="GO6" i="5" s="1"/>
  <c r="AZ6" i="5"/>
  <c r="EG48" i="5"/>
  <c r="GO48" i="5" s="1"/>
  <c r="AZ48" i="5"/>
  <c r="EG62" i="5"/>
  <c r="GO62" i="5" s="1"/>
  <c r="AZ62" i="5"/>
  <c r="EG26" i="5"/>
  <c r="GO26" i="5" s="1"/>
  <c r="AZ26" i="5"/>
  <c r="EG13" i="5"/>
  <c r="GO13" i="5" s="1"/>
  <c r="AZ13" i="5"/>
  <c r="AZ50" i="5"/>
  <c r="EG50" i="5"/>
  <c r="GO50" i="5" s="1"/>
  <c r="AZ53" i="5"/>
  <c r="EG53" i="5"/>
  <c r="GO53" i="5" s="1"/>
  <c r="AZ33" i="5"/>
  <c r="EG33" i="5"/>
  <c r="GO33" i="5" s="1"/>
  <c r="EH25" i="5"/>
  <c r="GP25" i="5" s="1"/>
  <c r="BA25" i="5"/>
  <c r="EI25" i="5" s="1"/>
  <c r="GQ25" i="5" s="1"/>
  <c r="EG54" i="5"/>
  <c r="GO54" i="5" s="1"/>
  <c r="AZ54" i="5"/>
  <c r="BA65" i="5"/>
  <c r="EI65" i="5" s="1"/>
  <c r="GQ65" i="5" s="1"/>
  <c r="EH65" i="5"/>
  <c r="GP65" i="5" s="1"/>
  <c r="BA60" i="5"/>
  <c r="EI60" i="5" s="1"/>
  <c r="GQ60" i="5" s="1"/>
  <c r="EH60" i="5"/>
  <c r="GP60" i="5" s="1"/>
  <c r="EG18" i="5"/>
  <c r="GO18" i="5" s="1"/>
  <c r="AZ18" i="5"/>
  <c r="EH43" i="5"/>
  <c r="GP43" i="5" s="1"/>
  <c r="BA43" i="5"/>
  <c r="EI43" i="5" s="1"/>
  <c r="GQ43" i="5" s="1"/>
  <c r="BA56" i="5"/>
  <c r="EI56" i="5" s="1"/>
  <c r="GQ56" i="5" s="1"/>
  <c r="EH56" i="5"/>
  <c r="GP56" i="5" s="1"/>
  <c r="AZ59" i="5"/>
  <c r="EG59" i="5"/>
  <c r="GO59" i="5" s="1"/>
  <c r="AZ15" i="5"/>
  <c r="EG15" i="5"/>
  <c r="GO15" i="5" s="1"/>
  <c r="BA61" i="5"/>
  <c r="EI61" i="5" s="1"/>
  <c r="GQ61" i="5" s="1"/>
  <c r="EH61" i="5"/>
  <c r="GP61" i="5" s="1"/>
  <c r="BA74" i="5"/>
  <c r="EI74" i="5" s="1"/>
  <c r="GQ74" i="5" s="1"/>
  <c r="EH74" i="5"/>
  <c r="GP74" i="5" s="1"/>
  <c r="BA37" i="5"/>
  <c r="EI37" i="5" s="1"/>
  <c r="GQ37" i="5" s="1"/>
  <c r="EH37" i="5"/>
  <c r="GP37" i="5" s="1"/>
  <c r="BA44" i="5"/>
  <c r="EI44" i="5" s="1"/>
  <c r="GQ44" i="5" s="1"/>
  <c r="EH44" i="5"/>
  <c r="GP44" i="5" s="1"/>
  <c r="EH72" i="5"/>
  <c r="GP72" i="5" s="1"/>
  <c r="BA72" i="5"/>
  <c r="EI72" i="5" s="1"/>
  <c r="GQ72" i="5" s="1"/>
  <c r="EG63" i="5"/>
  <c r="GO63" i="5" s="1"/>
  <c r="AZ63" i="5"/>
  <c r="BA49" i="5"/>
  <c r="EI49" i="5" s="1"/>
  <c r="GQ49" i="5" s="1"/>
  <c r="EH49" i="5"/>
  <c r="GP49" i="5" s="1"/>
  <c r="BA34" i="5"/>
  <c r="EI34" i="5" s="1"/>
  <c r="GQ34" i="5" s="1"/>
  <c r="EH34" i="5"/>
  <c r="GP34" i="5" s="1"/>
  <c r="AZ8" i="5"/>
  <c r="EG8" i="5"/>
  <c r="GO8" i="5" s="1"/>
  <c r="AZ68" i="5"/>
  <c r="EG68" i="5"/>
  <c r="GO68" i="5" s="1"/>
  <c r="EH67" i="5"/>
  <c r="GP67" i="5" s="1"/>
  <c r="BA67" i="5"/>
  <c r="EI67" i="5" s="1"/>
  <c r="GQ67" i="5" s="1"/>
  <c r="BA16" i="5"/>
  <c r="EI16" i="5" s="1"/>
  <c r="GQ16" i="5" s="1"/>
  <c r="EH16" i="5"/>
  <c r="GP16" i="5" s="1"/>
  <c r="EG24" i="5"/>
  <c r="GO24" i="5" s="1"/>
  <c r="AZ24" i="5"/>
  <c r="BA14" i="5"/>
  <c r="EI14" i="5" s="1"/>
  <c r="GQ14" i="5" s="1"/>
  <c r="EH14" i="5"/>
  <c r="GP14" i="5" s="1"/>
  <c r="EH64" i="5"/>
  <c r="GP64" i="5" s="1"/>
  <c r="BA64" i="5"/>
  <c r="EI64" i="5" s="1"/>
  <c r="GQ64" i="5" s="1"/>
  <c r="AZ69" i="5"/>
  <c r="EG69" i="5"/>
  <c r="GO69" i="5" s="1"/>
  <c r="EG9" i="5"/>
  <c r="GO9" i="5" s="1"/>
  <c r="AZ9" i="5"/>
  <c r="EG7" i="5"/>
  <c r="GO7" i="5" s="1"/>
  <c r="AZ7" i="5"/>
  <c r="BA45" i="5"/>
  <c r="EI45" i="5" s="1"/>
  <c r="GQ45" i="5" s="1"/>
  <c r="EH45" i="5"/>
  <c r="GP45" i="5" s="1"/>
  <c r="BA41" i="5"/>
  <c r="EI41" i="5" s="1"/>
  <c r="GQ41" i="5" s="1"/>
  <c r="EH41" i="5"/>
  <c r="GP41" i="5" s="1"/>
  <c r="GN11" i="5"/>
  <c r="EF1" i="5"/>
  <c r="GN1" i="5" s="1"/>
  <c r="EG51" i="5"/>
  <c r="GO51" i="5" s="1"/>
  <c r="AZ51" i="5"/>
  <c r="AZ57" i="5"/>
  <c r="EG57" i="5"/>
  <c r="GO57" i="5" s="1"/>
  <c r="EH19" i="5"/>
  <c r="GP19" i="5" s="1"/>
  <c r="BA19" i="5"/>
  <c r="EI19" i="5" s="1"/>
  <c r="GQ19" i="5" s="1"/>
  <c r="EG22" i="5"/>
  <c r="GO22" i="5" s="1"/>
  <c r="AZ22" i="5"/>
  <c r="BA58" i="5"/>
  <c r="EI58" i="5" s="1"/>
  <c r="GQ58" i="5" s="1"/>
  <c r="EH58" i="5"/>
  <c r="GP58" i="5" s="1"/>
  <c r="EG11" i="5"/>
  <c r="AY1" i="5"/>
  <c r="AZ11" i="5"/>
  <c r="AZ52" i="5"/>
  <c r="EG52" i="5"/>
  <c r="GO52" i="5" s="1"/>
  <c r="EG66" i="5"/>
  <c r="GO66" i="5" s="1"/>
  <c r="AZ66" i="5"/>
  <c r="EG32" i="5"/>
  <c r="GO32" i="5" s="1"/>
  <c r="AZ32" i="5"/>
  <c r="EG42" i="5"/>
  <c r="GO42" i="5" s="1"/>
  <c r="AZ42" i="5"/>
  <c r="G18" i="1"/>
  <c r="F19" i="1"/>
  <c r="T18" i="1"/>
  <c r="S19" i="1"/>
  <c r="EH21" i="5" l="1"/>
  <c r="GP21" i="5" s="1"/>
  <c r="BA21" i="5"/>
  <c r="EI21" i="5" s="1"/>
  <c r="GQ21" i="5" s="1"/>
  <c r="EH53" i="5"/>
  <c r="GP53" i="5" s="1"/>
  <c r="BA53" i="5"/>
  <c r="EI53" i="5" s="1"/>
  <c r="GQ53" i="5" s="1"/>
  <c r="BA48" i="5"/>
  <c r="EI48" i="5" s="1"/>
  <c r="GQ48" i="5" s="1"/>
  <c r="EH48" i="5"/>
  <c r="GP48" i="5" s="1"/>
  <c r="EH62" i="5"/>
  <c r="GP62" i="5" s="1"/>
  <c r="BA62" i="5"/>
  <c r="EI62" i="5" s="1"/>
  <c r="GQ62" i="5" s="1"/>
  <c r="BA50" i="5"/>
  <c r="EI50" i="5" s="1"/>
  <c r="GQ50" i="5" s="1"/>
  <c r="EH50" i="5"/>
  <c r="GP50" i="5" s="1"/>
  <c r="BA33" i="5"/>
  <c r="EI33" i="5" s="1"/>
  <c r="GQ33" i="5" s="1"/>
  <c r="EH33" i="5"/>
  <c r="GP33" i="5" s="1"/>
  <c r="EH13" i="5"/>
  <c r="GP13" i="5" s="1"/>
  <c r="BA13" i="5"/>
  <c r="EI13" i="5" s="1"/>
  <c r="GQ13" i="5" s="1"/>
  <c r="EH6" i="5"/>
  <c r="GP6" i="5" s="1"/>
  <c r="BA6" i="5"/>
  <c r="EI6" i="5" s="1"/>
  <c r="GQ6" i="5" s="1"/>
  <c r="EH26" i="5"/>
  <c r="GP26" i="5" s="1"/>
  <c r="BA26" i="5"/>
  <c r="EI26" i="5" s="1"/>
  <c r="GQ26" i="5" s="1"/>
  <c r="EH32" i="5"/>
  <c r="GP32" i="5" s="1"/>
  <c r="BA32" i="5"/>
  <c r="EI32" i="5" s="1"/>
  <c r="GQ32" i="5" s="1"/>
  <c r="GO11" i="5"/>
  <c r="EG1" i="5"/>
  <c r="GO1" i="5" s="1"/>
  <c r="EH57" i="5"/>
  <c r="GP57" i="5" s="1"/>
  <c r="BA57" i="5"/>
  <c r="EI57" i="5" s="1"/>
  <c r="GQ57" i="5" s="1"/>
  <c r="BA59" i="5"/>
  <c r="EI59" i="5" s="1"/>
  <c r="GQ59" i="5" s="1"/>
  <c r="EH59" i="5"/>
  <c r="GP59" i="5" s="1"/>
  <c r="EH66" i="5"/>
  <c r="GP66" i="5" s="1"/>
  <c r="BA66" i="5"/>
  <c r="EI66" i="5" s="1"/>
  <c r="GQ66" i="5" s="1"/>
  <c r="BA68" i="5"/>
  <c r="EI68" i="5" s="1"/>
  <c r="GQ68" i="5" s="1"/>
  <c r="EH68" i="5"/>
  <c r="GP68" i="5" s="1"/>
  <c r="EH24" i="5"/>
  <c r="GP24" i="5" s="1"/>
  <c r="BA24" i="5"/>
  <c r="EI24" i="5" s="1"/>
  <c r="GQ24" i="5" s="1"/>
  <c r="EH54" i="5"/>
  <c r="GP54" i="5" s="1"/>
  <c r="BA54" i="5"/>
  <c r="EI54" i="5" s="1"/>
  <c r="GQ54" i="5" s="1"/>
  <c r="EH7" i="5"/>
  <c r="GP7" i="5" s="1"/>
  <c r="BA7" i="5"/>
  <c r="EI7" i="5" s="1"/>
  <c r="GQ7" i="5" s="1"/>
  <c r="BA63" i="5"/>
  <c r="EI63" i="5" s="1"/>
  <c r="GQ63" i="5" s="1"/>
  <c r="EH63" i="5"/>
  <c r="GP63" i="5" s="1"/>
  <c r="EH22" i="5"/>
  <c r="GP22" i="5" s="1"/>
  <c r="BA22" i="5"/>
  <c r="EI22" i="5" s="1"/>
  <c r="GQ22" i="5" s="1"/>
  <c r="EH9" i="5"/>
  <c r="GP9" i="5" s="1"/>
  <c r="BA9" i="5"/>
  <c r="EI9" i="5" s="1"/>
  <c r="GQ9" i="5" s="1"/>
  <c r="EH8" i="5"/>
  <c r="GP8" i="5" s="1"/>
  <c r="BA8" i="5"/>
  <c r="EI8" i="5" s="1"/>
  <c r="GQ8" i="5" s="1"/>
  <c r="EH51" i="5"/>
  <c r="GP51" i="5" s="1"/>
  <c r="BA51" i="5"/>
  <c r="EI51" i="5" s="1"/>
  <c r="GQ51" i="5" s="1"/>
  <c r="EH52" i="5"/>
  <c r="GP52" i="5" s="1"/>
  <c r="BA52" i="5"/>
  <c r="EI52" i="5" s="1"/>
  <c r="GQ52" i="5" s="1"/>
  <c r="EH18" i="5"/>
  <c r="GP18" i="5" s="1"/>
  <c r="BA18" i="5"/>
  <c r="EI18" i="5" s="1"/>
  <c r="GQ18" i="5" s="1"/>
  <c r="EH42" i="5"/>
  <c r="GP42" i="5" s="1"/>
  <c r="BA42" i="5"/>
  <c r="EI42" i="5" s="1"/>
  <c r="GQ42" i="5" s="1"/>
  <c r="EH11" i="5"/>
  <c r="BA11" i="5"/>
  <c r="AZ1" i="5"/>
  <c r="BA69" i="5"/>
  <c r="EI69" i="5" s="1"/>
  <c r="GQ69" i="5" s="1"/>
  <c r="EH69" i="5"/>
  <c r="GP69" i="5" s="1"/>
  <c r="BA15" i="5"/>
  <c r="EI15" i="5" s="1"/>
  <c r="GQ15" i="5" s="1"/>
  <c r="EH15" i="5"/>
  <c r="GP15" i="5" s="1"/>
  <c r="T19" i="1"/>
  <c r="S20" i="1"/>
  <c r="G19" i="1"/>
  <c r="F20" i="1"/>
  <c r="EI11" i="5" l="1"/>
  <c r="BA1" i="5"/>
  <c r="GP11" i="5"/>
  <c r="EH1" i="5"/>
  <c r="GP1" i="5" s="1"/>
  <c r="T20" i="1"/>
  <c r="S21" i="1"/>
  <c r="G20" i="1"/>
  <c r="F21" i="1"/>
  <c r="GQ11" i="5" l="1"/>
  <c r="EI1" i="5"/>
  <c r="GQ1" i="5" s="1"/>
  <c r="G21" i="1"/>
  <c r="F22" i="1"/>
  <c r="T21" i="1"/>
  <c r="S22" i="1"/>
  <c r="T22" i="1" l="1"/>
  <c r="S23" i="1"/>
  <c r="G22" i="1"/>
  <c r="F23" i="1"/>
  <c r="T23" i="1" l="1"/>
  <c r="S24" i="1"/>
  <c r="G23" i="1"/>
  <c r="F24" i="1"/>
  <c r="G24" i="1" l="1"/>
  <c r="F25" i="1"/>
  <c r="T24" i="1"/>
  <c r="S25" i="1"/>
  <c r="T25" i="1" s="1"/>
  <c r="K10" i="1" l="1"/>
  <c r="L10" i="1"/>
  <c r="K12" i="1"/>
  <c r="L11" i="1"/>
  <c r="L12" i="1"/>
  <c r="K11" i="1"/>
  <c r="G25" i="1"/>
  <c r="F26" i="1"/>
  <c r="G26" i="1" l="1"/>
  <c r="F27" i="1"/>
  <c r="G27" i="1" l="1"/>
  <c r="F28" i="1"/>
  <c r="G28" i="1" l="1"/>
  <c r="F29" i="1"/>
  <c r="G29" i="1" l="1"/>
  <c r="F30" i="1"/>
  <c r="G30" i="1" l="1"/>
  <c r="F31" i="1"/>
  <c r="G31" i="1" l="1"/>
  <c r="F32" i="1"/>
  <c r="G32" i="1" l="1"/>
  <c r="F33" i="1"/>
  <c r="G33" i="1" l="1"/>
  <c r="F34" i="1"/>
  <c r="G34" i="1" l="1"/>
  <c r="F35" i="1"/>
  <c r="G35" i="1" l="1"/>
  <c r="F36" i="1"/>
  <c r="G36" i="1" l="1"/>
  <c r="F37" i="1"/>
  <c r="G37" i="1" l="1"/>
  <c r="F38" i="1"/>
  <c r="G38" i="1" l="1"/>
  <c r="F39" i="1"/>
  <c r="G39" i="1" l="1"/>
  <c r="F40" i="1"/>
  <c r="G40" i="1" l="1"/>
  <c r="F41" i="1"/>
  <c r="G41" i="1" l="1"/>
  <c r="F42" i="1"/>
  <c r="G42" i="1" l="1"/>
  <c r="F43" i="1"/>
  <c r="G43" i="1" l="1"/>
  <c r="F44" i="1"/>
  <c r="G44" i="1" l="1"/>
  <c r="F45" i="1"/>
  <c r="G45" i="1" l="1"/>
  <c r="F46" i="1"/>
  <c r="G46" i="1" l="1"/>
  <c r="F47" i="1"/>
  <c r="G47" i="1" l="1"/>
  <c r="F48" i="1"/>
  <c r="G48" i="1" s="1"/>
  <c r="L5" i="1" l="1"/>
  <c r="L4" i="1"/>
  <c r="K5" i="1"/>
  <c r="K6" i="1"/>
  <c r="K4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<sst xmlns="http://schemas.openxmlformats.org/spreadsheetml/2006/main" count="1010" uniqueCount="576">
  <si>
    <t>OTC</t>
  </si>
  <si>
    <t>Ethical</t>
  </si>
  <si>
    <t>SKU</t>
  </si>
  <si>
    <t>$/Unit</t>
  </si>
  <si>
    <t>Sales Qty</t>
  </si>
  <si>
    <t xml:space="preserve">Total value </t>
  </si>
  <si>
    <t>% Individual</t>
  </si>
  <si>
    <t>% Acumulated</t>
  </si>
  <si>
    <t>Clasification</t>
  </si>
  <si>
    <t>Class</t>
  </si>
  <si>
    <t>Split</t>
  </si>
  <si>
    <t>SKU proportion</t>
  </si>
  <si>
    <t xml:space="preserve">Value proportion </t>
  </si>
  <si>
    <t>000A4023</t>
  </si>
  <si>
    <t>A</t>
  </si>
  <si>
    <t>000IC0001</t>
  </si>
  <si>
    <t>000A4029</t>
  </si>
  <si>
    <t>B</t>
  </si>
  <si>
    <t>000EC0001</t>
  </si>
  <si>
    <t>000A2005</t>
  </si>
  <si>
    <t>C</t>
  </si>
  <si>
    <t>000Z0012</t>
  </si>
  <si>
    <t>000A4025</t>
  </si>
  <si>
    <t>000X0101</t>
  </si>
  <si>
    <t>000A1001</t>
  </si>
  <si>
    <t>000Z0016</t>
  </si>
  <si>
    <t>000A4013</t>
  </si>
  <si>
    <t>000H1003</t>
  </si>
  <si>
    <t>000A2014</t>
  </si>
  <si>
    <t>000Z0013</t>
  </si>
  <si>
    <t>000A4028</t>
  </si>
  <si>
    <t>000XE101</t>
  </si>
  <si>
    <t>000A3009</t>
  </si>
  <si>
    <t>000Z0035</t>
  </si>
  <si>
    <t>000A1002</t>
  </si>
  <si>
    <t>000H1013</t>
  </si>
  <si>
    <t>000A4030</t>
  </si>
  <si>
    <t>000X0105</t>
  </si>
  <si>
    <t>000A1003</t>
  </si>
  <si>
    <t>000X0106</t>
  </si>
  <si>
    <t>000A4026</t>
  </si>
  <si>
    <t>000X0107</t>
  </si>
  <si>
    <t>000A3005</t>
  </si>
  <si>
    <t>000X0103</t>
  </si>
  <si>
    <t>000A1031</t>
  </si>
  <si>
    <t>000X0104</t>
  </si>
  <si>
    <t>000A2001</t>
  </si>
  <si>
    <t>000X0108</t>
  </si>
  <si>
    <t>000A5035</t>
  </si>
  <si>
    <t>000X0102</t>
  </si>
  <si>
    <t>000A2019</t>
  </si>
  <si>
    <t>000X0109</t>
  </si>
  <si>
    <t>000A1006</t>
  </si>
  <si>
    <t>000Z0009</t>
  </si>
  <si>
    <t>00013</t>
  </si>
  <si>
    <t>000Z0018</t>
  </si>
  <si>
    <t>000A4010</t>
  </si>
  <si>
    <t>000Z0011</t>
  </si>
  <si>
    <t>000A1004</t>
  </si>
  <si>
    <t>000Z0017</t>
  </si>
  <si>
    <t>00012</t>
  </si>
  <si>
    <t>Total</t>
  </si>
  <si>
    <t>000A2018</t>
  </si>
  <si>
    <t>000A5037</t>
  </si>
  <si>
    <t>000A2007</t>
  </si>
  <si>
    <t>000A2015</t>
  </si>
  <si>
    <t>00014</t>
  </si>
  <si>
    <t>000A1019</t>
  </si>
  <si>
    <t>000A1025</t>
  </si>
  <si>
    <t>000A1034</t>
  </si>
  <si>
    <t>000A1021</t>
  </si>
  <si>
    <t>000A1012</t>
  </si>
  <si>
    <t>00017</t>
  </si>
  <si>
    <t>000A3050</t>
  </si>
  <si>
    <t>000A5036</t>
  </si>
  <si>
    <t>000A1017</t>
  </si>
  <si>
    <t>000A1028</t>
  </si>
  <si>
    <t>000A2011</t>
  </si>
  <si>
    <t>000A3014</t>
  </si>
  <si>
    <t>000A4012</t>
  </si>
  <si>
    <t>000A3018</t>
  </si>
  <si>
    <t>000A5014</t>
  </si>
  <si>
    <t>000A5034</t>
  </si>
  <si>
    <t>000A4005</t>
  </si>
  <si>
    <t>Nome da Coluna</t>
  </si>
  <si>
    <t>O identificador único para cada produto (Unidade de Manutenção de Estoque).</t>
  </si>
  <si>
    <t>$/Unidade</t>
  </si>
  <si>
    <t>O custo médio por unidade do SKU em Reais Brasileiros (R$).</t>
  </si>
  <si>
    <t>Quantidade Vendida</t>
  </si>
  <si>
    <t>Valor Total</t>
  </si>
  <si>
    <t>A contribuição percentual do valor total de cada SKU para o valor total de vendas geral.</t>
  </si>
  <si>
    <t>% Acumulado</t>
  </si>
  <si>
    <t>A porcentagem acumulada do valor total de vendas à medida que você avança na lista de SKUs.</t>
  </si>
  <si>
    <t>Classificação</t>
  </si>
  <si>
    <t>A classificação de cada SKU, indicando sua importância ou categoria de desempenho (por exemplo, A, B, C).</t>
  </si>
  <si>
    <t>Para SKU 000A4023:</t>
  </si>
  <si>
    <t>A quantidade total de cada SKU vendida durante um ano</t>
  </si>
  <si>
    <r>
      <t>A receita total gerada pelas vendas de cada SKU, calculada como </t>
    </r>
    <r>
      <rPr>
        <b/>
        <sz val="11"/>
        <color theme="1"/>
        <rFont val="Aptos Narrow"/>
        <family val="2"/>
        <scheme val="minor"/>
      </rPr>
      <t>Quantidade Vendida</t>
    </r>
    <r>
      <rPr>
        <sz val="11"/>
        <color theme="1"/>
        <rFont val="Aptos Narrow"/>
        <family val="2"/>
        <scheme val="minor"/>
      </rPr>
      <t xml:space="preserve"> * </t>
    </r>
    <r>
      <rPr>
        <b/>
        <sz val="11"/>
        <color theme="1"/>
        <rFont val="Aptos Narrow"/>
        <family val="2"/>
        <scheme val="minor"/>
      </rPr>
      <t>$/Unidade.</t>
    </r>
  </si>
  <si>
    <t>Quebra da Tabela 1</t>
  </si>
  <si>
    <r>
      <rPr>
        <b/>
        <sz val="11"/>
        <color theme="1"/>
        <rFont val="Aptos Narrow"/>
        <family val="2"/>
        <scheme val="minor"/>
      </rPr>
      <t>Custo Médio:</t>
    </r>
    <r>
      <rPr>
        <sz val="11"/>
        <color theme="1"/>
        <rFont val="Aptos Narrow"/>
        <family val="2"/>
        <scheme val="minor"/>
      </rPr>
      <t xml:space="preserve"> R$ 50,91 por unidade (isso reflete o custo médio para o varejista ou fabricante, não o preço de venda).</t>
    </r>
  </si>
  <si>
    <r>
      <rPr>
        <b/>
        <sz val="11"/>
        <color theme="1"/>
        <rFont val="Aptos Narrow"/>
        <family val="2"/>
        <scheme val="minor"/>
      </rPr>
      <t>Quantidade Vendida:</t>
    </r>
    <r>
      <rPr>
        <sz val="11"/>
        <color theme="1"/>
        <rFont val="Aptos Narrow"/>
        <family val="2"/>
        <scheme val="minor"/>
      </rPr>
      <t xml:space="preserve"> 99.985 unidades.</t>
    </r>
  </si>
  <si>
    <r>
      <rPr>
        <b/>
        <sz val="11"/>
        <color theme="1"/>
        <rFont val="Aptos Narrow"/>
        <family val="2"/>
        <scheme val="minor"/>
      </rPr>
      <t>Receita Total:</t>
    </r>
    <r>
      <rPr>
        <sz val="11"/>
        <color theme="1"/>
        <rFont val="Aptos Narrow"/>
        <family val="2"/>
        <scheme val="minor"/>
      </rPr>
      <t xml:space="preserve"> R$ 5.090.255,88 (calculado como 99.985 * R$ 50,91).</t>
    </r>
  </si>
  <si>
    <r>
      <rPr>
        <b/>
        <sz val="11"/>
        <color theme="1"/>
        <rFont val="Aptos Narrow"/>
        <family val="2"/>
        <scheme val="minor"/>
      </rPr>
      <t>Contribuição Individual:</t>
    </r>
    <r>
      <rPr>
        <sz val="11"/>
        <color theme="1"/>
        <rFont val="Aptos Narrow"/>
        <family val="2"/>
        <scheme val="minor"/>
      </rPr>
      <t xml:space="preserve"> 7,87% do valor total de vendas.</t>
    </r>
  </si>
  <si>
    <r>
      <rPr>
        <b/>
        <sz val="11"/>
        <color theme="1"/>
        <rFont val="Aptos Narrow"/>
        <family val="2"/>
        <scheme val="minor"/>
      </rPr>
      <t>Contribuição Acumulada</t>
    </r>
    <r>
      <rPr>
        <sz val="11"/>
        <color theme="1"/>
        <rFont val="Aptos Narrow"/>
        <family val="2"/>
        <scheme val="minor"/>
      </rPr>
      <t>: 8% quando combinado com SKUs anteriores.</t>
    </r>
  </si>
  <si>
    <r>
      <rPr>
        <b/>
        <sz val="11"/>
        <color theme="1"/>
        <rFont val="Aptos Narrow"/>
        <family val="2"/>
        <scheme val="minor"/>
      </rPr>
      <t>Classificação:</t>
    </r>
    <r>
      <rPr>
        <sz val="11"/>
        <color theme="1"/>
        <rFont val="Aptos Narrow"/>
        <family val="2"/>
        <scheme val="minor"/>
      </rPr>
      <t xml:space="preserve"> A (indicando que é um SKU de alto desempenho).</t>
    </r>
  </si>
  <si>
    <t>Classe</t>
  </si>
  <si>
    <t>A classificação dos SKUs (A, B, C) com base em seu desempenho, conforme mencionado na tabela OTC.</t>
  </si>
  <si>
    <t>Divisão</t>
  </si>
  <si>
    <t>A porcentagem do total de SKUs que se enquadram em cada classificação.</t>
  </si>
  <si>
    <t>Proporção de SKU</t>
  </si>
  <si>
    <t>A porcentagem do total de SKUs representados por cada classe.</t>
  </si>
  <si>
    <t>Proporção de Valor</t>
  </si>
  <si>
    <t>A porcentagem do valor total de vendas contribuído por cada classe de SKUs.</t>
  </si>
  <si>
    <t>Quebra da Tabela 2</t>
  </si>
  <si>
    <t>Tabela 1</t>
  </si>
  <si>
    <t>Tabela 2</t>
  </si>
  <si>
    <t>Propósito:</t>
  </si>
  <si>
    <t>Esta tabela fornece um resumo de como os SKUs estão distribuídos entre diferentes classificações de desempenho e como cada classificação contribui para o valor total de vendas. Ajuda a entender o impacto de cada classe nas vendas totais e na gestão de inventário.</t>
  </si>
  <si>
    <t xml:space="preserve">Propósito: </t>
  </si>
  <si>
    <t>A tabela resume o desempenho de vendas de diferentes SKUs, permitindo a análise de quais produtos são vendidos a custos médios e como eles contribuem para a receita total. Ajuda a identificar itens de alto desempenho e entender a distribuição geral de vendas com base nos custos médios.</t>
  </si>
  <si>
    <t>Exemplo</t>
  </si>
  <si>
    <t>Classe A:</t>
  </si>
  <si>
    <t>Divisão: 65% dos SKUs pertencem a esta classificação.</t>
  </si>
  <si>
    <t>Proporção de SKU: 28,89% do total de SKUs são classificados como A.</t>
  </si>
  <si>
    <t>Proporção de Valor: Os SKUs da Classe A contribuem com 62,51% do valor total de vendas, indicando que, apesar de serem uma porcentagem menor do total de SKUs, geram uma parte significativa da receita.</t>
  </si>
  <si>
    <t>Classe B:</t>
  </si>
  <si>
    <t>Divisão: 90% dos SKUs se enquadram nesta categoria.</t>
  </si>
  <si>
    <t>Proporção de SKU: 33,33% do total de SKUs são classificados como B.</t>
  </si>
  <si>
    <t>Proporção de Valor: A Classe B contribui com 26,64% do valor total de vendas, sugerindo que, embora representem uma participação maior de SKUs em comparação à Classe A, sua contribuição para a receita é menor.</t>
  </si>
  <si>
    <t>Classe C:</t>
  </si>
  <si>
    <t>Divisão: 100% dos SKUs estão incluídos nesta classe.</t>
  </si>
  <si>
    <t>Proporção de SKU: 37,78% do total de SKUs são classificados como C.</t>
  </si>
  <si>
    <t>Proporção de Valor: A Classe C contribui com apenas 10,85% do valor total de vendas, indicando que esses produtos têm o menor impacto na receita em comparação com as Classes A e B.</t>
  </si>
  <si>
    <t>Update</t>
  </si>
  <si>
    <t>year</t>
  </si>
  <si>
    <t>month</t>
  </si>
  <si>
    <t>Código do Produto</t>
  </si>
  <si>
    <t>Nome Produto</t>
  </si>
  <si>
    <t>Nome produto 2</t>
  </si>
  <si>
    <t>BU</t>
  </si>
  <si>
    <t>Fornecedor</t>
  </si>
  <si>
    <t>Comentario</t>
  </si>
  <si>
    <t>Lead time produção (dias)</t>
  </si>
  <si>
    <t>Lead time trânsito (dias)</t>
  </si>
  <si>
    <t>Lead time total (dias)</t>
  </si>
  <si>
    <t>ETD</t>
  </si>
  <si>
    <t>ETD (Month)</t>
  </si>
  <si>
    <t>ETD (Year)</t>
  </si>
  <si>
    <t>Final ETA</t>
  </si>
  <si>
    <t>Final ETA (Month)</t>
  </si>
  <si>
    <t>Final ETA (Year)</t>
  </si>
  <si>
    <t xml:space="preserve">Service level </t>
  </si>
  <si>
    <t>ABC index</t>
  </si>
  <si>
    <t>DOH 90 days</t>
  </si>
  <si>
    <t>Average COGS Aug 24</t>
  </si>
  <si>
    <t>Safety stock</t>
  </si>
  <si>
    <t>ROP</t>
  </si>
  <si>
    <t>MOQ</t>
  </si>
  <si>
    <t>OQ</t>
  </si>
  <si>
    <t>UM</t>
  </si>
  <si>
    <t>Precio Fabrica</t>
  </si>
  <si>
    <t>Realizado Set/24</t>
  </si>
  <si>
    <t>Realizado Out/24</t>
  </si>
  <si>
    <t>Realizado Nov/24</t>
  </si>
  <si>
    <t>Realizado Dez/24</t>
  </si>
  <si>
    <t>Realizado Jan/25</t>
  </si>
  <si>
    <t>Realizado Fev/25</t>
  </si>
  <si>
    <t>Realizado Mar/25</t>
  </si>
  <si>
    <t>Realizado Abr/25</t>
  </si>
  <si>
    <t>Realizado Mai/25</t>
  </si>
  <si>
    <t>Estoque Inicial Jun/25</t>
  </si>
  <si>
    <t>Estoque Inicial Jul/25</t>
  </si>
  <si>
    <t>Estoque Inicial Aug/25</t>
  </si>
  <si>
    <t>Estoque Inicial Sep/25</t>
  </si>
  <si>
    <t>Estoque Inicial Oct/25</t>
  </si>
  <si>
    <t>Estoque Inicial Nov/25</t>
  </si>
  <si>
    <t>Estoque Inicial Dec/25</t>
  </si>
  <si>
    <t>Estoque Inicial Jan/26</t>
  </si>
  <si>
    <t>Estoque Inicial Feb/26</t>
  </si>
  <si>
    <t>Estoque Inicial Mar/26</t>
  </si>
  <si>
    <t>Estoque Inicial Abr/26</t>
  </si>
  <si>
    <t>Estoque Inicial Mai/26</t>
  </si>
  <si>
    <t>Estoque Inicial Jun/26</t>
  </si>
  <si>
    <t>Estoque Inicial Jul/26</t>
  </si>
  <si>
    <t>Estoque Inicial Aug/26</t>
  </si>
  <si>
    <t>Estoque Inicial Sep/26</t>
  </si>
  <si>
    <t>Estoque Inicial Oct/26</t>
  </si>
  <si>
    <t>Estoque Inicial Nov/26</t>
  </si>
  <si>
    <t>Estoque Inicial Dec/26</t>
  </si>
  <si>
    <t>Vendas Set/24</t>
  </si>
  <si>
    <t>Vendas Out/24</t>
  </si>
  <si>
    <t>Vendas Nov/24</t>
  </si>
  <si>
    <t>Vendas Dez/24</t>
  </si>
  <si>
    <t>Vendas Jan/25</t>
  </si>
  <si>
    <t>Vendas Fev/25</t>
  </si>
  <si>
    <t>Vendas Mar/25</t>
  </si>
  <si>
    <t>Vendas Abr/25</t>
  </si>
  <si>
    <t>Vendas Mai/25</t>
  </si>
  <si>
    <t>Vendas Jun/25</t>
  </si>
  <si>
    <t>Vendas Jul/25</t>
  </si>
  <si>
    <t>Vendas Aug/25</t>
  </si>
  <si>
    <t>Vendas Sep/25</t>
  </si>
  <si>
    <t>Vendas Oct/25</t>
  </si>
  <si>
    <t>Vendas Nov/25</t>
  </si>
  <si>
    <t>Vendas Dec/25</t>
  </si>
  <si>
    <t>Vendas Jan/26</t>
  </si>
  <si>
    <t>Vendas Fev/26</t>
  </si>
  <si>
    <t>Vendas Mar/26</t>
  </si>
  <si>
    <t>Vendas Abr/26</t>
  </si>
  <si>
    <t>Vendas Mai/26</t>
  </si>
  <si>
    <t>Vendas Jun/26</t>
  </si>
  <si>
    <t>Vendas Jul/26</t>
  </si>
  <si>
    <t>Vendas Aug/26</t>
  </si>
  <si>
    <t>Vendas Sep/26</t>
  </si>
  <si>
    <t>Vendas Oct/26</t>
  </si>
  <si>
    <t>Vendas Nov/26</t>
  </si>
  <si>
    <t>Vendas Dec/26</t>
  </si>
  <si>
    <t>STDEV 12 months</t>
  </si>
  <si>
    <t>Entradas Out/24</t>
  </si>
  <si>
    <t>Entradas Nov/24</t>
  </si>
  <si>
    <t>Entradas Dez/24</t>
  </si>
  <si>
    <t>Entradas Jan/25</t>
  </si>
  <si>
    <t>Entradas Fev/25</t>
  </si>
  <si>
    <t>Entradas Mar/25</t>
  </si>
  <si>
    <t>Entradas Abr/25</t>
  </si>
  <si>
    <t>Entradas Mai/25</t>
  </si>
  <si>
    <t>Entradas Jun/25</t>
  </si>
  <si>
    <t>Entradas Jul/25</t>
  </si>
  <si>
    <t>Entradas Aug/25</t>
  </si>
  <si>
    <t>Entradas Sept/25</t>
  </si>
  <si>
    <t>Entradas Oct/25</t>
  </si>
  <si>
    <t>Entradas Nov/25</t>
  </si>
  <si>
    <t>Entradas Dec/25</t>
  </si>
  <si>
    <t>Entradas Jan/26</t>
  </si>
  <si>
    <t>Entradas Fev/26</t>
  </si>
  <si>
    <t>Entradas Mar/26</t>
  </si>
  <si>
    <t>Entradas Abr/26</t>
  </si>
  <si>
    <t>Entradas Mai/26</t>
  </si>
  <si>
    <t>Entradas Jun/26</t>
  </si>
  <si>
    <t>Entradas Jul/26</t>
  </si>
  <si>
    <t>Entradas Aug/26</t>
  </si>
  <si>
    <t>Entradas Sept/26</t>
  </si>
  <si>
    <t>Entradas Oct/26</t>
  </si>
  <si>
    <t>Entradas Nov/26</t>
  </si>
  <si>
    <t>Entradas Dec/26</t>
  </si>
  <si>
    <t>Average cost current month</t>
  </si>
  <si>
    <t>Inventory Cost Nov 24</t>
  </si>
  <si>
    <t>Inventory Cost Dec 24</t>
  </si>
  <si>
    <t>Inventory Cost Jan 25</t>
  </si>
  <si>
    <t>Inventory Cost Feb 25</t>
  </si>
  <si>
    <t>Inventory Cost Mar 25</t>
  </si>
  <si>
    <t>Inventory Cost Apr 25</t>
  </si>
  <si>
    <t>Inventory Cost May 25</t>
  </si>
  <si>
    <t>Inventory Cost Jun 25</t>
  </si>
  <si>
    <t>Inventory Cost Jul 25</t>
  </si>
  <si>
    <t>Inventory Cost Aug 25</t>
  </si>
  <si>
    <t>Inventory Cost Sep 25</t>
  </si>
  <si>
    <t>Inventory Cost Oct 25</t>
  </si>
  <si>
    <t>Inventory Cost Nov 25</t>
  </si>
  <si>
    <t>Inventory Cost Dec 25</t>
  </si>
  <si>
    <t>Inventory Cost Jan 26</t>
  </si>
  <si>
    <t>Inventory Cost Feb 26</t>
  </si>
  <si>
    <t>Inventory Cost Mar 26</t>
  </si>
  <si>
    <t>Inventory Cost Apr 26</t>
  </si>
  <si>
    <t>Inventory Cost May 26</t>
  </si>
  <si>
    <t>Inventory Cost Jun 26</t>
  </si>
  <si>
    <t>Inventory Cost Jul 26</t>
  </si>
  <si>
    <t>Inventory Cost Aug 26</t>
  </si>
  <si>
    <t>Inventory Cost Sep 26</t>
  </si>
  <si>
    <t>Inventory Cost Oct 26</t>
  </si>
  <si>
    <t>Inventory Cost Nov 26</t>
  </si>
  <si>
    <t>Inventory Cost Dec 26</t>
  </si>
  <si>
    <t>COGS Set/24</t>
  </si>
  <si>
    <t>COGS Out/24</t>
  </si>
  <si>
    <t>COGS Nov/24</t>
  </si>
  <si>
    <t>COGS Dez/24</t>
  </si>
  <si>
    <t>COGS Jan/25</t>
  </si>
  <si>
    <t>COGS Fev/25</t>
  </si>
  <si>
    <t>COGS Mar/25</t>
  </si>
  <si>
    <t>COGS Abr/25</t>
  </si>
  <si>
    <t>COGS Mai/25</t>
  </si>
  <si>
    <t>COGS Jun/25</t>
  </si>
  <si>
    <t>COGS Jul/25</t>
  </si>
  <si>
    <t>COGS Aug/25</t>
  </si>
  <si>
    <t>COGS Sept/25</t>
  </si>
  <si>
    <t>COGS Oct/25</t>
  </si>
  <si>
    <t>COGS Nov/25</t>
  </si>
  <si>
    <t>COGS Dec/25</t>
  </si>
  <si>
    <t>COGS Jan/26</t>
  </si>
  <si>
    <t>COGS Fev/26</t>
  </si>
  <si>
    <t>COGS Mar/26</t>
  </si>
  <si>
    <t>COGS Abr/26</t>
  </si>
  <si>
    <t>COGS Mai/26</t>
  </si>
  <si>
    <t>COGS Jun/26</t>
  </si>
  <si>
    <t>COGS Jul/26</t>
  </si>
  <si>
    <t>COGS Aug/26</t>
  </si>
  <si>
    <t>COGS Sept/26</t>
  </si>
  <si>
    <t>COGS Oct/26</t>
  </si>
  <si>
    <t>COGS Nov/26</t>
  </si>
  <si>
    <t>COGS Dec/26</t>
  </si>
  <si>
    <t>DOH Set/24</t>
  </si>
  <si>
    <t>DOH Out/24</t>
  </si>
  <si>
    <t>DOH Nov/24</t>
  </si>
  <si>
    <t>DOH Dez/24</t>
  </si>
  <si>
    <t>DOH Jan/25</t>
  </si>
  <si>
    <t>DOH Fev/25</t>
  </si>
  <si>
    <t>DOH Mar/25</t>
  </si>
  <si>
    <t>DOH Abr/25</t>
  </si>
  <si>
    <t>DOH Mai/25</t>
  </si>
  <si>
    <t>DOH Jun/25</t>
  </si>
  <si>
    <t>DOH Jul/25</t>
  </si>
  <si>
    <t>DOH Aug/25</t>
  </si>
  <si>
    <t>DOH Sep/25</t>
  </si>
  <si>
    <t>DOH Oct/25</t>
  </si>
  <si>
    <t>DOH Nov/25</t>
  </si>
  <si>
    <t>DOH Dec/25</t>
  </si>
  <si>
    <t>DOH Jan/26</t>
  </si>
  <si>
    <t>DOH Fev/26</t>
  </si>
  <si>
    <t>DOH Mar/26</t>
  </si>
  <si>
    <t>DOH Abr/26</t>
  </si>
  <si>
    <t>DOH Mai/26</t>
  </si>
  <si>
    <t>DOH Jun/26</t>
  </si>
  <si>
    <t>DOH Jul/26</t>
  </si>
  <si>
    <t>DOH Aug/26</t>
  </si>
  <si>
    <t>DOH Sep/26</t>
  </si>
  <si>
    <t>DOH Oct/26</t>
  </si>
  <si>
    <t>DOH Nov/26</t>
  </si>
  <si>
    <t>DOH Dec/26</t>
  </si>
  <si>
    <t>Price</t>
  </si>
  <si>
    <t>ANDALAN CLASSIC CU 380</t>
  </si>
  <si>
    <t>Pregna</t>
  </si>
  <si>
    <t>ANDALAN COMFORT CU 375</t>
  </si>
  <si>
    <t>ANDALAN COMFORT MINI CU 375</t>
  </si>
  <si>
    <t>ANDALAN COPPERFLEX Y CU 380</t>
  </si>
  <si>
    <t>ANDALAN COPPERFLEX Y MINI CU 380</t>
  </si>
  <si>
    <t>HISTEROMETRO ANDALAN</t>
  </si>
  <si>
    <t>ANDALAN HYSTEROMETER</t>
  </si>
  <si>
    <t>Bonificacao</t>
  </si>
  <si>
    <t>ANDALAN SILVERFLEX CU 380 AG</t>
  </si>
  <si>
    <t>ANDALAN SILVERFLEX MINI CU 380 AG</t>
  </si>
  <si>
    <t>ASPIRADOR IPAS AMIU DVS</t>
  </si>
  <si>
    <t>DKT WCG</t>
  </si>
  <si>
    <t>ASPIRADOR IPAS MVA  AMIU PLUS</t>
  </si>
  <si>
    <t>LENCO L20P16S</t>
  </si>
  <si>
    <t>FW</t>
  </si>
  <si>
    <t>LYNDAVEL UNO</t>
  </si>
  <si>
    <t>Hemafarma</t>
  </si>
  <si>
    <t>PRUDENCE C S MIX LEVE 8 PAGUE 6</t>
  </si>
  <si>
    <t>PRUDENCE C&amp;T 8'S FLOW PACK</t>
  </si>
  <si>
    <t>Karex / NRS</t>
  </si>
  <si>
    <t>box</t>
  </si>
  <si>
    <t>PRUDENCE C S MORANGO</t>
  </si>
  <si>
    <t>PRUDENCE C&amp;T STRAWBERRY 3'S FLOW PACK - DISPLAY BOX</t>
  </si>
  <si>
    <t>PRUDENCE EFEITO RETARDANTE</t>
  </si>
  <si>
    <t>PRUDENCE EFEITO RETARDANTE 3'S FLOW PACK - DISPLAY BOX</t>
  </si>
  <si>
    <t>PRUDENCE EFEITO RETARDANTE L8P6</t>
  </si>
  <si>
    <t>PRUDENCE EFEITO RETARDANTE 8'S FLOW PACK BOXES W/192</t>
  </si>
  <si>
    <t>PRUDENCE EXTRA GDE ULTRA SENSIVEL L8P6</t>
  </si>
  <si>
    <t>PRUDENCE EXTRA GRANDE ULTRA SENSIVEL 8'S FLOW PACK BOXES W/192 (1,780 BOX)</t>
  </si>
  <si>
    <t>PRUDENCE PRESERVATIVOS LUBRIFICADOS L8P6</t>
  </si>
  <si>
    <t>Thai Nippon</t>
  </si>
  <si>
    <t>000A4092</t>
  </si>
  <si>
    <t>PRESERVATIVO NAO LUBRIFICADO</t>
  </si>
  <si>
    <t>PRUDENCE CLASSICO 12</t>
  </si>
  <si>
    <t>PRUDENCE REGULAR 12'S FLOW PACK</t>
  </si>
  <si>
    <t>PRUDENCE CLASSICO 3</t>
  </si>
  <si>
    <t>PRUDENCE REGULAR 3'S FLOW PACK (METALIZED) - DISPLAY BOX</t>
  </si>
  <si>
    <t>PRUDENCE CLASSICO 8</t>
  </si>
  <si>
    <t>PRUDENCE REGULAR 8'S FLOW PACK BOXES W/192 (2,100 BOX)</t>
  </si>
  <si>
    <t>000A1039</t>
  </si>
  <si>
    <t>PRUDENCE BLUEBERRY</t>
  </si>
  <si>
    <t>limited edition</t>
  </si>
  <si>
    <t>PRUDENCE SUPER SENSITIVE L8P6</t>
  </si>
  <si>
    <t>PRUDENCE ULTRA SENSIVEL</t>
  </si>
  <si>
    <t>PRUDENCE ULTRA SENSIVEL 3'S FLOW PACK - DISPLAY BOX</t>
  </si>
  <si>
    <t>PRUDENCE ULTRA SENSIVEL LEVE 8 PAGUE 6</t>
  </si>
  <si>
    <t>PRUDENCE ULTRA SENSIVEL 8'S FLOW PACK BOXES W/192 (2,100 BOX)</t>
  </si>
  <si>
    <t>PRUDENCE C S CHOCOLATE</t>
  </si>
  <si>
    <t>PRUDENCE C&amp;T CHOCOLATE 3'S FLOW PACK- DISPLAY BOX</t>
  </si>
  <si>
    <t>PRUDENCE C S UVA</t>
  </si>
  <si>
    <t>PRUDENCE C&amp;T GRAPE 3'S FLOW PACK - DISPLAY BOX</t>
  </si>
  <si>
    <t>PRUDENCE C S HORTELA</t>
  </si>
  <si>
    <t>PRUDENCE C&amp;T MINT 3'S FLOW PACK - DISPLAY BOX</t>
  </si>
  <si>
    <t>PRUDENCE C S TUTTI-FRUTTI</t>
  </si>
  <si>
    <t>PRUDENCE C&amp;T TUTTI FRUTTI 3'S FLOW PACK- DISPLAY BOX</t>
  </si>
  <si>
    <t>PRUDENCE C S MELANCIA</t>
  </si>
  <si>
    <t>PRUDENCE COLOR &amp; TASTE WATERMELON 3'S FLOW PACK - DISPLAY BOX</t>
  </si>
  <si>
    <t>PRUDENCE EXTRA GRANDE</t>
  </si>
  <si>
    <t>PRUDENCE EXTRA GRANDE 3'S FLOW PACK - DISPLAY BOX</t>
  </si>
  <si>
    <t>PRUDENCE PRESERVATIVOS LUBRIFICADOS 12S</t>
  </si>
  <si>
    <t>gross</t>
  </si>
  <si>
    <t>SUTRA HORTELA</t>
  </si>
  <si>
    <t>SUTRA MINT 3'S FLOW PACK</t>
  </si>
  <si>
    <t>PRUDENCE C S CHICLETE</t>
  </si>
  <si>
    <t>PRUDENCE C&amp;T CHICLETE 3´S FLOW PACK - DISPLAY BOX</t>
  </si>
  <si>
    <t>PRUDENCE C S MIX TROPICAL L8P6</t>
  </si>
  <si>
    <t>PRUDENCE C&amp;T MIX TROPICAL 8'S FLOW PACK</t>
  </si>
  <si>
    <t>PRUDENCE C S MORANGAO</t>
  </si>
  <si>
    <t>PRUDENCE C&amp;T STRAWBERRY 3'S FLOW PACK 58MM</t>
  </si>
  <si>
    <t>PRUDENCE C S MORANGO C/6</t>
  </si>
  <si>
    <t>PRUDENCE C&amp;T STRAWBERRY 6'S FLOW PACK</t>
  </si>
  <si>
    <t>PRUDENCE PRESERVATIVOS LUBRIFICADOS 3S</t>
  </si>
  <si>
    <t>PRUDENCE SUPER SENSITIVE</t>
  </si>
  <si>
    <t xml:space="preserve">PRUDENCE SUPER SENSITIVE INTENSE 3 </t>
  </si>
  <si>
    <t>PRUDENCE SUPER SENSITIVE INTENSE 6</t>
  </si>
  <si>
    <t>000A1038</t>
  </si>
  <si>
    <t>PRUDENCE C S MORANGO L8P6</t>
  </si>
  <si>
    <t>PRUDENCE C&amp;T STRAWBERRY 8'S FLOW PACK</t>
  </si>
  <si>
    <t>PRUDENCE C S MIX/FLOWPACK 12</t>
  </si>
  <si>
    <t xml:space="preserve">PRUDENCE COLOR &amp; TASTE 12'S FLOW PACK </t>
  </si>
  <si>
    <t>PRUDENCE C S CAIPIRINHA</t>
  </si>
  <si>
    <t>PRUDENCE COLOR &amp; TASTE CAIPIRINHA 3'S FLOW PACK - DISPLAY BOX</t>
  </si>
  <si>
    <t>PRUCENCE EXTRA GDE ULTRA SENSIVEL C/3</t>
  </si>
  <si>
    <t>PRUDENCE EXTRA GRANDE ULTRA SENSIVEL 3'S FLOW PACK</t>
  </si>
  <si>
    <t>PRUDENCE NEON</t>
  </si>
  <si>
    <t>PRUDENCE NEON 3'S FLOW PACK</t>
  </si>
  <si>
    <t>PRUDENCE SENSACOES SENSITIVE RETARDANTE 3</t>
  </si>
  <si>
    <t>PRUDENCE SENSITIVE RETARDANTE 3’s FLOW PACK - DISPLAY BOX</t>
  </si>
  <si>
    <t>PRUDENCE SOFTCUP</t>
  </si>
  <si>
    <t>The Flex</t>
  </si>
  <si>
    <t>TBC</t>
  </si>
  <si>
    <t>PRUDENCE ULTRA RESISTENTE</t>
  </si>
  <si>
    <t>PRUDENCE ULTRA RESISTENTE 3'S FLOW PACK</t>
  </si>
  <si>
    <t>SUTRA</t>
  </si>
  <si>
    <t>SUTRA CLASSIC 3'S FLOW PACK</t>
  </si>
  <si>
    <t>SUTRA SENSITIVE</t>
  </si>
  <si>
    <t>SUTRA SENSITIVE 3'S FLOW PACK</t>
  </si>
  <si>
    <t>PRUDENCE EXTRA TEXTURIZADO C/6</t>
  </si>
  <si>
    <t>SUTRA MORANGO</t>
  </si>
  <si>
    <t>SUTRA STRAWBERRY 3'S FLOW PACK</t>
  </si>
  <si>
    <t>PRUDENCE SENSACOES TEXTURIZADO RETARDANTE C/6</t>
  </si>
  <si>
    <t>GEL PRUDENCE CHICLETE 100 G</t>
  </si>
  <si>
    <t>PRUDENCE GEL CHICLETE 100 G</t>
  </si>
  <si>
    <t>PRUDENCE SUPER SENSITIVE L12P10</t>
  </si>
  <si>
    <t>SAYA CONTROL</t>
  </si>
  <si>
    <t>Senador / Mylan</t>
  </si>
  <si>
    <t>SR10 CANULA IPAS ENGATE RAPIDO</t>
  </si>
  <si>
    <t>SR12 CANULA IPAS ENGATE RAPIDO</t>
  </si>
  <si>
    <t>SR4 CANULA IPAS ENGATE RAPIDO</t>
  </si>
  <si>
    <t>SR5 CANULA IPAS ENGATE RAPIDO</t>
  </si>
  <si>
    <t>SR6 CANULA IPAS ENGATE RAPIDO</t>
  </si>
  <si>
    <t>SR7 CANULA IPAS ENGATE RAPIDO</t>
  </si>
  <si>
    <t>SR8 CANULA IPAS ENGATE RAPIDO</t>
  </si>
  <si>
    <t>SR9 CANULA IPAS ENGATE RAPIDO</t>
  </si>
  <si>
    <t>GEL PRUDENCE HORTELA 100G.</t>
  </si>
  <si>
    <t>PRUDENCE GEL HORTELA 100G.</t>
  </si>
  <si>
    <t>PRUDENCE GEL MORANGO 100G</t>
  </si>
  <si>
    <t>GEL PRUD MORANGO FIRE 60G</t>
  </si>
  <si>
    <t>PRUDENCE GEL MORANGO FIRE 60G</t>
  </si>
  <si>
    <t>PRUDENCE GEL NEUTRO 100G</t>
  </si>
  <si>
    <t>Aug</t>
  </si>
  <si>
    <t xml:space="preserve"> </t>
  </si>
  <si>
    <t>Estoque Inicial Mes atual/Ano atual</t>
  </si>
  <si>
    <t>Valor do estoque atual no Protheus Brasil</t>
  </si>
  <si>
    <t>Estoque Inicial Mes projetado/Ano atual</t>
  </si>
  <si>
    <t>Projecao de estoque</t>
  </si>
  <si>
    <t>(Estoque inicial mes atual + Entradas mes projetado - Vendas mes projetado) &gt;= 0</t>
  </si>
  <si>
    <t xml:space="preserve">Estoque de seguranca </t>
  </si>
  <si>
    <t>Componentes da Fórmula</t>
  </si>
  <si>
    <t>Isso efetivamente arredonda o estoque de segurança para o número mais próximo de cem.</t>
  </si>
  <si>
    <t>4. FLOOR(..., 1):</t>
  </si>
  <si>
    <t>O segundo argumento 1 especifica que queremos arredondar para baixo até o número inteiro mais próximo.</t>
  </si>
  <si>
    <t>5. ROUND(.../100, 0):</t>
  </si>
  <si>
    <t>Esta parte divide o resultado da função FLOOR por 100, arredonda para o número inteiro mais próximo e, em seguida, multiplica de volta por 100.</t>
  </si>
  <si>
    <t>1. NORMINV(P, 0, 1):</t>
  </si>
  <si>
    <t>2. SQRT(I/30):</t>
  </si>
  <si>
    <t>3. CE:</t>
  </si>
  <si>
    <t>Esta função retorna o Z-score (desvio padrão normal) correspondente a um Nível de Serviço especificado (geralmente expresso como uma probabilidade, por exemplo, 0,95 para um nível de serviço de 95%).</t>
  </si>
  <si>
    <t>Os parâmetros 0 e 1 indicam que estamos usando uma distribuição normal padrão (média = 0, desvio padrão = 1).</t>
  </si>
  <si>
    <t>Esta parte calcula a raiz quadrada do lead time dividido por 30.</t>
  </si>
  <si>
    <t>Ela efetivamente converte o lead time em dias para uma escala que corresponde a um mês (assumindo que um mês tem aproximadamente 30 dias). Esse ajuste ajuda a estimar a variabilidade durante o período de lead time.</t>
  </si>
  <si>
    <t>Este valor representa o desvio padrão da demanda, que quantifica a variabilidade ou dispersão da demanda ao longo de um ano. Um desvio padrão mais alto indica mais variabilidade na demanda.</t>
  </si>
  <si>
    <t>A função FLOOR arredonda o resultado do cálculo para baixo até o número inteiro mais próximo</t>
  </si>
  <si>
    <t>ROUND(( FLOOR(NORMINV(Service Level,0,1)*SQRT(Lead time/30)*Demand standard deviation,1))/100,0)*100</t>
  </si>
  <si>
    <t>2. ROUND(AVERAGE(1 year demand)/10, 0) * 10:</t>
  </si>
  <si>
    <t>Esta parte divide a demanda anual média por 10 e arredonda para o número inteiro mais próximo</t>
  </si>
  <si>
    <t>Após o arredondamento, esta parte multiplica o valor arredondado de volta por 10 para retornar à escala original da demanda</t>
  </si>
  <si>
    <t xml:space="preserve">SKU curva A </t>
  </si>
  <si>
    <t>nivel de servico 98%</t>
  </si>
  <si>
    <t>SKU curva B</t>
  </si>
  <si>
    <t>nivel de servico 90%</t>
  </si>
  <si>
    <t>nivel de servico 95%</t>
  </si>
  <si>
    <t>IF((ROUND(AVERAGE(1 year demand)*target coverage/10,0)*10)&lt;Safety stock,Safety stock,ROUND(AVERAGE(1 year demand)*3/10,0)*10)</t>
  </si>
  <si>
    <t>1. AVERAGE(1 year demand)*target coverage:</t>
  </si>
  <si>
    <t>SKU curva C</t>
  </si>
  <si>
    <t>Cobertura 3 meses</t>
  </si>
  <si>
    <t>Cobertura 2 meses</t>
  </si>
  <si>
    <t>Cobertura 1 mes</t>
  </si>
  <si>
    <t>3. IF(condition, value_if_true, value_if_false):</t>
  </si>
  <si>
    <t>A fórmula verifica se o ROP é menor que o estoque de segurança. Se ele e menor, retorna o valor do Estoque de Seguranca. Se nao, ele retorna o ROP calculado.</t>
  </si>
  <si>
    <t>Esta função calcula a demanda média ao longo dos proximos 12 meses incluindo o mes atual. Esa demanda media e multiplicada por o numero de meses de cobertura que a gente quer manter</t>
  </si>
  <si>
    <t>Type</t>
  </si>
  <si>
    <t>Demand</t>
  </si>
  <si>
    <t>Sum of QTY/grosa</t>
  </si>
  <si>
    <t>Month</t>
  </si>
  <si>
    <t>Codigo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</si>
  <si>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</si>
  <si>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</si>
  <si>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</si>
  <si>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</si>
  <si>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</si>
  <si>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</si>
  <si>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</si>
  <si>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</si>
  <si>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</si>
  <si>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</si>
  <si>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</si>
  <si>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Supplier</t>
  </si>
  <si>
    <t>Average monthly demand</t>
  </si>
  <si>
    <t>Stock</t>
  </si>
  <si>
    <t>Entries</t>
  </si>
  <si>
    <t>Inventory</t>
  </si>
  <si>
    <t>Months coverage</t>
  </si>
  <si>
    <t>Leadtime days</t>
  </si>
  <si>
    <t>Lead time</t>
  </si>
  <si>
    <t xml:space="preserve">Target months </t>
  </si>
  <si>
    <t>Target stock</t>
  </si>
  <si>
    <t>Purchase qty</t>
  </si>
  <si>
    <t xml:space="preserve">Status </t>
  </si>
  <si>
    <t>Minimul purchase quantity</t>
  </si>
  <si>
    <t>Lots to order</t>
  </si>
  <si>
    <t xml:space="preserve">Planned  qty </t>
  </si>
  <si>
    <t xml:space="preserve">Lots planned </t>
  </si>
  <si>
    <t>Lots to add</t>
  </si>
  <si>
    <t>-</t>
  </si>
  <si>
    <t>Grand Total</t>
  </si>
  <si>
    <t>STOCKOUT RISK</t>
  </si>
  <si>
    <t>UNDERSTOCKED</t>
  </si>
  <si>
    <t>NORMAL</t>
  </si>
  <si>
    <t>OVERSTOCKED</t>
  </si>
  <si>
    <t>Quebra tabela</t>
  </si>
  <si>
    <t>As entradas - todos POs confirmados</t>
  </si>
  <si>
    <r>
      <t xml:space="preserve">Stock </t>
    </r>
    <r>
      <rPr>
        <sz val="14"/>
        <color theme="1"/>
        <rFont val="Aptos Narrow"/>
        <family val="2"/>
        <scheme val="minor"/>
      </rPr>
      <t>+</t>
    </r>
    <r>
      <rPr>
        <b/>
        <sz val="14"/>
        <color theme="1"/>
        <rFont val="Aptos Narrow"/>
        <family val="2"/>
        <scheme val="minor"/>
      </rPr>
      <t xml:space="preserve"> Entries </t>
    </r>
  </si>
  <si>
    <r>
      <t>Inventory</t>
    </r>
    <r>
      <rPr>
        <sz val="14"/>
        <color theme="1"/>
        <rFont val="Aptos Narrow"/>
        <family val="2"/>
        <scheme val="minor"/>
      </rPr>
      <t xml:space="preserve"> / </t>
    </r>
    <r>
      <rPr>
        <b/>
        <sz val="14"/>
        <color theme="1"/>
        <rFont val="Aptos Narrow"/>
        <family val="2"/>
        <scheme val="minor"/>
      </rPr>
      <t>Average monthly demand</t>
    </r>
  </si>
  <si>
    <t>O lead time total por fornecedor = Lead time producao + Lead time transito + Lead time teste</t>
  </si>
  <si>
    <t xml:space="preserve">Os meses de cobertura que a gente quer manter de acordo com cada categoria de produto </t>
  </si>
  <si>
    <t>SKU curva A  - Cobertura 3 meses</t>
  </si>
  <si>
    <t>SKU curva B -  Cobertura 2 meses</t>
  </si>
  <si>
    <t>SKU curva C - Cobertura 1 mes</t>
  </si>
  <si>
    <t>Total target coverage</t>
  </si>
  <si>
    <r>
      <rPr>
        <b/>
        <sz val="14"/>
        <color theme="1"/>
        <rFont val="Aptos Narrow"/>
        <family val="2"/>
        <scheme val="minor"/>
      </rPr>
      <t>Lead time</t>
    </r>
    <r>
      <rPr>
        <sz val="14"/>
        <color theme="1"/>
        <rFont val="Aptos Narrow"/>
        <family val="2"/>
        <scheme val="minor"/>
      </rPr>
      <t xml:space="preserve"> + </t>
    </r>
    <r>
      <rPr>
        <b/>
        <sz val="14"/>
        <color theme="1"/>
        <rFont val="Aptos Narrow"/>
        <family val="2"/>
        <scheme val="minor"/>
      </rPr>
      <t xml:space="preserve">Target months </t>
    </r>
  </si>
  <si>
    <r>
      <rPr>
        <b/>
        <sz val="14"/>
        <color theme="1"/>
        <rFont val="Aptos Narrow"/>
        <family val="2"/>
        <scheme val="minor"/>
      </rPr>
      <t>Average monthly Demand</t>
    </r>
    <r>
      <rPr>
        <sz val="14"/>
        <color theme="1"/>
        <rFont val="Aptos Narrow"/>
        <family val="2"/>
        <scheme val="minor"/>
      </rPr>
      <t xml:space="preserve"> * </t>
    </r>
    <r>
      <rPr>
        <b/>
        <sz val="14"/>
        <color theme="1"/>
        <rFont val="Aptos Narrow"/>
        <family val="2"/>
        <scheme val="minor"/>
      </rPr>
      <t>Total target coverage</t>
    </r>
  </si>
  <si>
    <r>
      <rPr>
        <b/>
        <sz val="14"/>
        <color theme="1"/>
        <rFont val="Aptos Narrow"/>
        <family val="2"/>
        <scheme val="minor"/>
      </rPr>
      <t>Target stock</t>
    </r>
    <r>
      <rPr>
        <sz val="14"/>
        <color theme="1"/>
        <rFont val="Aptos Narrow"/>
        <family val="2"/>
        <scheme val="minor"/>
      </rPr>
      <t xml:space="preserve"> - </t>
    </r>
    <r>
      <rPr>
        <b/>
        <sz val="14"/>
        <color theme="1"/>
        <rFont val="Aptos Narrow"/>
        <family val="2"/>
        <scheme val="minor"/>
      </rPr>
      <t>Inventory</t>
    </r>
  </si>
  <si>
    <t>calculados para levar cada SKU ao seu nível de estoque alvo</t>
  </si>
  <si>
    <r>
      <rPr>
        <b/>
        <sz val="14"/>
        <color theme="1"/>
        <rFont val="Aptos Narrow"/>
        <family val="2"/>
        <scheme val="minor"/>
      </rPr>
      <t>Subestoque</t>
    </r>
    <r>
      <rPr>
        <sz val="14"/>
        <color theme="1"/>
        <rFont val="Aptos Narrow"/>
        <family val="2"/>
        <scheme val="minor"/>
      </rPr>
      <t>:           Months coverege  &lt;  Total target coverage</t>
    </r>
  </si>
  <si>
    <r>
      <rPr>
        <b/>
        <sz val="14"/>
        <color theme="1"/>
        <rFont val="Aptos Narrow"/>
        <family val="2"/>
        <scheme val="minor"/>
      </rPr>
      <t>Sobrestoque</t>
    </r>
    <r>
      <rPr>
        <sz val="14"/>
        <color theme="1"/>
        <rFont val="Aptos Narrow"/>
        <family val="2"/>
        <scheme val="minor"/>
      </rPr>
      <t>:         Months coverage &gt;&gt; Total target coverage * 1.5 meses</t>
    </r>
  </si>
  <si>
    <r>
      <rPr>
        <b/>
        <sz val="14"/>
        <color theme="1"/>
        <rFont val="Aptos Narrow"/>
        <family val="2"/>
        <scheme val="minor"/>
      </rPr>
      <t xml:space="preserve">Risco </t>
    </r>
    <r>
      <rPr>
        <sz val="14"/>
        <color theme="1"/>
        <rFont val="Aptos Narrow"/>
        <family val="2"/>
        <scheme val="minor"/>
      </rPr>
      <t>:                             Months coverage &lt; 1 mês (ou estoque é 0)</t>
    </r>
  </si>
  <si>
    <r>
      <rPr>
        <b/>
        <sz val="14"/>
        <color theme="1"/>
        <rFont val="Aptos Narrow"/>
        <family val="2"/>
        <scheme val="minor"/>
      </rPr>
      <t>Normal:</t>
    </r>
    <r>
      <rPr>
        <sz val="14"/>
        <color theme="1"/>
        <rFont val="Aptos Narrow"/>
        <family val="2"/>
        <scheme val="minor"/>
      </rPr>
      <t xml:space="preserve">                         Target coverage &lt;= Months coverage &lt;= Total target coverage * 1.5 meses</t>
    </r>
  </si>
  <si>
    <r>
      <rPr>
        <b/>
        <sz val="14"/>
        <color theme="1"/>
        <rFont val="Aptos Narrow"/>
        <family val="2"/>
        <scheme val="minor"/>
      </rPr>
      <t>Purchase quantity</t>
    </r>
    <r>
      <rPr>
        <sz val="14"/>
        <color theme="1"/>
        <rFont val="Aptos Narrow"/>
        <family val="2"/>
        <scheme val="minor"/>
      </rPr>
      <t xml:space="preserve"> / </t>
    </r>
    <r>
      <rPr>
        <b/>
        <sz val="14"/>
        <color theme="1"/>
        <rFont val="Aptos Narrow"/>
        <family val="2"/>
        <scheme val="minor"/>
      </rPr>
      <t>Minimum order qty</t>
    </r>
  </si>
  <si>
    <t>Total planned qty ( PO's totais ne-lancados) / Minimum order qty</t>
  </si>
  <si>
    <r>
      <rPr>
        <b/>
        <sz val="14"/>
        <color theme="1"/>
        <rFont val="Aptos Narrow"/>
        <family val="2"/>
        <scheme val="minor"/>
      </rPr>
      <t>Lots to order</t>
    </r>
    <r>
      <rPr>
        <sz val="14"/>
        <color theme="1"/>
        <rFont val="Aptos Narrow"/>
        <family val="2"/>
        <scheme val="minor"/>
      </rPr>
      <t xml:space="preserve"> - </t>
    </r>
    <r>
      <rPr>
        <b/>
        <sz val="14"/>
        <color theme="1"/>
        <rFont val="Aptos Narrow"/>
        <family val="2"/>
        <scheme val="minor"/>
      </rPr>
      <t>Lots planned</t>
    </r>
  </si>
  <si>
    <t xml:space="preserve">Objetivo </t>
  </si>
  <si>
    <t>Manter os niveis de servico sem gerar excesso de estoque</t>
  </si>
  <si>
    <t xml:space="preserve">Tomar decisoes de compra baseada em dados </t>
  </si>
  <si>
    <t xml:space="preserve">Detectar os riscos de suprimento com atecedencia </t>
  </si>
  <si>
    <t>identificar sitoacoes de estoque baixo, risco de ruptura ou exceso de estoque com base nos meses de cobertura</t>
  </si>
  <si>
    <t>analisar as quantitdades recomendadas de compra para atingir o estoque alvo</t>
  </si>
  <si>
    <t xml:space="preserve"> prioritisar decicoes  de compra e gerenciar melhor o capital de giro</t>
  </si>
  <si>
    <t>coordinar compras com base em lead times e tendencias da demanda</t>
  </si>
  <si>
    <t>cada mes atualizado</t>
  </si>
  <si>
    <r>
      <t xml:space="preserve">O estoque do inicio do mes atual </t>
    </r>
    <r>
      <rPr>
        <b/>
        <sz val="14"/>
        <color theme="1"/>
        <rFont val="Aptos Narrow"/>
        <family val="2"/>
        <scheme val="minor"/>
      </rPr>
      <t>- cada mes atualizado</t>
    </r>
  </si>
  <si>
    <r>
      <t xml:space="preserve">Demanda media nos proximos 12 meses incluindo o mes atual- </t>
    </r>
    <r>
      <rPr>
        <b/>
        <sz val="14"/>
        <color theme="1"/>
        <rFont val="Aptos Narrow"/>
        <family val="2"/>
        <scheme val="minor"/>
      </rPr>
      <t>cada mes atualizado</t>
    </r>
  </si>
  <si>
    <t>DOH mensal</t>
  </si>
  <si>
    <t>Inventory cost</t>
  </si>
  <si>
    <t>COGS</t>
  </si>
  <si>
    <t>(Inventoy cost mensal / COGS mensal)*30</t>
  </si>
  <si>
    <t>Objetivo</t>
  </si>
  <si>
    <t>Ideal</t>
  </si>
  <si>
    <t>Cobertura 90 dias armazem + 30 dias porto seco</t>
  </si>
  <si>
    <t>Cobertura 60 dias armazem + 30 dias porto seco</t>
  </si>
  <si>
    <t>Cobertura 30 dias armazem + 30 dias porto seco</t>
  </si>
  <si>
    <t>Estoque projetado mensal / produto * Custo medio /produto</t>
  </si>
  <si>
    <t>Venda mensal/produto * Custo medio/produto</t>
  </si>
  <si>
    <t>120 dias</t>
  </si>
  <si>
    <t>90 dias</t>
  </si>
  <si>
    <t>60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</si>
</sst>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-[$R$-416]\ * #,##0.00_-;\-[$R$-416]\ * #,##0.00_-;_-[$R$-416]\ * &quot;-&quot;??_-;_-@_-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73" formatCode="_-[$R$-416]\ * #,##0_-;\-[$R$-416]\ * #,##0_-;_-[$R$-416]\ * &quot;-&quot;??_-;_-@_-"/>
    <numFmt numFmtId="174" formatCode="#,##0_ ;[Red]\-#,##0\ "/>
    <numFmt numFmtId="175" formatCode="_-* #,##0.00\ _X_D_R_-;\-* #,##0.00\ _X_D_R_-;_-* &quot;-&quot;??\ _X_D_R_-;_-@_-"/>
    <numFmt numFmtId="176" formatCode="_-* #,##0\ _X_D_R_-;\-* #,##0\ _X_D_R_-;_-* &quot;-&quot;??\ _X_D_R_-;_-@_-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rgb="FF262626"/>
      <name val="Tahoma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3F3F76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3F3F76"/>
      <name val="Aptos Narrow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rgb="FF3F3F76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FF0000"/>
      <name val="Aptos Narrow"/>
      <family val="2"/>
      <scheme val="minor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thin">
        <color indexed="64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/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0" applyNumberFormat="0" applyBorder="0" applyAlignment="0" applyProtection="0"/>
  </cellStyleXfs>
  <cellXfs count="199">
    <xf numFmtId="0" fontId="0" fillId="0" borderId="0" xfId="0"/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6" xfId="3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165" fontId="0" fillId="0" borderId="6" xfId="2" applyNumberFormat="1" applyFont="1" applyBorder="1" applyAlignment="1">
      <alignment horizontal="left" indent="1"/>
    </xf>
    <xf numFmtId="1" fontId="0" fillId="0" borderId="6" xfId="0" applyNumberFormat="1" applyBorder="1"/>
    <xf numFmtId="10" fontId="0" fillId="0" borderId="6" xfId="3" applyNumberFormat="1" applyFont="1" applyBorder="1"/>
    <xf numFmtId="9" fontId="0" fillId="0" borderId="6" xfId="3" applyFont="1" applyBorder="1"/>
    <xf numFmtId="9" fontId="0" fillId="0" borderId="6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/>
    <xf numFmtId="167" fontId="0" fillId="0" borderId="6" xfId="1" applyNumberFormat="1" applyFont="1" applyBorder="1"/>
    <xf numFmtId="165" fontId="0" fillId="0" borderId="6" xfId="2" applyNumberFormat="1" applyFont="1" applyBorder="1"/>
    <xf numFmtId="0" fontId="8" fillId="0" borderId="6" xfId="0" applyFont="1" applyBorder="1" applyAlignment="1">
      <alignment horizontal="center"/>
    </xf>
    <xf numFmtId="9" fontId="0" fillId="0" borderId="6" xfId="0" applyNumberFormat="1" applyBorder="1"/>
    <xf numFmtId="49" fontId="7" fillId="0" borderId="6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168" fontId="10" fillId="0" borderId="8" xfId="0" applyNumberFormat="1" applyFont="1" applyBorder="1"/>
    <xf numFmtId="0" fontId="9" fillId="0" borderId="9" xfId="0" applyFont="1" applyBorder="1" applyAlignment="1">
      <alignment horizontal="center" vertical="center"/>
    </xf>
    <xf numFmtId="168" fontId="10" fillId="0" borderId="10" xfId="0" applyNumberFormat="1" applyFont="1" applyBorder="1"/>
    <xf numFmtId="0" fontId="0" fillId="0" borderId="0" xfId="0" applyAlignment="1">
      <alignment horizontal="left" vertical="center"/>
    </xf>
    <xf numFmtId="0" fontId="4" fillId="0" borderId="0" xfId="0" applyFont="1"/>
    <xf numFmtId="0" fontId="9" fillId="0" borderId="0" xfId="0" applyFont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5" borderId="0" xfId="0" applyFill="1"/>
    <xf numFmtId="0" fontId="0" fillId="0" borderId="0" xfId="0" applyAlignment="1"/>
    <xf numFmtId="0" fontId="0" fillId="0" borderId="0" xfId="0" applyBorder="1" applyAlignment="1">
      <alignment horizontal="left" vertical="center" wrapText="1"/>
    </xf>
    <xf numFmtId="0" fontId="4" fillId="5" borderId="0" xfId="0" applyFont="1" applyFill="1" applyBorder="1"/>
    <xf numFmtId="0" fontId="0" fillId="0" borderId="0" xfId="0" applyBorder="1" applyAlignment="1">
      <alignment horizontal="center"/>
    </xf>
    <xf numFmtId="0" fontId="4" fillId="5" borderId="0" xfId="0" applyFont="1" applyFill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/>
    <xf numFmtId="0" fontId="4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/>
    <xf numFmtId="0" fontId="0" fillId="0" borderId="0" xfId="0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4" fillId="6" borderId="0" xfId="0" applyFont="1" applyFill="1" applyBorder="1"/>
    <xf numFmtId="0" fontId="0" fillId="6" borderId="0" xfId="0" applyFill="1" applyBorder="1"/>
    <xf numFmtId="0" fontId="4" fillId="5" borderId="0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4" fillId="6" borderId="0" xfId="0" applyFont="1" applyFill="1" applyBorder="1" applyAlignment="1">
      <alignment vertical="center" wrapText="1"/>
    </xf>
    <xf numFmtId="0" fontId="4" fillId="6" borderId="0" xfId="0" applyFont="1" applyFill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3" fontId="13" fillId="7" borderId="0" xfId="0" applyNumberFormat="1" applyFont="1" applyFill="1" applyAlignment="1">
      <alignment horizontal="center"/>
    </xf>
    <xf numFmtId="3" fontId="8" fillId="8" borderId="15" xfId="0" applyNumberFormat="1" applyFont="1" applyFill="1" applyBorder="1" applyAlignment="1">
      <alignment horizontal="center"/>
    </xf>
    <xf numFmtId="167" fontId="4" fillId="0" borderId="3" xfId="6" applyNumberFormat="1" applyAlignment="1">
      <alignment horizontal="left" indent="1"/>
    </xf>
    <xf numFmtId="0" fontId="7" fillId="0" borderId="0" xfId="0" applyFont="1" applyAlignment="1">
      <alignment horizontal="center"/>
    </xf>
    <xf numFmtId="167" fontId="4" fillId="0" borderId="3" xfId="6" applyNumberFormat="1" applyAlignment="1"/>
    <xf numFmtId="173" fontId="4" fillId="0" borderId="3" xfId="6" applyNumberFormat="1" applyAlignment="1">
      <alignment horizontal="left" indent="1"/>
    </xf>
    <xf numFmtId="167" fontId="4" fillId="0" borderId="3" xfId="6" applyNumberFormat="1"/>
    <xf numFmtId="173" fontId="0" fillId="0" borderId="0" xfId="0" applyNumberFormat="1"/>
    <xf numFmtId="173" fontId="5" fillId="4" borderId="2" xfId="7" applyNumberFormat="1" applyBorder="1"/>
    <xf numFmtId="0" fontId="14" fillId="9" borderId="6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10" borderId="1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5" fillId="2" borderId="17" xfId="4" applyFont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7" fillId="2" borderId="1" xfId="4" applyFont="1" applyAlignment="1">
      <alignment horizontal="center" vertical="center" wrapText="1"/>
    </xf>
    <xf numFmtId="17" fontId="16" fillId="11" borderId="6" xfId="0" applyNumberFormat="1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6" xfId="0" applyFont="1" applyBorder="1" applyAlignment="1">
      <alignment horizontal="left"/>
    </xf>
    <xf numFmtId="174" fontId="8" fillId="0" borderId="6" xfId="0" applyNumberFormat="1" applyFont="1" applyBorder="1"/>
    <xf numFmtId="14" fontId="8" fillId="0" borderId="6" xfId="0" applyNumberFormat="1" applyFont="1" applyBorder="1"/>
    <xf numFmtId="1" fontId="8" fillId="0" borderId="6" xfId="0" applyNumberFormat="1" applyFont="1" applyBorder="1"/>
    <xf numFmtId="9" fontId="18" fillId="0" borderId="6" xfId="0" applyNumberFormat="1" applyFont="1" applyBorder="1"/>
    <xf numFmtId="9" fontId="18" fillId="0" borderId="6" xfId="0" applyNumberFormat="1" applyFont="1" applyBorder="1" applyAlignment="1">
      <alignment horizontal="center" vertical="center"/>
    </xf>
    <xf numFmtId="1" fontId="18" fillId="0" borderId="6" xfId="0" applyNumberFormat="1" applyFont="1" applyBorder="1"/>
    <xf numFmtId="164" fontId="18" fillId="0" borderId="11" xfId="0" applyNumberFormat="1" applyFont="1" applyBorder="1" applyAlignment="1">
      <alignment horizontal="left"/>
    </xf>
    <xf numFmtId="167" fontId="19" fillId="8" borderId="18" xfId="1" applyNumberFormat="1" applyFont="1" applyFill="1" applyBorder="1"/>
    <xf numFmtId="167" fontId="18" fillId="0" borderId="13" xfId="1" applyNumberFormat="1" applyFont="1" applyBorder="1"/>
    <xf numFmtId="164" fontId="18" fillId="0" borderId="6" xfId="2" applyFont="1" applyBorder="1"/>
    <xf numFmtId="174" fontId="3" fillId="3" borderId="2" xfId="5" applyNumberFormat="1"/>
    <xf numFmtId="3" fontId="8" fillId="0" borderId="6" xfId="0" applyNumberFormat="1" applyFont="1" applyBorder="1"/>
    <xf numFmtId="3" fontId="20" fillId="0" borderId="0" xfId="0" applyNumberFormat="1" applyFont="1" applyAlignment="1">
      <alignment horizontal="center"/>
    </xf>
    <xf numFmtId="3" fontId="8" fillId="12" borderId="6" xfId="0" applyNumberFormat="1" applyFont="1" applyFill="1" applyBorder="1"/>
    <xf numFmtId="3" fontId="8" fillId="13" borderId="6" xfId="0" applyNumberFormat="1" applyFont="1" applyFill="1" applyBorder="1"/>
    <xf numFmtId="3" fontId="8" fillId="0" borderId="11" xfId="0" applyNumberFormat="1" applyFont="1" applyBorder="1"/>
    <xf numFmtId="165" fontId="21" fillId="2" borderId="1" xfId="4" applyNumberFormat="1" applyFont="1" applyAlignment="1"/>
    <xf numFmtId="173" fontId="0" fillId="0" borderId="6" xfId="2" applyNumberFormat="1" applyFont="1" applyBorder="1" applyAlignment="1">
      <alignment horizontal="left" indent="1"/>
    </xf>
    <xf numFmtId="164" fontId="0" fillId="0" borderId="6" xfId="0" applyNumberFormat="1" applyBorder="1"/>
    <xf numFmtId="3" fontId="0" fillId="0" borderId="0" xfId="0" applyNumberFormat="1"/>
    <xf numFmtId="3" fontId="7" fillId="0" borderId="6" xfId="0" applyNumberFormat="1" applyFont="1" applyBorder="1"/>
    <xf numFmtId="173" fontId="0" fillId="0" borderId="6" xfId="0" applyNumberFormat="1" applyBorder="1"/>
    <xf numFmtId="165" fontId="0" fillId="0" borderId="0" xfId="0" applyNumberFormat="1"/>
    <xf numFmtId="0" fontId="8" fillId="0" borderId="6" xfId="0" applyFont="1" applyBorder="1" applyAlignment="1">
      <alignment horizontal="center" vertical="center"/>
    </xf>
    <xf numFmtId="3" fontId="13" fillId="0" borderId="6" xfId="0" applyNumberFormat="1" applyFont="1" applyBorder="1"/>
    <xf numFmtId="3" fontId="13" fillId="0" borderId="11" xfId="0" applyNumberFormat="1" applyFont="1" applyBorder="1"/>
    <xf numFmtId="1" fontId="18" fillId="0" borderId="6" xfId="0" applyNumberFormat="1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/>
    </xf>
    <xf numFmtId="0" fontId="8" fillId="6" borderId="6" xfId="0" applyFont="1" applyFill="1" applyBorder="1"/>
    <xf numFmtId="3" fontId="8" fillId="6" borderId="6" xfId="0" applyNumberFormat="1" applyFont="1" applyFill="1" applyBorder="1"/>
    <xf numFmtId="3" fontId="13" fillId="6" borderId="6" xfId="0" applyNumberFormat="1" applyFont="1" applyFill="1" applyBorder="1"/>
    <xf numFmtId="0" fontId="8" fillId="14" borderId="6" xfId="0" quotePrefix="1" applyFont="1" applyFill="1" applyBorder="1" applyAlignment="1">
      <alignment horizontal="center"/>
    </xf>
    <xf numFmtId="0" fontId="8" fillId="14" borderId="6" xfId="0" applyFont="1" applyFill="1" applyBorder="1"/>
    <xf numFmtId="0" fontId="8" fillId="14" borderId="6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left"/>
    </xf>
    <xf numFmtId="174" fontId="8" fillId="14" borderId="6" xfId="0" applyNumberFormat="1" applyFont="1" applyFill="1" applyBorder="1"/>
    <xf numFmtId="167" fontId="19" fillId="14" borderId="18" xfId="1" applyNumberFormat="1" applyFont="1" applyFill="1" applyBorder="1"/>
    <xf numFmtId="1" fontId="18" fillId="14" borderId="6" xfId="0" applyNumberFormat="1" applyFont="1" applyFill="1" applyBorder="1"/>
    <xf numFmtId="164" fontId="18" fillId="14" borderId="6" xfId="2" applyFont="1" applyFill="1" applyBorder="1"/>
    <xf numFmtId="174" fontId="3" fillId="14" borderId="2" xfId="5" applyNumberFormat="1" applyFill="1"/>
    <xf numFmtId="3" fontId="8" fillId="14" borderId="6" xfId="0" applyNumberFormat="1" applyFont="1" applyFill="1" applyBorder="1"/>
    <xf numFmtId="3" fontId="20" fillId="14" borderId="0" xfId="0" applyNumberFormat="1" applyFont="1" applyFill="1" applyAlignment="1">
      <alignment horizontal="center"/>
    </xf>
    <xf numFmtId="3" fontId="13" fillId="14" borderId="6" xfId="0" applyNumberFormat="1" applyFont="1" applyFill="1" applyBorder="1"/>
    <xf numFmtId="3" fontId="8" fillId="13" borderId="19" xfId="0" applyNumberFormat="1" applyFont="1" applyFill="1" applyBorder="1"/>
    <xf numFmtId="49" fontId="8" fillId="6" borderId="6" xfId="0" applyNumberFormat="1" applyFont="1" applyFill="1" applyBorder="1" applyAlignment="1">
      <alignment horizontal="center"/>
    </xf>
    <xf numFmtId="164" fontId="18" fillId="0" borderId="6" xfId="0" applyNumberFormat="1" applyFont="1" applyBorder="1" applyAlignment="1">
      <alignment horizontal="left"/>
    </xf>
    <xf numFmtId="175" fontId="0" fillId="0" borderId="0" xfId="0" applyNumberFormat="1"/>
    <xf numFmtId="167" fontId="19" fillId="8" borderId="16" xfId="1" applyNumberFormat="1" applyFont="1" applyFill="1" applyBorder="1"/>
    <xf numFmtId="0" fontId="8" fillId="15" borderId="6" xfId="0" applyFont="1" applyFill="1" applyBorder="1" applyAlignment="1">
      <alignment horizontal="center"/>
    </xf>
    <xf numFmtId="0" fontId="8" fillId="15" borderId="6" xfId="0" applyFont="1" applyFill="1" applyBorder="1"/>
    <xf numFmtId="0" fontId="8" fillId="15" borderId="6" xfId="0" applyFont="1" applyFill="1" applyBorder="1" applyAlignment="1">
      <alignment horizontal="left"/>
    </xf>
    <xf numFmtId="164" fontId="18" fillId="15" borderId="6" xfId="2" applyFont="1" applyFill="1" applyBorder="1"/>
    <xf numFmtId="3" fontId="8" fillId="0" borderId="6" xfId="0" applyNumberFormat="1" applyFont="1" applyBorder="1" applyAlignment="1">
      <alignment horizontal="left"/>
    </xf>
    <xf numFmtId="167" fontId="19" fillId="8" borderId="20" xfId="1" applyNumberFormat="1" applyFont="1" applyFill="1" applyBorder="1"/>
    <xf numFmtId="0" fontId="8" fillId="5" borderId="6" xfId="0" applyFont="1" applyFill="1" applyBorder="1" applyAlignment="1">
      <alignment horizontal="center"/>
    </xf>
    <xf numFmtId="0" fontId="8" fillId="5" borderId="6" xfId="0" applyFont="1" applyFill="1" applyBorder="1"/>
    <xf numFmtId="0" fontId="8" fillId="5" borderId="6" xfId="0" applyFont="1" applyFill="1" applyBorder="1" applyAlignment="1">
      <alignment horizontal="left"/>
    </xf>
    <xf numFmtId="174" fontId="8" fillId="5" borderId="6" xfId="0" applyNumberFormat="1" applyFont="1" applyFill="1" applyBorder="1"/>
    <xf numFmtId="14" fontId="8" fillId="5" borderId="6" xfId="0" applyNumberFormat="1" applyFont="1" applyFill="1" applyBorder="1"/>
    <xf numFmtId="1" fontId="8" fillId="5" borderId="6" xfId="0" applyNumberFormat="1" applyFont="1" applyFill="1" applyBorder="1"/>
    <xf numFmtId="9" fontId="18" fillId="5" borderId="6" xfId="0" applyNumberFormat="1" applyFont="1" applyFill="1" applyBorder="1"/>
    <xf numFmtId="9" fontId="18" fillId="5" borderId="6" xfId="0" applyNumberFormat="1" applyFont="1" applyFill="1" applyBorder="1" applyAlignment="1">
      <alignment horizontal="center" vertical="center"/>
    </xf>
    <xf numFmtId="1" fontId="18" fillId="5" borderId="6" xfId="0" applyNumberFormat="1" applyFont="1" applyFill="1" applyBorder="1"/>
    <xf numFmtId="164" fontId="18" fillId="5" borderId="6" xfId="0" applyNumberFormat="1" applyFont="1" applyFill="1" applyBorder="1" applyAlignment="1">
      <alignment horizontal="left"/>
    </xf>
    <xf numFmtId="0" fontId="18" fillId="5" borderId="12" xfId="0" applyFont="1" applyFill="1" applyBorder="1"/>
    <xf numFmtId="167" fontId="18" fillId="5" borderId="13" xfId="1" applyNumberFormat="1" applyFont="1" applyFill="1" applyBorder="1"/>
    <xf numFmtId="164" fontId="18" fillId="5" borderId="6" xfId="2" applyFont="1" applyFill="1" applyBorder="1"/>
    <xf numFmtId="3" fontId="8" fillId="5" borderId="6" xfId="0" applyNumberFormat="1" applyFont="1" applyFill="1" applyBorder="1"/>
    <xf numFmtId="3" fontId="20" fillId="5" borderId="0" xfId="0" applyNumberFormat="1" applyFont="1" applyFill="1" applyAlignment="1">
      <alignment horizontal="center"/>
    </xf>
    <xf numFmtId="3" fontId="8" fillId="5" borderId="11" xfId="0" applyNumberFormat="1" applyFont="1" applyFill="1" applyBorder="1"/>
    <xf numFmtId="173" fontId="0" fillId="5" borderId="6" xfId="2" applyNumberFormat="1" applyFont="1" applyFill="1" applyBorder="1" applyAlignment="1">
      <alignment horizontal="left" indent="1"/>
    </xf>
    <xf numFmtId="164" fontId="0" fillId="5" borderId="6" xfId="0" applyNumberFormat="1" applyFill="1" applyBorder="1"/>
    <xf numFmtId="3" fontId="7" fillId="5" borderId="6" xfId="0" applyNumberFormat="1" applyFont="1" applyFill="1" applyBorder="1"/>
    <xf numFmtId="165" fontId="0" fillId="5" borderId="6" xfId="2" applyNumberFormat="1" applyFont="1" applyFill="1" applyBorder="1" applyAlignment="1">
      <alignment horizontal="left" indent="1"/>
    </xf>
    <xf numFmtId="165" fontId="0" fillId="5" borderId="0" xfId="0" applyNumberFormat="1" applyFill="1"/>
    <xf numFmtId="49" fontId="8" fillId="0" borderId="6" xfId="0" applyNumberFormat="1" applyFont="1" applyBorder="1" applyAlignment="1">
      <alignment horizontal="center"/>
    </xf>
    <xf numFmtId="164" fontId="18" fillId="5" borderId="11" xfId="0" applyNumberFormat="1" applyFont="1" applyFill="1" applyBorder="1" applyAlignment="1">
      <alignment horizontal="left"/>
    </xf>
    <xf numFmtId="167" fontId="19" fillId="5" borderId="18" xfId="1" applyNumberFormat="1" applyFont="1" applyFill="1" applyBorder="1"/>
    <xf numFmtId="173" fontId="0" fillId="5" borderId="6" xfId="0" applyNumberFormat="1" applyFill="1" applyBorder="1"/>
    <xf numFmtId="3" fontId="22" fillId="0" borderId="6" xfId="0" applyNumberFormat="1" applyFont="1" applyBorder="1"/>
    <xf numFmtId="3" fontId="13" fillId="16" borderId="6" xfId="0" applyNumberFormat="1" applyFont="1" applyFill="1" applyBorder="1"/>
    <xf numFmtId="0" fontId="20" fillId="0" borderId="0" xfId="0" applyFont="1" applyAlignment="1">
      <alignment horizontal="center"/>
    </xf>
    <xf numFmtId="0" fontId="7" fillId="0" borderId="0" xfId="0" applyFont="1"/>
    <xf numFmtId="0" fontId="7" fillId="0" borderId="21" xfId="0" applyFont="1" applyBorder="1" applyAlignment="1">
      <alignment horizontal="center"/>
    </xf>
    <xf numFmtId="0" fontId="23" fillId="0" borderId="0" xfId="0" applyFont="1"/>
    <xf numFmtId="3" fontId="8" fillId="6" borderId="0" xfId="0" applyNumberFormat="1" applyFont="1" applyFill="1"/>
    <xf numFmtId="0" fontId="0" fillId="6" borderId="0" xfId="0" applyFill="1"/>
    <xf numFmtId="0" fontId="4" fillId="0" borderId="0" xfId="0" quotePrefix="1" applyFont="1"/>
    <xf numFmtId="1" fontId="0" fillId="0" borderId="0" xfId="0" applyNumberFormat="1"/>
    <xf numFmtId="3" fontId="0" fillId="6" borderId="0" xfId="0" applyNumberFormat="1" applyFill="1"/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26" fillId="5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27" fillId="0" borderId="0" xfId="0" applyFont="1" applyFill="1" applyAlignment="1">
      <alignment vertical="center"/>
    </xf>
    <xf numFmtId="0" fontId="25" fillId="6" borderId="0" xfId="0" applyFont="1" applyFill="1" applyAlignment="1">
      <alignment horizontal="center"/>
    </xf>
    <xf numFmtId="0" fontId="24" fillId="0" borderId="0" xfId="0" applyFont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8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/>
    </xf>
    <xf numFmtId="0" fontId="4" fillId="17" borderId="6" xfId="0" applyFont="1" applyFill="1" applyBorder="1"/>
    <xf numFmtId="167" fontId="4" fillId="0" borderId="6" xfId="1" applyNumberFormat="1" applyFont="1" applyBorder="1"/>
    <xf numFmtId="167" fontId="0" fillId="0" borderId="6" xfId="0" applyNumberFormat="1" applyBorder="1"/>
    <xf numFmtId="176" fontId="0" fillId="0" borderId="6" xfId="0" applyNumberFormat="1" applyBorder="1" applyAlignment="1">
      <alignment horizontal="right"/>
    </xf>
    <xf numFmtId="176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7" fontId="0" fillId="0" borderId="6" xfId="1" applyNumberFormat="1" applyFont="1" applyBorder="1" applyAlignment="1">
      <alignment horizontal="center"/>
    </xf>
    <xf numFmtId="167" fontId="0" fillId="0" borderId="0" xfId="0" applyNumberFormat="1"/>
    <xf numFmtId="0" fontId="4" fillId="0" borderId="6" xfId="0" applyFont="1" applyBorder="1"/>
    <xf numFmtId="0" fontId="31" fillId="5" borderId="0" xfId="0" applyFont="1" applyFill="1" applyAlignment="1">
      <alignment horizontal="left"/>
    </xf>
    <xf numFmtId="0" fontId="3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0" fillId="0" borderId="0" xfId="0" applyFont="1" applyAlignment="1"/>
    <xf numFmtId="0" fontId="9" fillId="6" borderId="0" xfId="0" applyFont="1" applyFill="1" applyAlignment="1">
      <alignment horizontal="left"/>
    </xf>
    <xf numFmtId="0" fontId="26" fillId="5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8">
    <cellStyle name="Accent1" xfId="7" builtinId="29"/>
    <cellStyle name="Check Cell" xfId="5" builtinId="23"/>
    <cellStyle name="Comma" xfId="1" builtinId="3"/>
    <cellStyle name="Currency" xfId="2" builtinId="4"/>
    <cellStyle name="Input" xfId="4" builtinId="20"/>
    <cellStyle name="Normal" xfId="0" builtinId="0"/>
    <cellStyle name="Percent" xfId="3" builtinId="5"/>
    <cellStyle name="Total" xfId="6" builtinId="25"/>
  </cellStyles>
  <dxfs count="182"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FFFF97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</font>
      <fill>
        <patternFill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5AA13D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'Curva ABC'!$E$3</c:f>
              <c:strCache>
                <c:ptCount val="1"/>
                <c:pt idx="0">
                  <c:v>% 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'Curva ABC'!$A$4:$A$48</c:f>
              <c:strCache>
                <c:ptCount val="45"/>
                <c:pt idx="0">
                  <c:v>000A4023</c:v>
                </c:pt>
                <c:pt idx="1">
                  <c:v>000A4029</c:v>
                </c:pt>
                <c:pt idx="2">
                  <c:v>000A2005</c:v>
                </c:pt>
                <c:pt idx="3">
                  <c:v>000A4025</c:v>
                </c:pt>
                <c:pt idx="4">
                  <c:v>000A1001</c:v>
                </c:pt>
                <c:pt idx="5">
                  <c:v>000A4013</c:v>
                </c:pt>
                <c:pt idx="6">
                  <c:v>000A2014</c:v>
                </c:pt>
                <c:pt idx="7">
                  <c:v>000A4028</c:v>
                </c:pt>
                <c:pt idx="8">
                  <c:v>000A3009</c:v>
                </c:pt>
                <c:pt idx="9">
                  <c:v>000A1002</c:v>
                </c:pt>
                <c:pt idx="10">
                  <c:v>000A4030</c:v>
                </c:pt>
                <c:pt idx="11">
                  <c:v>000A1003</c:v>
                </c:pt>
                <c:pt idx="12">
                  <c:v>000A4026</c:v>
                </c:pt>
                <c:pt idx="13">
                  <c:v>000A3005</c:v>
                </c:pt>
                <c:pt idx="14">
                  <c:v>000A1031</c:v>
                </c:pt>
                <c:pt idx="15">
                  <c:v>000A2001</c:v>
                </c:pt>
                <c:pt idx="16">
                  <c:v>000A5035</c:v>
                </c:pt>
                <c:pt idx="17">
                  <c:v>000A2019</c:v>
                </c:pt>
                <c:pt idx="18">
                  <c:v>000A1006</c:v>
                </c:pt>
                <c:pt idx="19">
                  <c:v>00013</c:v>
                </c:pt>
                <c:pt idx="20">
                  <c:v>000A4010</c:v>
                </c:pt>
                <c:pt idx="21">
                  <c:v>000A1004</c:v>
                </c:pt>
                <c:pt idx="22">
                  <c:v>00012</c:v>
                </c:pt>
                <c:pt idx="23">
                  <c:v>000A2018</c:v>
                </c:pt>
                <c:pt idx="24">
                  <c:v>000A5037</c:v>
                </c:pt>
                <c:pt idx="25">
                  <c:v>000A2007</c:v>
                </c:pt>
                <c:pt idx="26">
                  <c:v>000A2015</c:v>
                </c:pt>
                <c:pt idx="27">
                  <c:v>00014</c:v>
                </c:pt>
                <c:pt idx="28">
                  <c:v>000A1019</c:v>
                </c:pt>
                <c:pt idx="29">
                  <c:v>000A1025</c:v>
                </c:pt>
                <c:pt idx="30">
                  <c:v>000A1034</c:v>
                </c:pt>
                <c:pt idx="31">
                  <c:v>000A1021</c:v>
                </c:pt>
                <c:pt idx="32">
                  <c:v>000A1012</c:v>
                </c:pt>
                <c:pt idx="33">
                  <c:v>00017</c:v>
                </c:pt>
                <c:pt idx="34">
                  <c:v>000A3050</c:v>
                </c:pt>
                <c:pt idx="35">
                  <c:v>000A5036</c:v>
                </c:pt>
                <c:pt idx="36">
                  <c:v>000A1017</c:v>
                </c:pt>
                <c:pt idx="37">
                  <c:v>000A1028</c:v>
                </c:pt>
                <c:pt idx="38">
                  <c:v>000A2011</c:v>
                </c:pt>
                <c:pt idx="39">
                  <c:v>000A3014</c:v>
                </c:pt>
                <c:pt idx="40">
                  <c:v>000A4012</c:v>
                </c:pt>
                <c:pt idx="41">
                  <c:v>000A3018</c:v>
                </c:pt>
                <c:pt idx="42">
                  <c:v>000A5014</c:v>
                </c:pt>
                <c:pt idx="43">
                  <c:v>000A5034</c:v>
                </c:pt>
                <c:pt idx="44">
                  <c:v>000A4005</c:v>
                </c:pt>
              </c:strCache>
            </c:strRef>
          </c:cat>
          <c:val>
            <c:numRef>
              <c:f>'Curva ABC'!$E$4:$E$48</c:f>
              <c:numCache>
                <c:formatCode>0.00%</c:formatCode>
                <c:ptCount val="45"/>
                <c:pt idx="0">
                  <c:v>7.8682889312126789E-2</c:v>
                </c:pt>
                <c:pt idx="1">
                  <c:v>7.5236923213975057E-2</c:v>
                </c:pt>
                <c:pt idx="2">
                  <c:v>6.8230186982677812E-2</c:v>
                </c:pt>
                <c:pt idx="3">
                  <c:v>6.540369809446224E-2</c:v>
                </c:pt>
                <c:pt idx="4">
                  <c:v>5.3244855961363809E-2</c:v>
                </c:pt>
                <c:pt idx="5">
                  <c:v>4.8919998757366474E-2</c:v>
                </c:pt>
                <c:pt idx="6">
                  <c:v>4.2688467459125141E-2</c:v>
                </c:pt>
                <c:pt idx="7">
                  <c:v>3.832798712608991E-2</c:v>
                </c:pt>
                <c:pt idx="8">
                  <c:v>3.5715733259058587E-2</c:v>
                </c:pt>
                <c:pt idx="9">
                  <c:v>3.1533837135662275E-2</c:v>
                </c:pt>
                <c:pt idx="10">
                  <c:v>2.9349852059331976E-2</c:v>
                </c:pt>
                <c:pt idx="11">
                  <c:v>2.9041752182299291E-2</c:v>
                </c:pt>
                <c:pt idx="12">
                  <c:v>2.8732243322248465E-2</c:v>
                </c:pt>
                <c:pt idx="13">
                  <c:v>2.7127259844925356E-2</c:v>
                </c:pt>
                <c:pt idx="14">
                  <c:v>2.5534734682162188E-2</c:v>
                </c:pt>
                <c:pt idx="15">
                  <c:v>2.0877024869456924E-2</c:v>
                </c:pt>
                <c:pt idx="16">
                  <c:v>2.0581351012761765E-2</c:v>
                </c:pt>
                <c:pt idx="17">
                  <c:v>2.0340499317575356E-2</c:v>
                </c:pt>
                <c:pt idx="18">
                  <c:v>1.9599843898243364E-2</c:v>
                </c:pt>
                <c:pt idx="19">
                  <c:v>1.919450326138859E-2</c:v>
                </c:pt>
                <c:pt idx="20">
                  <c:v>1.7821020156328009E-2</c:v>
                </c:pt>
                <c:pt idx="21">
                  <c:v>1.5649509864782151E-2</c:v>
                </c:pt>
                <c:pt idx="22">
                  <c:v>1.447557645282422E-2</c:v>
                </c:pt>
                <c:pt idx="23">
                  <c:v>1.4452445861166069E-2</c:v>
                </c:pt>
                <c:pt idx="24">
                  <c:v>1.3947113946919365E-2</c:v>
                </c:pt>
                <c:pt idx="25">
                  <c:v>1.389053380385139E-2</c:v>
                </c:pt>
                <c:pt idx="26">
                  <c:v>1.1858910807438953E-2</c:v>
                </c:pt>
                <c:pt idx="27">
                  <c:v>1.103470101934359E-2</c:v>
                </c:pt>
                <c:pt idx="28">
                  <c:v>1.0240652138092943E-2</c:v>
                </c:pt>
                <c:pt idx="29">
                  <c:v>9.6526453446792553E-3</c:v>
                </c:pt>
                <c:pt idx="30">
                  <c:v>9.456743257812969E-3</c:v>
                </c:pt>
                <c:pt idx="31">
                  <c:v>9.4375764700426502E-3</c:v>
                </c:pt>
                <c:pt idx="32">
                  <c:v>8.0778187128839433E-3</c:v>
                </c:pt>
                <c:pt idx="33">
                  <c:v>7.5523182257844941E-3</c:v>
                </c:pt>
                <c:pt idx="34">
                  <c:v>6.7629732259705177E-3</c:v>
                </c:pt>
                <c:pt idx="35">
                  <c:v>5.6751988376025717E-3</c:v>
                </c:pt>
                <c:pt idx="36">
                  <c:v>5.5578609912712669E-3</c:v>
                </c:pt>
                <c:pt idx="37">
                  <c:v>5.3994805011350977E-3</c:v>
                </c:pt>
                <c:pt idx="38">
                  <c:v>5.3524230789686192E-3</c:v>
                </c:pt>
                <c:pt idx="39">
                  <c:v>5.1941312657103819E-3</c:v>
                </c:pt>
                <c:pt idx="40">
                  <c:v>4.9686239707992068E-3</c:v>
                </c:pt>
                <c:pt idx="41">
                  <c:v>4.6940244269783066E-3</c:v>
                </c:pt>
                <c:pt idx="42">
                  <c:v>4.0344480898711812E-3</c:v>
                </c:pt>
                <c:pt idx="43">
                  <c:v>3.5853395002710428E-3</c:v>
                </c:pt>
                <c:pt idx="44">
                  <c:v>2.8642882971701895E-3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6-4056-8AE7-55FABD9F1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46477007"/>
        <c:axId val="1146475567"/>
      </c:barChart>
      <c:lineChart>
        <c:grouping val="standard"/>
        <c:varyColors val="0"/>
        <c:ser>
          <c:idx val="1"/>
          <c:order val="1"/>
          <c:tx>
            <c:strRef>
              <c:f>'Curva ABC'!$F$3</c:f>
              <c:strCache>
                <c:ptCount val="1"/>
                <c:pt idx="0">
                  <c:v>% Acumulated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'Curva ABC'!$A$4:$A$48</c:f>
              <c:strCache>
                <c:ptCount val="45"/>
                <c:pt idx="0">
                  <c:v>000A4023</c:v>
                </c:pt>
                <c:pt idx="1">
                  <c:v>000A4029</c:v>
                </c:pt>
                <c:pt idx="2">
                  <c:v>000A2005</c:v>
                </c:pt>
                <c:pt idx="3">
                  <c:v>000A4025</c:v>
                </c:pt>
                <c:pt idx="4">
                  <c:v>000A1001</c:v>
                </c:pt>
                <c:pt idx="5">
                  <c:v>000A4013</c:v>
                </c:pt>
                <c:pt idx="6">
                  <c:v>000A2014</c:v>
                </c:pt>
                <c:pt idx="7">
                  <c:v>000A4028</c:v>
                </c:pt>
                <c:pt idx="8">
                  <c:v>000A3009</c:v>
                </c:pt>
                <c:pt idx="9">
                  <c:v>000A1002</c:v>
                </c:pt>
                <c:pt idx="10">
                  <c:v>000A4030</c:v>
                </c:pt>
                <c:pt idx="11">
                  <c:v>000A1003</c:v>
                </c:pt>
                <c:pt idx="12">
                  <c:v>000A4026</c:v>
                </c:pt>
                <c:pt idx="13">
                  <c:v>000A3005</c:v>
                </c:pt>
                <c:pt idx="14">
                  <c:v>000A1031</c:v>
                </c:pt>
                <c:pt idx="15">
                  <c:v>000A2001</c:v>
                </c:pt>
                <c:pt idx="16">
                  <c:v>000A5035</c:v>
                </c:pt>
                <c:pt idx="17">
                  <c:v>000A2019</c:v>
                </c:pt>
                <c:pt idx="18">
                  <c:v>000A1006</c:v>
                </c:pt>
                <c:pt idx="19">
                  <c:v>00013</c:v>
                </c:pt>
                <c:pt idx="20">
                  <c:v>000A4010</c:v>
                </c:pt>
                <c:pt idx="21">
                  <c:v>000A1004</c:v>
                </c:pt>
                <c:pt idx="22">
                  <c:v>00012</c:v>
                </c:pt>
                <c:pt idx="23">
                  <c:v>000A2018</c:v>
                </c:pt>
                <c:pt idx="24">
                  <c:v>000A5037</c:v>
                </c:pt>
                <c:pt idx="25">
                  <c:v>000A2007</c:v>
                </c:pt>
                <c:pt idx="26">
                  <c:v>000A2015</c:v>
                </c:pt>
                <c:pt idx="27">
                  <c:v>00014</c:v>
                </c:pt>
                <c:pt idx="28">
                  <c:v>000A1019</c:v>
                </c:pt>
                <c:pt idx="29">
                  <c:v>000A1025</c:v>
                </c:pt>
                <c:pt idx="30">
                  <c:v>000A1034</c:v>
                </c:pt>
                <c:pt idx="31">
                  <c:v>000A1021</c:v>
                </c:pt>
                <c:pt idx="32">
                  <c:v>000A1012</c:v>
                </c:pt>
                <c:pt idx="33">
                  <c:v>00017</c:v>
                </c:pt>
                <c:pt idx="34">
                  <c:v>000A3050</c:v>
                </c:pt>
                <c:pt idx="35">
                  <c:v>000A5036</c:v>
                </c:pt>
                <c:pt idx="36">
                  <c:v>000A1017</c:v>
                </c:pt>
                <c:pt idx="37">
                  <c:v>000A1028</c:v>
                </c:pt>
                <c:pt idx="38">
                  <c:v>000A2011</c:v>
                </c:pt>
                <c:pt idx="39">
                  <c:v>000A3014</c:v>
                </c:pt>
                <c:pt idx="40">
                  <c:v>000A4012</c:v>
                </c:pt>
                <c:pt idx="41">
                  <c:v>000A3018</c:v>
                </c:pt>
                <c:pt idx="42">
                  <c:v>000A5014</c:v>
                </c:pt>
                <c:pt idx="43">
                  <c:v>000A5034</c:v>
                </c:pt>
                <c:pt idx="44">
                  <c:v>000A4005</c:v>
                </c:pt>
              </c:strCache>
            </c:strRef>
          </c:cat>
          <c:val>
            <c:numRef>
              <c:f>'Curva ABC'!$F$4:$F$48</c:f>
              <c:numCache>
                <c:formatCode>0%</c:formatCode>
                <c:ptCount val="45"/>
                <c:pt idx="0">
                  <c:v>7.8682889312126789E-2</c:v>
                </c:pt>
                <c:pt idx="1">
                  <c:v>0.15391981252610185</c:v>
                </c:pt>
                <c:pt idx="2">
                  <c:v>0.22214999950877967</c:v>
                </c:pt>
                <c:pt idx="3">
                  <c:v>0.2875536976032419</c:v>
                </c:pt>
                <c:pt idx="4">
                  <c:v>0.3407985535646057</c:v>
                </c:pt>
                <c:pt idx="5">
                  <c:v>0.38971855232197217</c:v>
                </c:pt>
                <c:pt idx="6">
                  <c:v>0.4324070197810973</c:v>
                </c:pt>
                <c:pt idx="7">
                  <c:v>0.47073500690718723</c:v>
                </c:pt>
                <c:pt idx="8">
                  <c:v>0.50645074016624581</c:v>
                </c:pt>
                <c:pt idx="9">
                  <c:v>0.53798457730190807</c:v>
                </c:pt>
                <c:pt idx="10">
                  <c:v>0.56733442936124001</c:v>
                </c:pt>
                <c:pt idx="11">
                  <c:v>0.59637618154353933</c:v>
                </c:pt>
                <c:pt idx="12">
                  <c:v>0.62510842486578777</c:v>
                </c:pt>
                <c:pt idx="13">
                  <c:v>0.65223568471071314</c:v>
                </c:pt>
                <c:pt idx="14">
                  <c:v>0.6777704193928753</c:v>
                </c:pt>
                <c:pt idx="15">
                  <c:v>0.69864744426233227</c:v>
                </c:pt>
                <c:pt idx="16">
                  <c:v>0.71922879527509409</c:v>
                </c:pt>
                <c:pt idx="17">
                  <c:v>0.7395692945926694</c:v>
                </c:pt>
                <c:pt idx="18">
                  <c:v>0.75916913849091272</c:v>
                </c:pt>
                <c:pt idx="19">
                  <c:v>0.77836364175230133</c:v>
                </c:pt>
                <c:pt idx="20">
                  <c:v>0.79618466190862935</c:v>
                </c:pt>
                <c:pt idx="21">
                  <c:v>0.81183417177341155</c:v>
                </c:pt>
                <c:pt idx="22">
                  <c:v>0.82630974822623582</c:v>
                </c:pt>
                <c:pt idx="23">
                  <c:v>0.84076219408740194</c:v>
                </c:pt>
                <c:pt idx="24">
                  <c:v>0.85470930803432132</c:v>
                </c:pt>
                <c:pt idx="25">
                  <c:v>0.86859984183817274</c:v>
                </c:pt>
                <c:pt idx="26">
                  <c:v>0.88045875264561169</c:v>
                </c:pt>
                <c:pt idx="27">
                  <c:v>0.89149345366495525</c:v>
                </c:pt>
                <c:pt idx="28">
                  <c:v>0.90173410580304814</c:v>
                </c:pt>
                <c:pt idx="29">
                  <c:v>0.91138675114772738</c:v>
                </c:pt>
                <c:pt idx="30">
                  <c:v>0.92084349440554036</c:v>
                </c:pt>
                <c:pt idx="31">
                  <c:v>0.93028107087558298</c:v>
                </c:pt>
                <c:pt idx="32">
                  <c:v>0.93835888958846692</c:v>
                </c:pt>
                <c:pt idx="33">
                  <c:v>0.94591120781425142</c:v>
                </c:pt>
                <c:pt idx="34">
                  <c:v>0.95267418104022195</c:v>
                </c:pt>
                <c:pt idx="35">
                  <c:v>0.95834937987782454</c:v>
                </c:pt>
                <c:pt idx="36">
                  <c:v>0.96390724086909585</c:v>
                </c:pt>
                <c:pt idx="37">
                  <c:v>0.96930672137023099</c:v>
                </c:pt>
                <c:pt idx="38">
                  <c:v>0.97465914444919965</c:v>
                </c:pt>
                <c:pt idx="39">
                  <c:v>0.97985327571490999</c:v>
                </c:pt>
                <c:pt idx="40">
                  <c:v>0.98482189968570921</c:v>
                </c:pt>
                <c:pt idx="41">
                  <c:v>0.98951592411268752</c:v>
                </c:pt>
                <c:pt idx="42">
                  <c:v>0.99355037220255871</c:v>
                </c:pt>
                <c:pt idx="43">
                  <c:v>0.99713571170282977</c:v>
                </c:pt>
                <c:pt idx="4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6-4056-8AE7-55FABD9F1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477007"/>
        <c:axId val="1146475567"/>
      </c:lineChart>
      <c:catAx>
        <c:axId val="114647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475567"/>
        <c:crosses val="autoZero"/>
        <c:auto val="1"/>
        <c:lblAlgn val="ctr"/>
        <c:lblOffset val="100"/>
        <c:noMultiLvlLbl val="0"/>
      </c:catAx>
      <c:valAx>
        <c:axId val="114647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47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'Curva ABC'!$R$3</c:f>
              <c:strCache>
                <c:ptCount val="1"/>
                <c:pt idx="0">
                  <c:v>% 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'Curva ABC'!$N$4:$N$25</c:f>
              <c:strCache>
                <c:ptCount val="22"/>
                <c:pt idx="0">
                  <c:v>000EC0001</c:v>
                </c:pt>
                <c:pt idx="1">
                  <c:v>000Z0012</c:v>
                </c:pt>
                <c:pt idx="2">
                  <c:v>000X0101</c:v>
                </c:pt>
                <c:pt idx="3">
                  <c:v>000Z0016</c:v>
                </c:pt>
                <c:pt idx="4">
                  <c:v>000Z0013</c:v>
                </c:pt>
                <c:pt idx="5">
                  <c:v>000H1003</c:v>
                </c:pt>
                <c:pt idx="6">
                  <c:v>000XE101</c:v>
                </c:pt>
                <c:pt idx="7">
                  <c:v>000IC0001</c:v>
                </c:pt>
                <c:pt idx="8">
                  <c:v>000H1013</c:v>
                </c:pt>
                <c:pt idx="9">
                  <c:v>000Z0035</c:v>
                </c:pt>
                <c:pt idx="10">
                  <c:v>000X0105</c:v>
                </c:pt>
                <c:pt idx="11">
                  <c:v>000X0106</c:v>
                </c:pt>
                <c:pt idx="12">
                  <c:v>000X0107</c:v>
                </c:pt>
                <c:pt idx="13">
                  <c:v>000X0103</c:v>
                </c:pt>
                <c:pt idx="14">
                  <c:v>000X0108</c:v>
                </c:pt>
                <c:pt idx="15">
                  <c:v>000X0104</c:v>
                </c:pt>
                <c:pt idx="16">
                  <c:v>000X0102</c:v>
                </c:pt>
                <c:pt idx="17">
                  <c:v>000X0109</c:v>
                </c:pt>
                <c:pt idx="18">
                  <c:v>000Z0009</c:v>
                </c:pt>
                <c:pt idx="19">
                  <c:v>000Z0018</c:v>
                </c:pt>
                <c:pt idx="20">
                  <c:v>000Z0011</c:v>
                </c:pt>
                <c:pt idx="21">
                  <c:v>000Z0017</c:v>
                </c:pt>
              </c:strCache>
            </c:strRef>
          </c:cat>
          <c:val>
            <c:numRef>
              <c:f>'Curva ABC'!$R$4:$R$25</c:f>
              <c:numCache>
                <c:formatCode>0%</c:formatCode>
                <c:ptCount val="22"/>
                <c:pt idx="0">
                  <c:v>0.51501991102353883</c:v>
                </c:pt>
                <c:pt idx="1">
                  <c:v>0.10298966875018448</c:v>
                </c:pt>
                <c:pt idx="2">
                  <c:v>9.7874831806176135E-2</c:v>
                </c:pt>
                <c:pt idx="3">
                  <c:v>5.1474765787930331E-2</c:v>
                </c:pt>
                <c:pt idx="4">
                  <c:v>4.2017239964140085E-2</c:v>
                </c:pt>
                <c:pt idx="5">
                  <c:v>3.4338661401086927E-2</c:v>
                </c:pt>
                <c:pt idx="6">
                  <c:v>2.6758804892468999E-2</c:v>
                </c:pt>
                <c:pt idx="7">
                  <c:v>2.2332955833600957E-2</c:v>
                </c:pt>
                <c:pt idx="8">
                  <c:v>1.9329016425130515E-2</c:v>
                </c:pt>
                <c:pt idx="9">
                  <c:v>1.6660464387411016E-2</c:v>
                </c:pt>
                <c:pt idx="10">
                  <c:v>1.1602980430926798E-2</c:v>
                </c:pt>
                <c:pt idx="11">
                  <c:v>1.0486651634249406E-2</c:v>
                </c:pt>
                <c:pt idx="12">
                  <c:v>7.5500390093991452E-3</c:v>
                </c:pt>
                <c:pt idx="13">
                  <c:v>6.9361232098449962E-3</c:v>
                </c:pt>
                <c:pt idx="14">
                  <c:v>6.783354354402138E-3</c:v>
                </c:pt>
                <c:pt idx="15">
                  <c:v>6.4234420445663173E-3</c:v>
                </c:pt>
                <c:pt idx="16">
                  <c:v>4.4678103846278149E-3</c:v>
                </c:pt>
                <c:pt idx="17">
                  <c:v>4.2646160924997923E-3</c:v>
                </c:pt>
                <c:pt idx="18">
                  <c:v>4.0911555353043546E-3</c:v>
                </c:pt>
                <c:pt idx="19">
                  <c:v>3.413491146346411E-3</c:v>
                </c:pt>
                <c:pt idx="20">
                  <c:v>2.885770936875167E-3</c:v>
                </c:pt>
                <c:pt idx="21">
                  <c:v>2.2982449492894314E-3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9-4484-A021-1EBACA7A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14198463"/>
        <c:axId val="1314195583"/>
      </c:barChart>
      <c:lineChart>
        <c:grouping val="standard"/>
        <c:varyColors val="0"/>
        <c:ser>
          <c:idx val="1"/>
          <c:order val="1"/>
          <c:tx>
            <c:strRef>
              <c:f>'Curva ABC'!$S$3</c:f>
              <c:strCache>
                <c:ptCount val="1"/>
                <c:pt idx="0">
                  <c:v>% Acumulated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'Curva ABC'!$N$4:$N$25</c:f>
              <c:strCache>
                <c:ptCount val="22"/>
                <c:pt idx="0">
                  <c:v>000EC0001</c:v>
                </c:pt>
                <c:pt idx="1">
                  <c:v>000Z0012</c:v>
                </c:pt>
                <c:pt idx="2">
                  <c:v>000X0101</c:v>
                </c:pt>
                <c:pt idx="3">
                  <c:v>000Z0016</c:v>
                </c:pt>
                <c:pt idx="4">
                  <c:v>000Z0013</c:v>
                </c:pt>
                <c:pt idx="5">
                  <c:v>000H1003</c:v>
                </c:pt>
                <c:pt idx="6">
                  <c:v>000XE101</c:v>
                </c:pt>
                <c:pt idx="7">
                  <c:v>000IC0001</c:v>
                </c:pt>
                <c:pt idx="8">
                  <c:v>000H1013</c:v>
                </c:pt>
                <c:pt idx="9">
                  <c:v>000Z0035</c:v>
                </c:pt>
                <c:pt idx="10">
                  <c:v>000X0105</c:v>
                </c:pt>
                <c:pt idx="11">
                  <c:v>000X0106</c:v>
                </c:pt>
                <c:pt idx="12">
                  <c:v>000X0107</c:v>
                </c:pt>
                <c:pt idx="13">
                  <c:v>000X0103</c:v>
                </c:pt>
                <c:pt idx="14">
                  <c:v>000X0108</c:v>
                </c:pt>
                <c:pt idx="15">
                  <c:v>000X0104</c:v>
                </c:pt>
                <c:pt idx="16">
                  <c:v>000X0102</c:v>
                </c:pt>
                <c:pt idx="17">
                  <c:v>000X0109</c:v>
                </c:pt>
                <c:pt idx="18">
                  <c:v>000Z0009</c:v>
                </c:pt>
                <c:pt idx="19">
                  <c:v>000Z0018</c:v>
                </c:pt>
                <c:pt idx="20">
                  <c:v>000Z0011</c:v>
                </c:pt>
                <c:pt idx="21">
                  <c:v>000Z0017</c:v>
                </c:pt>
              </c:strCache>
            </c:strRef>
          </c:cat>
          <c:val>
            <c:numRef>
              <c:f>'Curva ABC'!$S$4:$S$25</c:f>
              <c:numCache>
                <c:formatCode>0%</c:formatCode>
                <c:ptCount val="22"/>
                <c:pt idx="0">
                  <c:v>0.51501991102353883</c:v>
                </c:pt>
                <c:pt idx="1">
                  <c:v>0.61800957977372328</c:v>
                </c:pt>
                <c:pt idx="2">
                  <c:v>0.71588441157989946</c:v>
                </c:pt>
                <c:pt idx="3">
                  <c:v>0.76735917736782977</c:v>
                </c:pt>
                <c:pt idx="4">
                  <c:v>0.80937641733196986</c:v>
                </c:pt>
                <c:pt idx="5">
                  <c:v>0.84371507873305673</c:v>
                </c:pt>
                <c:pt idx="6">
                  <c:v>0.87047388362552569</c:v>
                </c:pt>
                <c:pt idx="7">
                  <c:v>0.89280683945912664</c:v>
                </c:pt>
                <c:pt idx="8">
                  <c:v>0.91213585588425716</c:v>
                </c:pt>
                <c:pt idx="9">
                  <c:v>0.92879632027166814</c:v>
                </c:pt>
                <c:pt idx="10">
                  <c:v>0.94039930070259492</c:v>
                </c:pt>
                <c:pt idx="11">
                  <c:v>0.95088595233684436</c:v>
                </c:pt>
                <c:pt idx="12">
                  <c:v>0.95843599134624347</c:v>
                </c:pt>
                <c:pt idx="13">
                  <c:v>0.96537211455608851</c:v>
                </c:pt>
                <c:pt idx="14">
                  <c:v>0.97215546891049065</c:v>
                </c:pt>
                <c:pt idx="15">
                  <c:v>0.978578910955057</c:v>
                </c:pt>
                <c:pt idx="16">
                  <c:v>0.98304672133968485</c:v>
                </c:pt>
                <c:pt idx="17">
                  <c:v>0.98731133743218469</c:v>
                </c:pt>
                <c:pt idx="18">
                  <c:v>0.99140249296748906</c:v>
                </c:pt>
                <c:pt idx="19">
                  <c:v>0.99481598411383543</c:v>
                </c:pt>
                <c:pt idx="20">
                  <c:v>0.99770175505071057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9-4484-A021-1EBACA7A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98463"/>
        <c:axId val="1314195583"/>
      </c:lineChart>
      <c:catAx>
        <c:axId val="131419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95583"/>
        <c:crosses val="autoZero"/>
        <c:auto val="1"/>
        <c:lblAlgn val="ctr"/>
        <c:lblOffset val="100"/>
        <c:noMultiLvlLbl val="0"/>
      </c:catAx>
      <c:valAx>
        <c:axId val="13141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9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SKU status</a:t>
            </a:r>
          </a:p>
          <a:p>
            <a:pPr>
              <a:defRPr sz="2400"/>
            </a:pPr>
            <a:r>
              <a:rPr lang="en-US" sz="2400"/>
              <a:t>Ethical</a:t>
            </a:r>
          </a:p>
        </c:rich>
      </c:tx>
      <c:layout>
        <c:manualLayout>
          <c:xMode val="edge"/>
          <c:yMode val="edge"/>
          <c:x val="1.9204507936072038E-2"/>
          <c:y val="1.5452539168536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15-405B-9C20-D183C36B93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15-405B-9C20-D183C36B93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15-405B-9C20-D183C36B93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15-405B-9C20-D183C36B9387}"/>
              </c:ext>
            </c:extLst>
          </c:dPt>
          <c:dLbls>
            <c:dLbl>
              <c:idx val="0"/>
              <c:layout>
                <c:manualLayout>
                  <c:x val="-0.21959497577949189"/>
                  <c:y val="-1.848184722424849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15608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0A15-405B-9C20-D183C36B9387}"/>
                </c:ext>
              </c:extLst>
            </c:dLbl>
            <c:dLbl>
              <c:idx val="1"/>
              <c:layout>
                <c:manualLayout>
                  <c:x val="-4.9625983227003807E-3"/>
                  <c:y val="-8.085808160608708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E9713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0A15-405B-9C20-D183C36B9387}"/>
                </c:ext>
              </c:extLst>
            </c:dLbl>
            <c:dLbl>
              <c:idx val="2"/>
              <c:layout>
                <c:manualLayout>
                  <c:x val="5.9551179872404471E-2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196B2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0A15-405B-9C20-D183C36B9387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0F9E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A15-405B-9C20-D183C36B938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15608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'Gestao de estoque'!$A$77:$A$80</c:f>
              <c:strCache>
                <c:ptCount val="4"/>
                <c:pt idx="0">
                  <c:v>STOCKOUT RISK</c:v>
                </c:pt>
                <c:pt idx="1">
                  <c:v>UNDERSTOCKED</c:v>
                </c:pt>
                <c:pt idx="2">
                  <c:v>NORMAL</c:v>
                </c:pt>
                <c:pt idx="3">
                  <c:v>OVERSTOCKED</c:v>
                </c:pt>
              </c:strCache>
            </c:strRef>
          </c:cat>
          <c:val>
            <c:numRef>
              <c:f>'Gestao de estoque'!$B$77:$B$80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15-405B-9C20-D183C36B938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SKU STATUS </a:t>
            </a:r>
          </a:p>
          <a:p>
            <a:pPr>
              <a:defRPr sz="2400"/>
            </a:pPr>
            <a:r>
              <a:rPr lang="en-US" sz="2400"/>
              <a:t>OTC</a:t>
            </a:r>
          </a:p>
        </c:rich>
      </c:tx>
      <c:layout>
        <c:manualLayout>
          <c:xMode val="edge"/>
          <c:yMode val="edge"/>
          <c:x val="2.0437590346731819E-2"/>
          <c:y val="3.4760256021833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1F1-4CF8-AB5C-37F92EFAA3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F1-4CF8-AB5C-37F92EFAA3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1F1-4CF8-AB5C-37F92EFAA3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1F1-4CF8-AB5C-37F92EFAA329}"/>
              </c:ext>
            </c:extLst>
          </c:dPt>
          <c:dLbls>
            <c:dLbl>
              <c:idx val="0"/>
              <c:layout>
                <c:manualLayout>
                  <c:x val="6.791314657728513E-2"/>
                  <c:y val="-6.903669749558424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15608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F1F1-4CF8-AB5C-37F92EFAA329}"/>
                </c:ext>
              </c:extLst>
            </c:dLbl>
            <c:dLbl>
              <c:idx val="1"/>
              <c:layout>
                <c:manualLayout>
                  <c:x val="7.0486109183997447E-2"/>
                  <c:y val="-1.14999169651664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15608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1F1-4CF8-AB5C-37F92EFAA329}"/>
                </c:ext>
              </c:extLst>
            </c:dLbl>
            <c:dLbl>
              <c:idx val="2"/>
              <c:layout>
                <c:manualLayout>
                  <c:x val="-0.21267360529654403"/>
                  <c:y val="-8.04994187561653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15608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1F1-4CF8-AB5C-37F92EFAA329}"/>
                </c:ext>
              </c:extLst>
            </c:dLbl>
            <c:dLbl>
              <c:idx val="3"/>
              <c:layout>
                <c:manualLayout>
                  <c:x val="-0.10025311763501663"/>
                  <c:y val="-4.360040881068440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15608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F1F1-4CF8-AB5C-37F92EFAA3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15608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'Gestao de estoque'!$A$84:$A$87</c:f>
              <c:strCache>
                <c:ptCount val="4"/>
                <c:pt idx="0">
                  <c:v>STOCKOUT RISK</c:v>
                </c:pt>
                <c:pt idx="1">
                  <c:v>UNDERSTOCKED</c:v>
                </c:pt>
                <c:pt idx="2">
                  <c:v>NORMAL</c:v>
                </c:pt>
                <c:pt idx="3">
                  <c:v>OVERSTOCKED</c:v>
                </c:pt>
              </c:strCache>
            </c:strRef>
          </c:cat>
          <c:val>
            <c:numRef>
              <c:f>'Gestao de estoque'!$B$84:$B$87</c:f>
              <c:numCache>
                <c:formatCode>General</c:formatCode>
                <c:ptCount val="4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F1-4CF8-AB5C-37F92EFAA32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171449</xdr:colOff>
      <xdr:row>12</xdr:row>
      <xdr:rowOff>114299</xdr:rowOff>
    </xdr:from>
    <xdr:to>
      <xdr:col>12</xdr:col>
      <xdr:colOff>476249</xdr:colOff>
      <xdr:row>25</xdr:row>
      <xdr:rowOff>119061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4F4B0-7C48-4D48-B76D-956FEB653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26</xdr:row>
      <xdr:rowOff>33337</xdr:rowOff>
    </xdr:from>
    <xdr:to>
      <xdr:col>12</xdr:col>
      <xdr:colOff>476250</xdr:colOff>
      <xdr:row>40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2DDFC-35E5-456C-93FE-73103A5E5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472248</xdr:colOff>
      <xdr:row>76</xdr:row>
      <xdr:rowOff>27210</xdr:rowOff>
    </xdr:from>
    <xdr:to>
      <xdr:col>28</xdr:col>
      <xdr:colOff>217714</xdr:colOff>
      <xdr:row>102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50F1A-2366-41B2-80D7-D31BE1CF9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476250</xdr:colOff>
      <xdr:row>102</xdr:row>
      <xdr:rowOff>122468</xdr:rowOff>
    </xdr:from>
    <xdr:to>
      <xdr:col>28</xdr:col>
      <xdr:colOff>204107</xdr:colOff>
      <xdr:row>127</xdr:row>
      <xdr:rowOff>54430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B4758-3696-497B-ADE9-A83E18D6C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ktdobrasil-my.sharepoint.com/personal/iionescu_dkt_com_br/Documents/Documentos/Masterplan/Masterplan%20Supply%20Brasil_June.xlsx" TargetMode="External"/><Relationship Id="rId1" Type="http://schemas.openxmlformats.org/officeDocument/2006/relationships/externalLinkPath" Target="/personal/iionescu_dkt_com_br/Documents/Documentos/Masterplan/Masterplan%20Supply%20Brasil_Jun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Importa&#231;&#227;o\Estoque\05%20-%20Custo%20M&#233;dio\05%20-%202025\Custo%20M&#233;dio%20-%20Maio%202025.xlsx" TargetMode="External"/><Relationship Id="rId1" Type="http://schemas.openxmlformats.org/officeDocument/2006/relationships/externalLinkPath" Target="file:///O:\Importa&#231;&#227;o\Estoque\05%20-%20Custo%20M&#233;dio\05%20-%202025\Custo%20M&#233;dio%20-%20Maio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ionescu\Downloads\forms_export%20(45).xlsx" TargetMode="External"/><Relationship Id="rId1" Type="http://schemas.openxmlformats.org/officeDocument/2006/relationships/externalLinkPath" Target="file:///C:\Users\iionescu\Downloads\forms_export%20(4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"/>
      <sheetName val="Realisado vs Planejado"/>
      <sheetName val="Purchase recomendation"/>
      <sheetName val="Overview"/>
      <sheetName val="Table"/>
      <sheetName val="Sheet3"/>
      <sheetName val="Sheet4"/>
      <sheetName val="Product code"/>
      <sheetName val="OTIF SUPPLY"/>
      <sheetName val="Sheet5"/>
      <sheetName val="Parameters"/>
      <sheetName val="Projection"/>
      <sheetName val="Budget"/>
      <sheetName val="Sheet2"/>
      <sheetName val="PO control"/>
      <sheetName val="PO"/>
      <sheetName val="Container planning NRS"/>
      <sheetName val="PO Pivot"/>
      <sheetName val="Container planning TNR"/>
      <sheetName val="Cont parameters"/>
      <sheetName val="ABC"/>
      <sheetName val="NRS orders"/>
      <sheetName val="Sheet1"/>
      <sheetName val="OTIF NRS"/>
      <sheetName val="OTIF Thai Nippon"/>
      <sheetName val="OTIF Pregna"/>
      <sheetName val="OTIF FW"/>
      <sheetName val="OTIF Hemafarma"/>
      <sheetName val="OTIF Senador"/>
      <sheetName val="OTIF WCG"/>
      <sheetName val="Supplier OTIF"/>
    </sheetNames>
    <sheetDataSet>
      <sheetData sheetId="0"/>
      <sheetData sheetId="1"/>
      <sheetData sheetId="2">
        <row r="77">
          <cell r="A77" t="str">
            <v>STOCKOUT RISK</v>
          </cell>
          <cell r="B77">
            <v>0</v>
          </cell>
        </row>
        <row r="78">
          <cell r="A78" t="str">
            <v>UNDERSTOCKED</v>
          </cell>
          <cell r="B78">
            <v>1</v>
          </cell>
        </row>
        <row r="79">
          <cell r="A79" t="str">
            <v>NORMAL</v>
          </cell>
          <cell r="B79">
            <v>4</v>
          </cell>
        </row>
        <row r="80">
          <cell r="A80" t="str">
            <v>OVERSTOCKED</v>
          </cell>
          <cell r="B80">
            <v>15</v>
          </cell>
        </row>
        <row r="84">
          <cell r="A84" t="str">
            <v>STOCKOUT RISK</v>
          </cell>
          <cell r="B84">
            <v>0</v>
          </cell>
        </row>
        <row r="85">
          <cell r="A85" t="str">
            <v>UNDERSTOCKED</v>
          </cell>
          <cell r="B85">
            <v>18</v>
          </cell>
        </row>
        <row r="86">
          <cell r="A86" t="str">
            <v>NORMAL</v>
          </cell>
          <cell r="B86">
            <v>20</v>
          </cell>
        </row>
        <row r="87">
          <cell r="A87" t="str">
            <v>OVERSTOCKED</v>
          </cell>
          <cell r="B87">
            <v>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C3">
            <v>45831</v>
          </cell>
        </row>
      </sheetData>
      <sheetData sheetId="11">
        <row r="1">
          <cell r="Q1" t="str">
            <v>Update</v>
          </cell>
          <cell r="U1" t="str">
            <v>Update</v>
          </cell>
          <cell r="AB1">
            <v>140972</v>
          </cell>
          <cell r="AC1">
            <v>102415</v>
          </cell>
          <cell r="AD1">
            <v>103740</v>
          </cell>
          <cell r="AE1">
            <v>152975</v>
          </cell>
          <cell r="AF1">
            <v>165133</v>
          </cell>
          <cell r="AG1">
            <v>447019</v>
          </cell>
          <cell r="AH1">
            <v>117546</v>
          </cell>
          <cell r="AI1">
            <v>362129</v>
          </cell>
          <cell r="AJ1">
            <v>431415.74529999995</v>
          </cell>
          <cell r="AK1">
            <v>473509.31296000007</v>
          </cell>
          <cell r="AL1">
            <v>559545.02897999983</v>
          </cell>
          <cell r="AM1">
            <v>619514.74060000002</v>
          </cell>
          <cell r="AN1">
            <v>626671.45360000012</v>
          </cell>
          <cell r="AO1">
            <v>1013675.2536000001</v>
          </cell>
          <cell r="AP1">
            <v>617875.85360000003</v>
          </cell>
          <cell r="AQ1">
            <v>1285433.8536</v>
          </cell>
          <cell r="AR1">
            <v>2224126.8536</v>
          </cell>
          <cell r="AS1">
            <v>1996590.3536</v>
          </cell>
          <cell r="AT1">
            <v>2196762.3536</v>
          </cell>
          <cell r="AU1">
            <v>1732351.3536</v>
          </cell>
          <cell r="AV1">
            <v>1392669.2626</v>
          </cell>
          <cell r="AW1">
            <v>1392669.2626</v>
          </cell>
          <cell r="AX1">
            <v>1392669.2626</v>
          </cell>
          <cell r="AY1">
            <v>1392669.2626</v>
          </cell>
          <cell r="AZ1">
            <v>1392669.2626</v>
          </cell>
          <cell r="BA1">
            <v>1392669.2626</v>
          </cell>
          <cell r="BE1">
            <v>139168.00347222222</v>
          </cell>
          <cell r="BF1">
            <v>142107.50347222222</v>
          </cell>
          <cell r="BG1">
            <v>94496.689362500023</v>
          </cell>
          <cell r="BH1">
            <v>128278.83052583336</v>
          </cell>
          <cell r="BI1">
            <v>231997.46980750005</v>
          </cell>
          <cell r="BJ1">
            <v>168795.22532999999</v>
          </cell>
          <cell r="BK1">
            <v>158067.44236416672</v>
          </cell>
          <cell r="BL1">
            <v>217152.55329750001</v>
          </cell>
          <cell r="BM1">
            <v>222392.35902</v>
          </cell>
          <cell r="BN1">
            <v>223208.89498000004</v>
          </cell>
          <cell r="BO1">
            <v>222475.97138000003</v>
          </cell>
          <cell r="BP1">
            <v>503166.89700000006</v>
          </cell>
          <cell r="BQ1">
            <v>231906.27000000002</v>
          </cell>
          <cell r="BR1">
            <v>504314.34600000002</v>
          </cell>
          <cell r="BS1">
            <v>197338</v>
          </cell>
          <cell r="BT1">
            <v>192054</v>
          </cell>
          <cell r="BU1">
            <v>780622.5</v>
          </cell>
          <cell r="BV1">
            <v>323443</v>
          </cell>
          <cell r="BW1">
            <v>467729</v>
          </cell>
          <cell r="BX1">
            <v>344188</v>
          </cell>
          <cell r="BY1">
            <v>3024</v>
          </cell>
          <cell r="BZ1">
            <v>2771</v>
          </cell>
          <cell r="CA1">
            <v>2991</v>
          </cell>
          <cell r="CB1">
            <v>2472</v>
          </cell>
          <cell r="CC1">
            <v>3256</v>
          </cell>
          <cell r="CD1">
            <v>3424</v>
          </cell>
          <cell r="CE1" t="str">
            <v>Update</v>
          </cell>
          <cell r="CH1">
            <v>0</v>
          </cell>
          <cell r="CI1">
            <v>0</v>
          </cell>
          <cell r="CJ1">
            <v>0</v>
          </cell>
          <cell r="CK1">
            <v>0</v>
          </cell>
          <cell r="CL1">
            <v>0</v>
          </cell>
          <cell r="CM1">
            <v>0</v>
          </cell>
          <cell r="CN1">
            <v>0</v>
          </cell>
          <cell r="CO1">
            <v>277420</v>
          </cell>
          <cell r="CP1">
            <v>253640</v>
          </cell>
          <cell r="CQ1">
            <v>202780</v>
          </cell>
          <cell r="CR1">
            <v>160585</v>
          </cell>
          <cell r="CS1">
            <v>508100</v>
          </cell>
          <cell r="CT1">
            <v>615340</v>
          </cell>
          <cell r="CU1">
            <v>102558</v>
          </cell>
          <cell r="CV1">
            <v>864400</v>
          </cell>
          <cell r="CW1">
            <v>1130260</v>
          </cell>
          <cell r="CX1">
            <v>552200</v>
          </cell>
          <cell r="CY1">
            <v>520000</v>
          </cell>
          <cell r="CZ1">
            <v>0</v>
          </cell>
          <cell r="DA1">
            <v>0</v>
          </cell>
          <cell r="DB1">
            <v>0</v>
          </cell>
          <cell r="DC1">
            <v>0</v>
          </cell>
          <cell r="DD1">
            <v>0</v>
          </cell>
          <cell r="DE1">
            <v>0</v>
          </cell>
          <cell r="DF1">
            <v>0</v>
          </cell>
          <cell r="DG1">
            <v>0</v>
          </cell>
          <cell r="DJ1">
            <v>4917277.5300000012</v>
          </cell>
          <cell r="DK1">
            <v>5974315.9800000014</v>
          </cell>
          <cell r="DL1">
            <v>4154924.939999999</v>
          </cell>
          <cell r="DM1">
            <v>5695127.0199999986</v>
          </cell>
          <cell r="DN1">
            <v>6849719.2700000005</v>
          </cell>
          <cell r="DO1">
            <v>5341941.22</v>
          </cell>
          <cell r="DP1">
            <v>5682126.3000000007</v>
          </cell>
          <cell r="DQ1">
            <v>15779853.060000001</v>
          </cell>
          <cell r="DR1">
            <v>17578359.5545366</v>
          </cell>
          <cell r="DS1">
            <v>19741994.879544403</v>
          </cell>
          <cell r="DT1">
            <v>26668997.304794814</v>
          </cell>
          <cell r="DU1">
            <v>28482222.099846788</v>
          </cell>
          <cell r="DV1">
            <v>29162348.954626791</v>
          </cell>
          <cell r="DW1">
            <v>29956592.807626791</v>
          </cell>
          <cell r="DX1">
            <v>29275443.007626794</v>
          </cell>
          <cell r="DY1">
            <v>31469380.737626798</v>
          </cell>
          <cell r="DZ1">
            <v>34515388.257626802</v>
          </cell>
          <cell r="EA1">
            <v>29150058.592626788</v>
          </cell>
          <cell r="EB1">
            <v>25525966.262626808</v>
          </cell>
          <cell r="EC1">
            <v>18899854.792626806</v>
          </cell>
          <cell r="ED1">
            <v>12854039.8504768</v>
          </cell>
          <cell r="EE1">
            <v>12854039.8504768</v>
          </cell>
          <cell r="EF1">
            <v>12854039.8504768</v>
          </cell>
          <cell r="EG1">
            <v>12854039.8504768</v>
          </cell>
          <cell r="EH1">
            <v>12854039.8504768</v>
          </cell>
          <cell r="EI1">
            <v>12854039.8504768</v>
          </cell>
          <cell r="EN1">
            <v>4450891.4027777789</v>
          </cell>
          <cell r="EO1">
            <v>4625637.0777777797</v>
          </cell>
          <cell r="EP1">
            <v>3173713.5780323092</v>
          </cell>
          <cell r="EQ1">
            <v>5697119.9832268078</v>
          </cell>
          <cell r="ER1">
            <v>8104129.3374024266</v>
          </cell>
          <cell r="ES1">
            <v>7011810.5053004809</v>
          </cell>
          <cell r="ET1">
            <v>5304644.2139079254</v>
          </cell>
          <cell r="EU1">
            <v>5943769.1232949561</v>
          </cell>
          <cell r="EV1">
            <v>5840861.712616602</v>
          </cell>
          <cell r="EW1">
            <v>5795372.5861795992</v>
          </cell>
          <cell r="EX1">
            <v>5726310.9520679992</v>
          </cell>
          <cell r="EY1">
            <v>7138097.8719899999</v>
          </cell>
          <cell r="EZ1">
            <v>6144162.9246000014</v>
          </cell>
          <cell r="FA1">
            <v>7092616.4010800011</v>
          </cell>
          <cell r="FB1">
            <v>5817833.1900000013</v>
          </cell>
          <cell r="FC1">
            <v>5737528.0699999994</v>
          </cell>
          <cell r="FD1">
            <v>8812727.2649999969</v>
          </cell>
          <cell r="FE1">
            <v>5248686.99</v>
          </cell>
          <cell r="FF1">
            <v>6647614.4799999986</v>
          </cell>
          <cell r="FG1">
            <v>6109518.6399999997</v>
          </cell>
          <cell r="FH1">
            <v>0</v>
          </cell>
          <cell r="FI1">
            <v>0</v>
          </cell>
          <cell r="FJ1">
            <v>0</v>
          </cell>
          <cell r="FK1">
            <v>0</v>
          </cell>
          <cell r="FL1">
            <v>0</v>
          </cell>
          <cell r="FM1">
            <v>0</v>
          </cell>
        </row>
        <row r="2">
          <cell r="CF2" t="str">
            <v>year</v>
          </cell>
          <cell r="CG2">
            <v>2024</v>
          </cell>
          <cell r="CH2">
            <v>2024</v>
          </cell>
          <cell r="CI2">
            <v>2024</v>
          </cell>
          <cell r="CJ2">
            <v>2025</v>
          </cell>
          <cell r="CK2">
            <v>2025</v>
          </cell>
          <cell r="CL2">
            <v>2025</v>
          </cell>
          <cell r="CM2">
            <v>2025</v>
          </cell>
          <cell r="CN2">
            <v>2025</v>
          </cell>
          <cell r="CO2">
            <v>2025</v>
          </cell>
          <cell r="CP2">
            <v>2025</v>
          </cell>
          <cell r="CQ2">
            <v>2025</v>
          </cell>
          <cell r="CR2">
            <v>2025</v>
          </cell>
          <cell r="CS2">
            <v>2025</v>
          </cell>
          <cell r="CT2">
            <v>2025</v>
          </cell>
          <cell r="CU2">
            <v>2025</v>
          </cell>
          <cell r="CV2">
            <v>2026</v>
          </cell>
          <cell r="CW2">
            <v>2026</v>
          </cell>
          <cell r="CX2">
            <v>2026</v>
          </cell>
          <cell r="CY2">
            <v>2026</v>
          </cell>
          <cell r="CZ2">
            <v>2026</v>
          </cell>
          <cell r="DA2">
            <v>2026</v>
          </cell>
          <cell r="DB2">
            <v>2026</v>
          </cell>
          <cell r="DC2">
            <v>2026</v>
          </cell>
          <cell r="DD2">
            <v>2026</v>
          </cell>
          <cell r="DE2">
            <v>2026</v>
          </cell>
          <cell r="DF2">
            <v>2026</v>
          </cell>
          <cell r="DG2">
            <v>2026</v>
          </cell>
        </row>
        <row r="3">
          <cell r="CF3" t="str">
            <v>month</v>
          </cell>
          <cell r="CG3">
            <v>10</v>
          </cell>
          <cell r="CH3">
            <v>11</v>
          </cell>
          <cell r="CI3">
            <v>12</v>
          </cell>
          <cell r="CJ3">
            <v>1</v>
          </cell>
          <cell r="CK3">
            <v>2</v>
          </cell>
          <cell r="CL3">
            <v>3</v>
          </cell>
          <cell r="CM3">
            <v>4</v>
          </cell>
          <cell r="CN3">
            <v>5</v>
          </cell>
          <cell r="CO3">
            <v>6</v>
          </cell>
          <cell r="CP3">
            <v>7</v>
          </cell>
          <cell r="CQ3">
            <v>8</v>
          </cell>
          <cell r="CR3">
            <v>9</v>
          </cell>
          <cell r="CS3">
            <v>10</v>
          </cell>
          <cell r="CT3">
            <v>11</v>
          </cell>
          <cell r="CU3">
            <v>12</v>
          </cell>
          <cell r="CV3">
            <v>1</v>
          </cell>
          <cell r="CW3">
            <v>2</v>
          </cell>
          <cell r="CX3">
            <v>3</v>
          </cell>
          <cell r="CY3">
            <v>4</v>
          </cell>
          <cell r="CZ3">
            <v>5</v>
          </cell>
          <cell r="DA3">
            <v>6</v>
          </cell>
          <cell r="DB3">
            <v>7</v>
          </cell>
          <cell r="DC3">
            <v>8</v>
          </cell>
          <cell r="DD3">
            <v>9</v>
          </cell>
          <cell r="DE3">
            <v>10</v>
          </cell>
          <cell r="DF3">
            <v>11</v>
          </cell>
          <cell r="DG3">
            <v>12</v>
          </cell>
        </row>
        <row r="4">
          <cell r="A4" t="str">
            <v>Código do Produto</v>
          </cell>
          <cell r="B4" t="str">
            <v>Nome Produto</v>
          </cell>
          <cell r="C4" t="str">
            <v>Nome produto 2</v>
          </cell>
          <cell r="D4" t="str">
            <v>BU</v>
          </cell>
          <cell r="E4" t="str">
            <v>Fornecedor</v>
          </cell>
          <cell r="F4" t="str">
            <v>Comentario</v>
          </cell>
          <cell r="G4" t="str">
            <v>Lead time produção (dias)</v>
          </cell>
          <cell r="H4" t="str">
            <v>Lead time trânsito (dias)</v>
          </cell>
          <cell r="I4" t="str">
            <v>Lead time total (dias)</v>
          </cell>
          <cell r="J4" t="str">
            <v>ETD</v>
          </cell>
          <cell r="K4" t="str">
            <v>ETD (Month)</v>
          </cell>
          <cell r="L4" t="str">
            <v>ETD (Year)</v>
          </cell>
          <cell r="M4" t="str">
            <v>Final ETA</v>
          </cell>
          <cell r="N4" t="str">
            <v>Final ETA (Month)</v>
          </cell>
          <cell r="O4" t="str">
            <v>Final ETA (Year)</v>
          </cell>
          <cell r="P4" t="str">
            <v xml:space="preserve">Service level </v>
          </cell>
          <cell r="Q4" t="str">
            <v>ABC index</v>
          </cell>
          <cell r="R4" t="str">
            <v>DOH 90 days</v>
          </cell>
          <cell r="S4" t="str">
            <v>Average COGS Aug 24</v>
          </cell>
          <cell r="T4" t="str">
            <v>Safety stock</v>
          </cell>
          <cell r="U4" t="str">
            <v>ROP</v>
          </cell>
          <cell r="V4" t="str">
            <v>MOQ</v>
          </cell>
          <cell r="W4" t="str">
            <v>OQ</v>
          </cell>
          <cell r="X4" t="str">
            <v>UM</v>
          </cell>
          <cell r="Y4" t="str">
            <v>Precio Fabrica</v>
          </cell>
          <cell r="Z4" t="str">
            <v>Realizado Set/24</v>
          </cell>
          <cell r="AA4" t="str">
            <v>Realizado Out/24</v>
          </cell>
          <cell r="AB4" t="str">
            <v>Realizado Nov/24</v>
          </cell>
          <cell r="AC4" t="str">
            <v>Realizado Dez/24</v>
          </cell>
          <cell r="AD4" t="str">
            <v>Realizado Jan/25</v>
          </cell>
          <cell r="AE4" t="str">
            <v>Realizado Fev/25</v>
          </cell>
          <cell r="AF4" t="str">
            <v>Realizado Mar/25</v>
          </cell>
          <cell r="AG4" t="str">
            <v>Realizado Abr/25</v>
          </cell>
          <cell r="AH4" t="str">
            <v>Realizado Mai/25</v>
          </cell>
          <cell r="AI4" t="str">
            <v>Estoque Inicial Jun/25</v>
          </cell>
          <cell r="AJ4" t="str">
            <v>Estoque Inicial Jul/25</v>
          </cell>
          <cell r="AK4" t="str">
            <v>Estoque Inicial Aug/25</v>
          </cell>
          <cell r="AL4" t="str">
            <v>Estoque Inicial Sep/25</v>
          </cell>
          <cell r="AM4" t="str">
            <v>Estoque Inicial Oct/25</v>
          </cell>
          <cell r="AN4" t="str">
            <v>Estoque Inicial Nov/25</v>
          </cell>
          <cell r="AO4" t="str">
            <v>Estoque Inicial Dec/25</v>
          </cell>
          <cell r="AP4" t="str">
            <v>Estoque Inicial Jan/26</v>
          </cell>
          <cell r="AQ4" t="str">
            <v>Estoque Inicial Feb/26</v>
          </cell>
          <cell r="AR4" t="str">
            <v>Estoque Inicial Mar/26</v>
          </cell>
          <cell r="AS4" t="str">
            <v>Estoque Inicial Abr/26</v>
          </cell>
          <cell r="AT4" t="str">
            <v>Estoque Inicial Mai/26</v>
          </cell>
          <cell r="AU4" t="str">
            <v>Estoque Inicial Jun/26</v>
          </cell>
          <cell r="AV4" t="str">
            <v>Estoque Inicial Jul/26</v>
          </cell>
          <cell r="AW4" t="str">
            <v>Estoque Inicial Aug/26</v>
          </cell>
          <cell r="AX4" t="str">
            <v>Estoque Inicial Sep/26</v>
          </cell>
          <cell r="AY4" t="str">
            <v>Estoque Inicial Oct/26</v>
          </cell>
          <cell r="AZ4" t="str">
            <v>Estoque Inicial Nov/26</v>
          </cell>
          <cell r="BA4" t="str">
            <v>Estoque Inicial Dec/26</v>
          </cell>
          <cell r="BC4" t="str">
            <v>Vendas Set/24</v>
          </cell>
          <cell r="BD4" t="str">
            <v>Vendas Out/24</v>
          </cell>
          <cell r="BE4" t="str">
            <v>Vendas Nov/24</v>
          </cell>
          <cell r="BF4" t="str">
            <v>Vendas Dez/24</v>
          </cell>
          <cell r="BG4" t="str">
            <v>Vendas Jan/25</v>
          </cell>
          <cell r="BH4" t="str">
            <v>Vendas Fev/25</v>
          </cell>
          <cell r="BI4" t="str">
            <v>Vendas Mar/25</v>
          </cell>
          <cell r="BJ4" t="str">
            <v>Vendas Abr/25</v>
          </cell>
          <cell r="BK4" t="str">
            <v>Vendas Mai/25</v>
          </cell>
          <cell r="BL4" t="str">
            <v>Vendas Jun/25</v>
          </cell>
          <cell r="BM4" t="str">
            <v>Vendas Jul/25</v>
          </cell>
          <cell r="BN4" t="str">
            <v>Vendas Aug/25</v>
          </cell>
          <cell r="BO4" t="str">
            <v>Vendas Sep/25</v>
          </cell>
          <cell r="BP4" t="str">
            <v>Vendas Oct/25</v>
          </cell>
          <cell r="BQ4" t="str">
            <v>Vendas Nov/25</v>
          </cell>
          <cell r="BR4" t="str">
            <v>Vendas Dec/25</v>
          </cell>
          <cell r="BS4" t="str">
            <v>Vendas Jan/26</v>
          </cell>
          <cell r="BT4" t="str">
            <v>Vendas Fev/26</v>
          </cell>
          <cell r="BU4" t="str">
            <v>Vendas Mar/26</v>
          </cell>
          <cell r="BV4" t="str">
            <v>Vendas Abr/26</v>
          </cell>
          <cell r="BW4" t="str">
            <v>Vendas Mai/26</v>
          </cell>
          <cell r="BX4" t="str">
            <v>Vendas Jun/26</v>
          </cell>
          <cell r="BY4" t="str">
            <v>Vendas Jul/26</v>
          </cell>
          <cell r="BZ4" t="str">
            <v>Vendas Aug/26</v>
          </cell>
          <cell r="CA4" t="str">
            <v>Vendas Sep/26</v>
          </cell>
          <cell r="CB4" t="str">
            <v>Vendas Oct/26</v>
          </cell>
          <cell r="CC4" t="str">
            <v>Vendas Nov/26</v>
          </cell>
          <cell r="CD4" t="str">
            <v>Vendas Dec/26</v>
          </cell>
          <cell r="CE4" t="str">
            <v>STDEV 12 months</v>
          </cell>
          <cell r="CG4" t="str">
            <v>Entradas Out/24</v>
          </cell>
          <cell r="CH4" t="str">
            <v>Entradas Nov/24</v>
          </cell>
          <cell r="CI4" t="str">
            <v>Entradas Dez/24</v>
          </cell>
          <cell r="CJ4" t="str">
            <v>Entradas Jan/25</v>
          </cell>
          <cell r="CK4" t="str">
            <v>Entradas Fev/25</v>
          </cell>
          <cell r="CL4" t="str">
            <v>Entradas Mar/25</v>
          </cell>
          <cell r="CM4" t="str">
            <v>Entradas Abr/25</v>
          </cell>
          <cell r="CN4" t="str">
            <v>Entradas Mai/25</v>
          </cell>
          <cell r="CO4" t="str">
            <v>Entradas Jun/25</v>
          </cell>
          <cell r="CP4" t="str">
            <v>Entradas Jul/25</v>
          </cell>
          <cell r="CQ4" t="str">
            <v>Entradas Aug/25</v>
          </cell>
          <cell r="CR4" t="str">
            <v>Entradas Sept/25</v>
          </cell>
          <cell r="CS4" t="str">
            <v>Entradas Oct/25</v>
          </cell>
          <cell r="CT4" t="str">
            <v>Entradas Nov/25</v>
          </cell>
          <cell r="CU4" t="str">
            <v>Entradas Dec/25</v>
          </cell>
          <cell r="CV4" t="str">
            <v>Entradas Jan/26</v>
          </cell>
          <cell r="CW4" t="str">
            <v>Entradas Fev/26</v>
          </cell>
          <cell r="CX4" t="str">
            <v>Entradas Mar/26</v>
          </cell>
          <cell r="CY4" t="str">
            <v>Entradas Abr/26</v>
          </cell>
          <cell r="CZ4" t="str">
            <v>Entradas Mai/26</v>
          </cell>
          <cell r="DA4" t="str">
            <v>Entradas Jun/26</v>
          </cell>
          <cell r="DB4" t="str">
            <v>Entradas Jul/26</v>
          </cell>
          <cell r="DC4" t="str">
            <v>Entradas Aug/26</v>
          </cell>
          <cell r="DD4" t="str">
            <v>Entradas Sept/26</v>
          </cell>
          <cell r="DE4" t="str">
            <v>Entradas Oct/26</v>
          </cell>
          <cell r="DF4" t="str">
            <v>Entradas Nov/26</v>
          </cell>
          <cell r="DG4" t="str">
            <v>Entradas Dec/26</v>
          </cell>
          <cell r="DI4" t="str">
            <v>Average cost current month</v>
          </cell>
          <cell r="DJ4" t="str">
            <v>Inventory Cost Nov 24</v>
          </cell>
          <cell r="DK4" t="str">
            <v>Inventory Cost Dec 24</v>
          </cell>
          <cell r="DL4" t="str">
            <v>Inventory Cost Jan 25</v>
          </cell>
          <cell r="DM4" t="str">
            <v>Inventory Cost Feb 25</v>
          </cell>
          <cell r="DN4" t="str">
            <v>Inventory Cost Mar 25</v>
          </cell>
          <cell r="DO4" t="str">
            <v>Inventory Cost Apr 25</v>
          </cell>
          <cell r="DP4" t="str">
            <v>Inventory Cost May 25</v>
          </cell>
          <cell r="DQ4" t="str">
            <v>Inventory Cost Jun 25</v>
          </cell>
          <cell r="DR4" t="str">
            <v>Inventory Cost Jul 25</v>
          </cell>
          <cell r="DS4" t="str">
            <v>Inventory Cost Aug 25</v>
          </cell>
          <cell r="DT4" t="str">
            <v>Inventory Cost Sep 25</v>
          </cell>
          <cell r="DU4" t="str">
            <v>Inventory Cost Oct 25</v>
          </cell>
          <cell r="DV4" t="str">
            <v>Inventory Cost Nov 25</v>
          </cell>
          <cell r="DW4" t="str">
            <v>Inventory Cost Dec 25</v>
          </cell>
          <cell r="DX4" t="str">
            <v>Inventory Cost Jan 26</v>
          </cell>
          <cell r="DY4" t="str">
            <v>Inventory Cost Feb 26</v>
          </cell>
          <cell r="DZ4" t="str">
            <v>Inventory Cost Mar 26</v>
          </cell>
          <cell r="EA4" t="str">
            <v>Inventory Cost Apr 26</v>
          </cell>
          <cell r="EB4" t="str">
            <v>Inventory Cost May 26</v>
          </cell>
          <cell r="EC4" t="str">
            <v>Inventory Cost Jun 26</v>
          </cell>
          <cell r="ED4" t="str">
            <v>Inventory Cost Jul 26</v>
          </cell>
          <cell r="EE4" t="str">
            <v>Inventory Cost Aug 26</v>
          </cell>
          <cell r="EF4" t="str">
            <v>Inventory Cost Sep 26</v>
          </cell>
          <cell r="EG4" t="str">
            <v>Inventory Cost Oct 26</v>
          </cell>
          <cell r="EH4" t="str">
            <v>Inventory Cost Nov 26</v>
          </cell>
          <cell r="EI4" t="str">
            <v>Inventory Cost Dec 26</v>
          </cell>
          <cell r="EL4" t="str">
            <v>COGS Set/24</v>
          </cell>
          <cell r="EM4" t="str">
            <v>COGS Out/24</v>
          </cell>
          <cell r="EN4" t="str">
            <v>COGS Nov/24</v>
          </cell>
          <cell r="EO4" t="str">
            <v>COGS Dez/24</v>
          </cell>
          <cell r="EP4" t="str">
            <v>COGS Jan/25</v>
          </cell>
          <cell r="EQ4" t="str">
            <v>COGS Fev/25</v>
          </cell>
          <cell r="ER4" t="str">
            <v>COGS Mar/25</v>
          </cell>
          <cell r="ES4" t="str">
            <v>COGS Abr/25</v>
          </cell>
          <cell r="ET4" t="str">
            <v>COGS Mai/25</v>
          </cell>
          <cell r="EU4" t="str">
            <v>COGS Jun/25</v>
          </cell>
          <cell r="EV4" t="str">
            <v>COGS Jul/25</v>
          </cell>
          <cell r="EW4" t="str">
            <v>COGS Aug/25</v>
          </cell>
          <cell r="EX4" t="str">
            <v>COGS Sept/25</v>
          </cell>
          <cell r="EY4" t="str">
            <v>COGS Oct/25</v>
          </cell>
          <cell r="EZ4" t="str">
            <v>COGS Nov/25</v>
          </cell>
          <cell r="FA4" t="str">
            <v>COGS Dec/25</v>
          </cell>
          <cell r="FB4" t="str">
            <v>COGS Jan/26</v>
          </cell>
          <cell r="FC4" t="str">
            <v>COGS Fev/26</v>
          </cell>
          <cell r="FD4" t="str">
            <v>COGS Mar/26</v>
          </cell>
          <cell r="FE4" t="str">
            <v>COGS Abr/26</v>
          </cell>
          <cell r="FF4" t="str">
            <v>COGS Mai/26</v>
          </cell>
          <cell r="FG4" t="str">
            <v>COGS Jun/26</v>
          </cell>
          <cell r="FH4" t="str">
            <v>COGS Jul/26</v>
          </cell>
          <cell r="FI4" t="str">
            <v>COGS Aug/26</v>
          </cell>
          <cell r="FJ4" t="str">
            <v>COGS Sept/26</v>
          </cell>
          <cell r="FK4" t="str">
            <v>COGS Oct/26</v>
          </cell>
          <cell r="FL4" t="str">
            <v>COGS Nov/26</v>
          </cell>
          <cell r="FM4" t="str">
            <v>COGS Dec/26</v>
          </cell>
        </row>
        <row r="5">
          <cell r="A5" t="str">
            <v>000Z0013</v>
          </cell>
          <cell r="B5" t="str">
            <v>ANDALAN CLASSIC CU 380</v>
          </cell>
          <cell r="C5" t="str">
            <v>ANDALAN CLASSIC CU 380</v>
          </cell>
          <cell r="D5" t="str">
            <v>Ethical</v>
          </cell>
          <cell r="E5" t="str">
            <v>Pregna</v>
          </cell>
          <cell r="G5">
            <v>87</v>
          </cell>
          <cell r="H5">
            <v>60</v>
          </cell>
          <cell r="I5">
            <v>147</v>
          </cell>
          <cell r="J5">
            <v>45918</v>
          </cell>
          <cell r="K5">
            <v>9</v>
          </cell>
          <cell r="L5">
            <v>2025</v>
          </cell>
          <cell r="M5">
            <v>45978</v>
          </cell>
          <cell r="N5">
            <v>11</v>
          </cell>
          <cell r="O5">
            <v>2025</v>
          </cell>
          <cell r="P5">
            <v>0.95</v>
          </cell>
          <cell r="Q5" t="str">
            <v>B</v>
          </cell>
          <cell r="R5">
            <v>27.340166789403501</v>
          </cell>
          <cell r="S5">
            <v>6.9</v>
          </cell>
          <cell r="T5">
            <v>3800</v>
          </cell>
          <cell r="U5">
            <v>11200</v>
          </cell>
          <cell r="V5">
            <v>15000</v>
          </cell>
          <cell r="W5">
            <v>15000</v>
          </cell>
          <cell r="Y5">
            <v>0.9</v>
          </cell>
          <cell r="Z5">
            <v>3588</v>
          </cell>
          <cell r="AA5">
            <v>3318</v>
          </cell>
          <cell r="AB5">
            <v>6180</v>
          </cell>
          <cell r="AC5">
            <v>1923</v>
          </cell>
          <cell r="AD5">
            <v>2885</v>
          </cell>
          <cell r="AE5">
            <v>1321</v>
          </cell>
          <cell r="AF5">
            <v>4821</v>
          </cell>
          <cell r="AG5">
            <v>4409</v>
          </cell>
          <cell r="AH5">
            <v>2437</v>
          </cell>
          <cell r="AI5">
            <v>12562</v>
          </cell>
          <cell r="AJ5">
            <v>21794</v>
          </cell>
          <cell r="AK5">
            <v>46311</v>
          </cell>
          <cell r="AL5">
            <v>40183</v>
          </cell>
          <cell r="AM5">
            <v>44055</v>
          </cell>
          <cell r="AN5">
            <v>37820</v>
          </cell>
          <cell r="AO5">
            <v>31692</v>
          </cell>
          <cell r="AP5">
            <v>25552</v>
          </cell>
          <cell r="AQ5">
            <v>20714</v>
          </cell>
          <cell r="AR5">
            <v>17499</v>
          </cell>
          <cell r="AS5">
            <v>12231</v>
          </cell>
          <cell r="AT5">
            <v>9031</v>
          </cell>
          <cell r="AU5">
            <v>4131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C5">
            <v>3588</v>
          </cell>
          <cell r="BD5">
            <v>3165</v>
          </cell>
          <cell r="BE5">
            <v>3100</v>
          </cell>
          <cell r="BF5">
            <v>3500</v>
          </cell>
          <cell r="BG5">
            <v>1935</v>
          </cell>
          <cell r="BH5">
            <v>4515</v>
          </cell>
          <cell r="BI5">
            <v>4838</v>
          </cell>
          <cell r="BJ5">
            <v>4515</v>
          </cell>
          <cell r="BK5">
            <v>5268</v>
          </cell>
          <cell r="BL5">
            <v>5268</v>
          </cell>
          <cell r="BM5">
            <v>5483</v>
          </cell>
          <cell r="BN5">
            <v>6128</v>
          </cell>
          <cell r="BO5">
            <v>6128</v>
          </cell>
          <cell r="BP5">
            <v>6235</v>
          </cell>
          <cell r="BQ5">
            <v>6128</v>
          </cell>
          <cell r="BR5">
            <v>6140</v>
          </cell>
          <cell r="BS5">
            <v>4838</v>
          </cell>
          <cell r="BT5">
            <v>3215</v>
          </cell>
          <cell r="BU5">
            <v>5268</v>
          </cell>
          <cell r="BV5">
            <v>3200</v>
          </cell>
          <cell r="BW5">
            <v>4900</v>
          </cell>
          <cell r="BX5">
            <v>4500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1051.8549488086906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14500</v>
          </cell>
          <cell r="CP5">
            <v>30000</v>
          </cell>
          <cell r="CQ5">
            <v>0</v>
          </cell>
          <cell r="CR5">
            <v>10000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I5">
            <v>8.11</v>
          </cell>
          <cell r="DJ5">
            <v>50119.799999999996</v>
          </cell>
          <cell r="DK5">
            <v>15595.529999999999</v>
          </cell>
          <cell r="DL5">
            <v>23397.35</v>
          </cell>
          <cell r="DM5">
            <v>10713.31</v>
          </cell>
          <cell r="DN5">
            <v>39098.31</v>
          </cell>
          <cell r="DO5">
            <v>35756.99</v>
          </cell>
          <cell r="DP5">
            <v>19764.07</v>
          </cell>
          <cell r="DQ5">
            <v>101877.81999999999</v>
          </cell>
          <cell r="DR5">
            <v>176749.34</v>
          </cell>
          <cell r="DS5">
            <v>375582.20999999996</v>
          </cell>
          <cell r="DT5">
            <v>325884.13</v>
          </cell>
          <cell r="DU5">
            <v>357286.05</v>
          </cell>
          <cell r="DV5">
            <v>306720.19999999995</v>
          </cell>
          <cell r="DW5">
            <v>257022.12</v>
          </cell>
          <cell r="DX5">
            <v>207226.71999999997</v>
          </cell>
          <cell r="DY5">
            <v>167990.53999999998</v>
          </cell>
          <cell r="DZ5">
            <v>141916.88999999998</v>
          </cell>
          <cell r="EA5">
            <v>99193.409999999989</v>
          </cell>
          <cell r="EB5">
            <v>73241.409999999989</v>
          </cell>
          <cell r="EC5">
            <v>33502.409999999996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L5">
            <v>24757.200000000001</v>
          </cell>
          <cell r="EM5">
            <v>21838.5</v>
          </cell>
          <cell r="EN5">
            <v>25141</v>
          </cell>
          <cell r="EO5">
            <v>28384.999999999996</v>
          </cell>
          <cell r="EP5">
            <v>15692.849999999999</v>
          </cell>
          <cell r="EQ5">
            <v>36616.649999999994</v>
          </cell>
          <cell r="ER5">
            <v>39236.18</v>
          </cell>
          <cell r="ES5">
            <v>36616.649999999994</v>
          </cell>
          <cell r="ET5">
            <v>42723.479999999996</v>
          </cell>
          <cell r="EU5">
            <v>42723.479999999996</v>
          </cell>
          <cell r="EV5">
            <v>44467.13</v>
          </cell>
          <cell r="EW5">
            <v>49698.079999999994</v>
          </cell>
          <cell r="EX5">
            <v>49698.079999999994</v>
          </cell>
          <cell r="EY5">
            <v>50565.85</v>
          </cell>
          <cell r="EZ5">
            <v>49698.079999999994</v>
          </cell>
          <cell r="FA5">
            <v>49795.399999999994</v>
          </cell>
          <cell r="FB5">
            <v>39236.18</v>
          </cell>
          <cell r="FC5">
            <v>26073.649999999998</v>
          </cell>
          <cell r="FD5">
            <v>42723.479999999996</v>
          </cell>
          <cell r="FE5">
            <v>25952</v>
          </cell>
          <cell r="FF5">
            <v>39739</v>
          </cell>
          <cell r="FG5">
            <v>36495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54500</v>
          </cell>
          <cell r="FO5">
            <v>0</v>
          </cell>
        </row>
        <row r="6">
          <cell r="A6" t="str">
            <v>000Z0011</v>
          </cell>
          <cell r="B6" t="str">
            <v>ANDALAN COMFORT CU 375</v>
          </cell>
          <cell r="C6" t="str">
            <v>ANDALAN COMFORT CU 375</v>
          </cell>
          <cell r="D6" t="str">
            <v>Ethical</v>
          </cell>
          <cell r="E6" t="str">
            <v>Pregna</v>
          </cell>
          <cell r="G6">
            <v>87</v>
          </cell>
          <cell r="H6">
            <v>60</v>
          </cell>
          <cell r="I6">
            <v>147</v>
          </cell>
          <cell r="J6">
            <v>45918</v>
          </cell>
          <cell r="K6">
            <v>9</v>
          </cell>
          <cell r="L6">
            <v>2025</v>
          </cell>
          <cell r="M6">
            <v>45978</v>
          </cell>
          <cell r="N6">
            <v>11</v>
          </cell>
          <cell r="O6">
            <v>2025</v>
          </cell>
          <cell r="P6">
            <v>0.9</v>
          </cell>
          <cell r="Q6" t="str">
            <v>C</v>
          </cell>
          <cell r="R6">
            <v>40.918319390920203</v>
          </cell>
          <cell r="S6">
            <v>6.91</v>
          </cell>
          <cell r="T6">
            <v>300</v>
          </cell>
          <cell r="U6">
            <v>350</v>
          </cell>
          <cell r="V6">
            <v>10000</v>
          </cell>
          <cell r="W6">
            <v>10000</v>
          </cell>
          <cell r="Y6">
            <v>0.9</v>
          </cell>
          <cell r="Z6">
            <v>0</v>
          </cell>
          <cell r="AA6">
            <v>455</v>
          </cell>
          <cell r="AB6">
            <v>614</v>
          </cell>
          <cell r="AC6">
            <v>120</v>
          </cell>
          <cell r="AD6">
            <v>256</v>
          </cell>
          <cell r="AE6">
            <v>260</v>
          </cell>
          <cell r="AF6">
            <v>240</v>
          </cell>
          <cell r="AG6">
            <v>222</v>
          </cell>
          <cell r="AH6">
            <v>116</v>
          </cell>
          <cell r="AI6">
            <v>7735</v>
          </cell>
          <cell r="AJ6">
            <v>7197</v>
          </cell>
          <cell r="AK6">
            <v>6724</v>
          </cell>
          <cell r="AL6">
            <v>6455</v>
          </cell>
          <cell r="AM6">
            <v>6132</v>
          </cell>
          <cell r="AN6">
            <v>5809</v>
          </cell>
          <cell r="AO6">
            <v>5486</v>
          </cell>
          <cell r="AP6">
            <v>5163</v>
          </cell>
          <cell r="AQ6">
            <v>4787</v>
          </cell>
          <cell r="AR6">
            <v>4572</v>
          </cell>
          <cell r="AS6">
            <v>4196</v>
          </cell>
          <cell r="AT6">
            <v>4006</v>
          </cell>
          <cell r="AU6">
            <v>3626</v>
          </cell>
          <cell r="AV6">
            <v>3326</v>
          </cell>
          <cell r="AW6">
            <v>3326</v>
          </cell>
          <cell r="AX6">
            <v>3326</v>
          </cell>
          <cell r="AY6">
            <v>3326</v>
          </cell>
          <cell r="AZ6">
            <v>3326</v>
          </cell>
          <cell r="BA6">
            <v>3326</v>
          </cell>
          <cell r="BC6">
            <v>0</v>
          </cell>
          <cell r="BD6">
            <v>485</v>
          </cell>
          <cell r="BE6">
            <v>200</v>
          </cell>
          <cell r="BF6">
            <v>250</v>
          </cell>
          <cell r="BG6">
            <v>323</v>
          </cell>
          <cell r="BH6">
            <v>215</v>
          </cell>
          <cell r="BI6">
            <v>376</v>
          </cell>
          <cell r="BJ6">
            <v>215</v>
          </cell>
          <cell r="BK6">
            <v>376</v>
          </cell>
          <cell r="BL6">
            <v>538</v>
          </cell>
          <cell r="BM6">
            <v>473</v>
          </cell>
          <cell r="BN6">
            <v>269</v>
          </cell>
          <cell r="BO6">
            <v>323</v>
          </cell>
          <cell r="BP6">
            <v>323</v>
          </cell>
          <cell r="BQ6">
            <v>323</v>
          </cell>
          <cell r="BR6">
            <v>323</v>
          </cell>
          <cell r="BS6">
            <v>376</v>
          </cell>
          <cell r="BT6">
            <v>215</v>
          </cell>
          <cell r="BU6">
            <v>376</v>
          </cell>
          <cell r="BV6">
            <v>190</v>
          </cell>
          <cell r="BW6">
            <v>380</v>
          </cell>
          <cell r="BX6">
            <v>300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94.427084880209847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I6">
            <v>7.92</v>
          </cell>
          <cell r="DJ6">
            <v>4862.88</v>
          </cell>
          <cell r="DK6">
            <v>950.4</v>
          </cell>
          <cell r="DL6">
            <v>2027.52</v>
          </cell>
          <cell r="DM6">
            <v>2059.1999999999998</v>
          </cell>
          <cell r="DN6">
            <v>1900.8</v>
          </cell>
          <cell r="DO6">
            <v>1758.24</v>
          </cell>
          <cell r="DP6">
            <v>918.72</v>
          </cell>
          <cell r="DQ6">
            <v>61261.2</v>
          </cell>
          <cell r="DR6">
            <v>57000.24</v>
          </cell>
          <cell r="DS6">
            <v>53254.080000000002</v>
          </cell>
          <cell r="DT6">
            <v>51123.6</v>
          </cell>
          <cell r="DU6">
            <v>48565.440000000002</v>
          </cell>
          <cell r="DV6">
            <v>46007.28</v>
          </cell>
          <cell r="DW6">
            <v>43449.120000000003</v>
          </cell>
          <cell r="DX6">
            <v>40890.959999999999</v>
          </cell>
          <cell r="DY6">
            <v>37913.040000000001</v>
          </cell>
          <cell r="DZ6">
            <v>36210.239999999998</v>
          </cell>
          <cell r="EA6">
            <v>33232.32</v>
          </cell>
          <cell r="EB6">
            <v>31727.52</v>
          </cell>
          <cell r="EC6">
            <v>28717.919999999998</v>
          </cell>
          <cell r="ED6">
            <v>26341.919999999998</v>
          </cell>
          <cell r="EE6">
            <v>26341.919999999998</v>
          </cell>
          <cell r="EF6">
            <v>26341.919999999998</v>
          </cell>
          <cell r="EG6">
            <v>26341.919999999998</v>
          </cell>
          <cell r="EH6">
            <v>26341.919999999998</v>
          </cell>
          <cell r="EI6">
            <v>26341.919999999998</v>
          </cell>
          <cell r="EL6">
            <v>0</v>
          </cell>
          <cell r="EM6">
            <v>3351.35</v>
          </cell>
          <cell r="EN6">
            <v>1584</v>
          </cell>
          <cell r="EO6">
            <v>1980</v>
          </cell>
          <cell r="EP6">
            <v>2558.16</v>
          </cell>
          <cell r="EQ6">
            <v>1702.8</v>
          </cell>
          <cell r="ER6">
            <v>2977.92</v>
          </cell>
          <cell r="ES6">
            <v>1702.8</v>
          </cell>
          <cell r="ET6">
            <v>2977.92</v>
          </cell>
          <cell r="EU6">
            <v>4260.96</v>
          </cell>
          <cell r="EV6">
            <v>3746.16</v>
          </cell>
          <cell r="EW6">
            <v>2130.48</v>
          </cell>
          <cell r="EX6">
            <v>2558.16</v>
          </cell>
          <cell r="EY6">
            <v>2558.16</v>
          </cell>
          <cell r="EZ6">
            <v>2558.16</v>
          </cell>
          <cell r="FA6">
            <v>2558.16</v>
          </cell>
          <cell r="FB6">
            <v>2977.92</v>
          </cell>
          <cell r="FC6">
            <v>1702.8</v>
          </cell>
          <cell r="FD6">
            <v>2977.92</v>
          </cell>
          <cell r="FE6">
            <v>1504.8</v>
          </cell>
          <cell r="FF6">
            <v>3009.6</v>
          </cell>
          <cell r="FG6">
            <v>2376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</row>
        <row r="7">
          <cell r="A7" t="str">
            <v>000Z0009</v>
          </cell>
          <cell r="B7" t="str">
            <v>ANDALAN COMFORT MINI CU 375</v>
          </cell>
          <cell r="C7" t="str">
            <v>ANDALAN COMFORT MINI CU 375</v>
          </cell>
          <cell r="D7" t="str">
            <v>Ethical</v>
          </cell>
          <cell r="E7" t="str">
            <v>Pregna</v>
          </cell>
          <cell r="G7">
            <v>87</v>
          </cell>
          <cell r="H7">
            <v>60</v>
          </cell>
          <cell r="I7">
            <v>147</v>
          </cell>
          <cell r="J7">
            <v>45918</v>
          </cell>
          <cell r="K7">
            <v>9</v>
          </cell>
          <cell r="L7">
            <v>2025</v>
          </cell>
          <cell r="M7">
            <v>45978</v>
          </cell>
          <cell r="N7">
            <v>11</v>
          </cell>
          <cell r="O7">
            <v>2025</v>
          </cell>
          <cell r="P7">
            <v>0.9</v>
          </cell>
          <cell r="Q7" t="str">
            <v>C</v>
          </cell>
          <cell r="R7">
            <v>41.35861451179457</v>
          </cell>
          <cell r="S7">
            <v>6.75</v>
          </cell>
          <cell r="T7">
            <v>400</v>
          </cell>
          <cell r="U7">
            <v>540</v>
          </cell>
          <cell r="V7">
            <v>10000</v>
          </cell>
          <cell r="W7">
            <v>10000</v>
          </cell>
          <cell r="Y7">
            <v>0.9</v>
          </cell>
          <cell r="Z7">
            <v>0</v>
          </cell>
          <cell r="AA7">
            <v>1026</v>
          </cell>
          <cell r="AB7">
            <v>802</v>
          </cell>
          <cell r="AC7">
            <v>788</v>
          </cell>
          <cell r="AD7">
            <v>325</v>
          </cell>
          <cell r="AE7">
            <v>464</v>
          </cell>
          <cell r="AF7">
            <v>805</v>
          </cell>
          <cell r="AG7">
            <v>473</v>
          </cell>
          <cell r="AH7">
            <v>460</v>
          </cell>
          <cell r="AI7">
            <v>5108</v>
          </cell>
          <cell r="AJ7">
            <v>4584</v>
          </cell>
          <cell r="AK7">
            <v>4060</v>
          </cell>
          <cell r="AL7">
            <v>3471</v>
          </cell>
          <cell r="AM7">
            <v>12829</v>
          </cell>
          <cell r="AN7">
            <v>12187</v>
          </cell>
          <cell r="AO7">
            <v>11545</v>
          </cell>
          <cell r="AP7">
            <v>10935</v>
          </cell>
          <cell r="AQ7">
            <v>10453</v>
          </cell>
          <cell r="AR7">
            <v>10143</v>
          </cell>
          <cell r="AS7">
            <v>9694</v>
          </cell>
          <cell r="AT7">
            <v>9582</v>
          </cell>
          <cell r="AU7">
            <v>9142</v>
          </cell>
          <cell r="AV7">
            <v>8712</v>
          </cell>
          <cell r="AW7">
            <v>8712</v>
          </cell>
          <cell r="AX7">
            <v>8712</v>
          </cell>
          <cell r="AY7">
            <v>8712</v>
          </cell>
          <cell r="AZ7">
            <v>8712</v>
          </cell>
          <cell r="BA7">
            <v>8712</v>
          </cell>
          <cell r="BC7">
            <v>0</v>
          </cell>
          <cell r="BD7">
            <v>1086</v>
          </cell>
          <cell r="BE7">
            <v>500</v>
          </cell>
          <cell r="BF7">
            <v>500</v>
          </cell>
          <cell r="BG7">
            <v>384</v>
          </cell>
          <cell r="BH7">
            <v>407</v>
          </cell>
          <cell r="BI7">
            <v>482</v>
          </cell>
          <cell r="BJ7">
            <v>310</v>
          </cell>
          <cell r="BK7">
            <v>449</v>
          </cell>
          <cell r="BL7">
            <v>524</v>
          </cell>
          <cell r="BM7">
            <v>524</v>
          </cell>
          <cell r="BN7">
            <v>589</v>
          </cell>
          <cell r="BO7">
            <v>642</v>
          </cell>
          <cell r="BP7">
            <v>642</v>
          </cell>
          <cell r="BQ7">
            <v>642</v>
          </cell>
          <cell r="BR7">
            <v>610</v>
          </cell>
          <cell r="BS7">
            <v>482</v>
          </cell>
          <cell r="BT7">
            <v>310</v>
          </cell>
          <cell r="BU7">
            <v>449</v>
          </cell>
          <cell r="BV7">
            <v>112</v>
          </cell>
          <cell r="BW7">
            <v>440</v>
          </cell>
          <cell r="BX7">
            <v>430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152.45272491278513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10000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I7">
            <v>7.74</v>
          </cell>
          <cell r="DJ7">
            <v>6207.4800000000005</v>
          </cell>
          <cell r="DK7">
            <v>6099.12</v>
          </cell>
          <cell r="DL7">
            <v>2515.5</v>
          </cell>
          <cell r="DM7">
            <v>3591.36</v>
          </cell>
          <cell r="DN7">
            <v>6230.7</v>
          </cell>
          <cell r="DO7">
            <v>3661.02</v>
          </cell>
          <cell r="DP7">
            <v>3560.4</v>
          </cell>
          <cell r="DQ7">
            <v>39535.919999999998</v>
          </cell>
          <cell r="DR7">
            <v>35480.160000000003</v>
          </cell>
          <cell r="DS7">
            <v>31424.400000000001</v>
          </cell>
          <cell r="DT7">
            <v>26865.54</v>
          </cell>
          <cell r="DU7">
            <v>99296.46</v>
          </cell>
          <cell r="DV7">
            <v>94327.38</v>
          </cell>
          <cell r="DW7">
            <v>89358.3</v>
          </cell>
          <cell r="DX7">
            <v>84636.900000000009</v>
          </cell>
          <cell r="DY7">
            <v>80906.22</v>
          </cell>
          <cell r="DZ7">
            <v>78506.820000000007</v>
          </cell>
          <cell r="EA7">
            <v>75031.56</v>
          </cell>
          <cell r="EB7">
            <v>74164.680000000008</v>
          </cell>
          <cell r="EC7">
            <v>70759.08</v>
          </cell>
          <cell r="ED7">
            <v>67430.880000000005</v>
          </cell>
          <cell r="EE7">
            <v>67430.880000000005</v>
          </cell>
          <cell r="EF7">
            <v>67430.880000000005</v>
          </cell>
          <cell r="EG7">
            <v>67430.880000000005</v>
          </cell>
          <cell r="EH7">
            <v>67430.880000000005</v>
          </cell>
          <cell r="EI7">
            <v>67430.880000000005</v>
          </cell>
          <cell r="EL7">
            <v>0</v>
          </cell>
          <cell r="EM7">
            <v>7330.5</v>
          </cell>
          <cell r="EN7">
            <v>3870</v>
          </cell>
          <cell r="EO7">
            <v>3870</v>
          </cell>
          <cell r="EP7">
            <v>2972.16</v>
          </cell>
          <cell r="EQ7">
            <v>3150.1800000000003</v>
          </cell>
          <cell r="ER7">
            <v>3730.6800000000003</v>
          </cell>
          <cell r="ES7">
            <v>2399.4</v>
          </cell>
          <cell r="ET7">
            <v>3475.26</v>
          </cell>
          <cell r="EU7">
            <v>4055.76</v>
          </cell>
          <cell r="EV7">
            <v>4055.76</v>
          </cell>
          <cell r="EW7">
            <v>4558.8599999999997</v>
          </cell>
          <cell r="EX7">
            <v>4969.08</v>
          </cell>
          <cell r="EY7">
            <v>4969.08</v>
          </cell>
          <cell r="EZ7">
            <v>4969.08</v>
          </cell>
          <cell r="FA7">
            <v>4721.4000000000005</v>
          </cell>
          <cell r="FB7">
            <v>3730.6800000000003</v>
          </cell>
          <cell r="FC7">
            <v>2399.4</v>
          </cell>
          <cell r="FD7">
            <v>3475.26</v>
          </cell>
          <cell r="FE7">
            <v>866.88</v>
          </cell>
          <cell r="FF7">
            <v>3405.6</v>
          </cell>
          <cell r="FG7">
            <v>3328.2000000000003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10000</v>
          </cell>
          <cell r="FO7">
            <v>0</v>
          </cell>
        </row>
        <row r="8">
          <cell r="A8" t="str">
            <v>000Z0018</v>
          </cell>
          <cell r="B8" t="str">
            <v>ANDALAN COPPERFLEX Y CU 380</v>
          </cell>
          <cell r="C8" t="str">
            <v>ANDALAN COPPERFLEX Y CU 380</v>
          </cell>
          <cell r="D8" t="str">
            <v>Ethical</v>
          </cell>
          <cell r="E8" t="str">
            <v>Pregna</v>
          </cell>
          <cell r="G8">
            <v>87</v>
          </cell>
          <cell r="H8">
            <v>60</v>
          </cell>
          <cell r="I8">
            <v>147</v>
          </cell>
          <cell r="J8">
            <v>45918</v>
          </cell>
          <cell r="K8">
            <v>9</v>
          </cell>
          <cell r="L8">
            <v>2025</v>
          </cell>
          <cell r="M8">
            <v>45978</v>
          </cell>
          <cell r="N8">
            <v>11</v>
          </cell>
          <cell r="O8">
            <v>2025</v>
          </cell>
          <cell r="P8">
            <v>0.9</v>
          </cell>
          <cell r="Q8" t="str">
            <v>C</v>
          </cell>
          <cell r="R8">
            <v>27.599485144266868</v>
          </cell>
          <cell r="S8">
            <v>9.5299999999999994</v>
          </cell>
          <cell r="T8">
            <v>600</v>
          </cell>
          <cell r="U8">
            <v>600</v>
          </cell>
          <cell r="V8">
            <v>10000</v>
          </cell>
          <cell r="W8">
            <v>10000</v>
          </cell>
          <cell r="Y8">
            <v>1.48</v>
          </cell>
          <cell r="Z8">
            <v>24</v>
          </cell>
          <cell r="AA8">
            <v>45</v>
          </cell>
          <cell r="AB8">
            <v>22</v>
          </cell>
          <cell r="AC8">
            <v>41</v>
          </cell>
          <cell r="AD8">
            <v>0</v>
          </cell>
          <cell r="AE8">
            <v>200</v>
          </cell>
          <cell r="AF8">
            <v>512</v>
          </cell>
          <cell r="AG8">
            <v>325</v>
          </cell>
          <cell r="AH8">
            <v>0</v>
          </cell>
          <cell r="AI8">
            <v>8844</v>
          </cell>
          <cell r="AJ8">
            <v>8694</v>
          </cell>
          <cell r="AK8">
            <v>8544</v>
          </cell>
          <cell r="AL8">
            <v>8309</v>
          </cell>
          <cell r="AM8">
            <v>7774</v>
          </cell>
          <cell r="AN8">
            <v>7239</v>
          </cell>
          <cell r="AO8">
            <v>6705</v>
          </cell>
          <cell r="AP8">
            <v>6171</v>
          </cell>
          <cell r="AQ8">
            <v>6064</v>
          </cell>
          <cell r="AR8">
            <v>5936</v>
          </cell>
          <cell r="AS8">
            <v>5656</v>
          </cell>
          <cell r="AT8">
            <v>5536</v>
          </cell>
          <cell r="AU8">
            <v>5486</v>
          </cell>
          <cell r="AV8">
            <v>5436</v>
          </cell>
          <cell r="AW8">
            <v>5436</v>
          </cell>
          <cell r="AX8">
            <v>5436</v>
          </cell>
          <cell r="AY8">
            <v>5436</v>
          </cell>
          <cell r="AZ8">
            <v>5436</v>
          </cell>
          <cell r="BA8">
            <v>5436</v>
          </cell>
          <cell r="BC8">
            <v>24</v>
          </cell>
          <cell r="BD8">
            <v>45</v>
          </cell>
          <cell r="BE8">
            <v>40</v>
          </cell>
          <cell r="BF8">
            <v>40</v>
          </cell>
          <cell r="BG8">
            <v>86</v>
          </cell>
          <cell r="BH8">
            <v>86</v>
          </cell>
          <cell r="BI8">
            <v>107</v>
          </cell>
          <cell r="BJ8">
            <v>128</v>
          </cell>
          <cell r="BK8">
            <v>150</v>
          </cell>
          <cell r="BL8">
            <v>150</v>
          </cell>
          <cell r="BM8">
            <v>150</v>
          </cell>
          <cell r="BN8">
            <v>235</v>
          </cell>
          <cell r="BO8">
            <v>535</v>
          </cell>
          <cell r="BP8">
            <v>535</v>
          </cell>
          <cell r="BQ8">
            <v>534</v>
          </cell>
          <cell r="BR8">
            <v>534</v>
          </cell>
          <cell r="BS8">
            <v>107</v>
          </cell>
          <cell r="BT8">
            <v>128</v>
          </cell>
          <cell r="BU8">
            <v>280</v>
          </cell>
          <cell r="BV8">
            <v>120</v>
          </cell>
          <cell r="BW8">
            <v>50</v>
          </cell>
          <cell r="BX8">
            <v>50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198.99742299581257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I8">
            <v>12.12</v>
          </cell>
          <cell r="DJ8">
            <v>266.64</v>
          </cell>
          <cell r="DK8">
            <v>496.91999999999996</v>
          </cell>
          <cell r="DL8">
            <v>0</v>
          </cell>
          <cell r="DM8">
            <v>2424</v>
          </cell>
          <cell r="DN8">
            <v>6205.44</v>
          </cell>
          <cell r="DO8">
            <v>3938.9999999999995</v>
          </cell>
          <cell r="DP8">
            <v>0</v>
          </cell>
          <cell r="DQ8">
            <v>107189.28</v>
          </cell>
          <cell r="DR8">
            <v>105371.28</v>
          </cell>
          <cell r="DS8">
            <v>103553.28</v>
          </cell>
          <cell r="DT8">
            <v>100705.07999999999</v>
          </cell>
          <cell r="DU8">
            <v>94220.87999999999</v>
          </cell>
          <cell r="DV8">
            <v>87736.68</v>
          </cell>
          <cell r="DW8">
            <v>81264.599999999991</v>
          </cell>
          <cell r="DX8">
            <v>74792.51999999999</v>
          </cell>
          <cell r="DY8">
            <v>73495.679999999993</v>
          </cell>
          <cell r="DZ8">
            <v>71944.319999999992</v>
          </cell>
          <cell r="EA8">
            <v>68550.720000000001</v>
          </cell>
          <cell r="EB8">
            <v>67096.319999999992</v>
          </cell>
          <cell r="EC8">
            <v>66490.319999999992</v>
          </cell>
          <cell r="ED8">
            <v>65884.319999999992</v>
          </cell>
          <cell r="EE8">
            <v>65884.319999999992</v>
          </cell>
          <cell r="EF8">
            <v>65884.319999999992</v>
          </cell>
          <cell r="EG8">
            <v>65884.319999999992</v>
          </cell>
          <cell r="EH8">
            <v>65884.319999999992</v>
          </cell>
          <cell r="EI8">
            <v>65884.319999999992</v>
          </cell>
          <cell r="EL8">
            <v>228.71999999999997</v>
          </cell>
          <cell r="EM8">
            <v>428.84999999999997</v>
          </cell>
          <cell r="EN8">
            <v>484.79999999999995</v>
          </cell>
          <cell r="EO8">
            <v>484.79999999999995</v>
          </cell>
          <cell r="EP8">
            <v>1042.32</v>
          </cell>
          <cell r="EQ8">
            <v>1042.32</v>
          </cell>
          <cell r="ER8">
            <v>1296.8399999999999</v>
          </cell>
          <cell r="ES8">
            <v>1551.36</v>
          </cell>
          <cell r="ET8">
            <v>1817.9999999999998</v>
          </cell>
          <cell r="EU8">
            <v>1817.9999999999998</v>
          </cell>
          <cell r="EV8">
            <v>1817.9999999999998</v>
          </cell>
          <cell r="EW8">
            <v>2848.2</v>
          </cell>
          <cell r="EX8">
            <v>6484.2</v>
          </cell>
          <cell r="EY8">
            <v>6484.2</v>
          </cell>
          <cell r="EZ8">
            <v>6472.08</v>
          </cell>
          <cell r="FA8">
            <v>6472.08</v>
          </cell>
          <cell r="FB8">
            <v>1296.8399999999999</v>
          </cell>
          <cell r="FC8">
            <v>1551.36</v>
          </cell>
          <cell r="FD8">
            <v>3393.6</v>
          </cell>
          <cell r="FE8">
            <v>1454.3999999999999</v>
          </cell>
          <cell r="FF8">
            <v>606</v>
          </cell>
          <cell r="FG8">
            <v>606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</row>
        <row r="9">
          <cell r="A9" t="str">
            <v>000Z0017</v>
          </cell>
          <cell r="B9" t="str">
            <v>ANDALAN COPPERFLEX Y MINI CU 380</v>
          </cell>
          <cell r="C9" t="str">
            <v>ANDALAN COPPERFLEX Y MINI CU 380</v>
          </cell>
          <cell r="D9" t="str">
            <v>Ethical</v>
          </cell>
          <cell r="E9" t="str">
            <v>Pregna</v>
          </cell>
          <cell r="G9">
            <v>87</v>
          </cell>
          <cell r="H9">
            <v>60</v>
          </cell>
          <cell r="I9">
            <v>147</v>
          </cell>
          <cell r="J9">
            <v>45918</v>
          </cell>
          <cell r="K9">
            <v>9</v>
          </cell>
          <cell r="L9">
            <v>2025</v>
          </cell>
          <cell r="M9">
            <v>45978</v>
          </cell>
          <cell r="N9">
            <v>11</v>
          </cell>
          <cell r="O9">
            <v>2025</v>
          </cell>
          <cell r="P9">
            <v>0.9</v>
          </cell>
          <cell r="Q9" t="str">
            <v>C</v>
          </cell>
          <cell r="R9">
            <v>36.942663862778382</v>
          </cell>
          <cell r="S9">
            <v>9.5299999999999994</v>
          </cell>
          <cell r="T9">
            <v>400</v>
          </cell>
          <cell r="U9">
            <v>400</v>
          </cell>
          <cell r="V9">
            <v>10000</v>
          </cell>
          <cell r="W9">
            <v>10000</v>
          </cell>
          <cell r="Y9">
            <v>1.48</v>
          </cell>
          <cell r="Z9">
            <v>3</v>
          </cell>
          <cell r="AA9">
            <v>85</v>
          </cell>
          <cell r="AB9">
            <v>106</v>
          </cell>
          <cell r="AC9">
            <v>37</v>
          </cell>
          <cell r="AD9">
            <v>53</v>
          </cell>
          <cell r="AE9">
            <v>177</v>
          </cell>
          <cell r="AF9">
            <v>287</v>
          </cell>
          <cell r="AG9">
            <v>200</v>
          </cell>
          <cell r="AH9">
            <v>100</v>
          </cell>
          <cell r="AI9">
            <v>8945</v>
          </cell>
          <cell r="AJ9">
            <v>8881</v>
          </cell>
          <cell r="AK9">
            <v>8731</v>
          </cell>
          <cell r="AL9">
            <v>8517</v>
          </cell>
          <cell r="AM9">
            <v>8196</v>
          </cell>
          <cell r="AN9">
            <v>7875</v>
          </cell>
          <cell r="AO9">
            <v>7554</v>
          </cell>
          <cell r="AP9">
            <v>7126</v>
          </cell>
          <cell r="AQ9">
            <v>7062</v>
          </cell>
          <cell r="AR9">
            <v>6998</v>
          </cell>
          <cell r="AS9">
            <v>6818</v>
          </cell>
          <cell r="AT9">
            <v>6788</v>
          </cell>
          <cell r="AU9">
            <v>6738</v>
          </cell>
          <cell r="AV9">
            <v>6658</v>
          </cell>
          <cell r="AW9">
            <v>6658</v>
          </cell>
          <cell r="AX9">
            <v>6658</v>
          </cell>
          <cell r="AY9">
            <v>6658</v>
          </cell>
          <cell r="AZ9">
            <v>6658</v>
          </cell>
          <cell r="BA9">
            <v>6658</v>
          </cell>
          <cell r="BC9">
            <v>3</v>
          </cell>
          <cell r="BD9">
            <v>105</v>
          </cell>
          <cell r="BE9">
            <v>40</v>
          </cell>
          <cell r="BF9">
            <v>40</v>
          </cell>
          <cell r="BG9">
            <v>21</v>
          </cell>
          <cell r="BH9">
            <v>43</v>
          </cell>
          <cell r="BI9">
            <v>64</v>
          </cell>
          <cell r="BJ9">
            <v>64</v>
          </cell>
          <cell r="BK9">
            <v>64</v>
          </cell>
          <cell r="BL9">
            <v>64</v>
          </cell>
          <cell r="BM9">
            <v>150</v>
          </cell>
          <cell r="BN9">
            <v>214</v>
          </cell>
          <cell r="BO9">
            <v>321</v>
          </cell>
          <cell r="BP9">
            <v>321</v>
          </cell>
          <cell r="BQ9">
            <v>321</v>
          </cell>
          <cell r="BR9">
            <v>428</v>
          </cell>
          <cell r="BS9">
            <v>64</v>
          </cell>
          <cell r="BT9">
            <v>64</v>
          </cell>
          <cell r="BU9">
            <v>180</v>
          </cell>
          <cell r="BV9">
            <v>30</v>
          </cell>
          <cell r="BW9">
            <v>50</v>
          </cell>
          <cell r="BX9">
            <v>80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133.15245744287606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I9">
            <v>12.16</v>
          </cell>
          <cell r="DJ9">
            <v>1288.96</v>
          </cell>
          <cell r="DK9">
            <v>449.92</v>
          </cell>
          <cell r="DL9">
            <v>644.48</v>
          </cell>
          <cell r="DM9">
            <v>2152.3200000000002</v>
          </cell>
          <cell r="DN9">
            <v>3489.92</v>
          </cell>
          <cell r="DO9">
            <v>2432</v>
          </cell>
          <cell r="DP9">
            <v>1216</v>
          </cell>
          <cell r="DQ9">
            <v>108771.2</v>
          </cell>
          <cell r="DR9">
            <v>107992.96000000001</v>
          </cell>
          <cell r="DS9">
            <v>106168.96000000001</v>
          </cell>
          <cell r="DT9">
            <v>103566.72</v>
          </cell>
          <cell r="DU9">
            <v>99663.360000000001</v>
          </cell>
          <cell r="DV9">
            <v>95760</v>
          </cell>
          <cell r="DW9">
            <v>91856.639999999999</v>
          </cell>
          <cell r="DX9">
            <v>86652.160000000003</v>
          </cell>
          <cell r="DY9">
            <v>85873.919999999998</v>
          </cell>
          <cell r="DZ9">
            <v>85095.680000000008</v>
          </cell>
          <cell r="EA9">
            <v>82906.880000000005</v>
          </cell>
          <cell r="EB9">
            <v>82542.080000000002</v>
          </cell>
          <cell r="EC9">
            <v>81934.080000000002</v>
          </cell>
          <cell r="ED9">
            <v>80961.279999999999</v>
          </cell>
          <cell r="EE9">
            <v>80961.279999999999</v>
          </cell>
          <cell r="EF9">
            <v>80961.279999999999</v>
          </cell>
          <cell r="EG9">
            <v>80961.279999999999</v>
          </cell>
          <cell r="EH9">
            <v>80961.279999999999</v>
          </cell>
          <cell r="EI9">
            <v>80961.279999999999</v>
          </cell>
          <cell r="EL9">
            <v>28.589999999999996</v>
          </cell>
          <cell r="EM9">
            <v>1000.65</v>
          </cell>
          <cell r="EN9">
            <v>486.4</v>
          </cell>
          <cell r="EO9">
            <v>486.4</v>
          </cell>
          <cell r="EP9">
            <v>255.36</v>
          </cell>
          <cell r="EQ9">
            <v>522.88</v>
          </cell>
          <cell r="ER9">
            <v>778.24</v>
          </cell>
          <cell r="ES9">
            <v>778.24</v>
          </cell>
          <cell r="ET9">
            <v>778.24</v>
          </cell>
          <cell r="EU9">
            <v>778.24</v>
          </cell>
          <cell r="EV9">
            <v>1824</v>
          </cell>
          <cell r="EW9">
            <v>2602.2400000000002</v>
          </cell>
          <cell r="EX9">
            <v>3903.36</v>
          </cell>
          <cell r="EY9">
            <v>3903.36</v>
          </cell>
          <cell r="EZ9">
            <v>3903.36</v>
          </cell>
          <cell r="FA9">
            <v>5204.4800000000005</v>
          </cell>
          <cell r="FB9">
            <v>778.24</v>
          </cell>
          <cell r="FC9">
            <v>778.24</v>
          </cell>
          <cell r="FD9">
            <v>2188.8000000000002</v>
          </cell>
          <cell r="FE9">
            <v>364.8</v>
          </cell>
          <cell r="FF9">
            <v>608</v>
          </cell>
          <cell r="FG9">
            <v>972.8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</row>
        <row r="10">
          <cell r="A10" t="str">
            <v>000Z0035</v>
          </cell>
          <cell r="B10" t="str">
            <v>HISTEROMETRO ANDALAN</v>
          </cell>
          <cell r="C10" t="str">
            <v>ANDALAN HYSTEROMETER</v>
          </cell>
          <cell r="D10" t="str">
            <v>Ethical</v>
          </cell>
          <cell r="E10" t="str">
            <v>Pregna</v>
          </cell>
          <cell r="F10" t="str">
            <v>Bonificacao</v>
          </cell>
          <cell r="G10">
            <v>87</v>
          </cell>
          <cell r="H10">
            <v>60</v>
          </cell>
          <cell r="I10">
            <v>147</v>
          </cell>
          <cell r="J10">
            <v>45918</v>
          </cell>
          <cell r="K10">
            <v>9</v>
          </cell>
          <cell r="L10">
            <v>2025</v>
          </cell>
          <cell r="M10">
            <v>45978</v>
          </cell>
          <cell r="N10">
            <v>11</v>
          </cell>
          <cell r="O10">
            <v>2025</v>
          </cell>
          <cell r="P10">
            <v>0.9</v>
          </cell>
          <cell r="Q10" t="str">
            <v>C</v>
          </cell>
          <cell r="R10">
            <v>15.114254234266108</v>
          </cell>
          <cell r="S10">
            <v>2.91</v>
          </cell>
          <cell r="T10">
            <v>6500</v>
          </cell>
          <cell r="U10">
            <v>6770</v>
          </cell>
          <cell r="V10">
            <v>10000</v>
          </cell>
          <cell r="W10">
            <v>10000</v>
          </cell>
          <cell r="Y10">
            <v>0.34</v>
          </cell>
          <cell r="Z10">
            <v>440</v>
          </cell>
          <cell r="AA10">
            <v>3282</v>
          </cell>
          <cell r="AB10">
            <v>7926</v>
          </cell>
          <cell r="AC10">
            <v>1915</v>
          </cell>
          <cell r="AD10">
            <v>2985</v>
          </cell>
          <cell r="AE10">
            <v>3710</v>
          </cell>
          <cell r="AF10">
            <v>5836</v>
          </cell>
          <cell r="AG10">
            <v>1028</v>
          </cell>
          <cell r="AH10">
            <v>1141</v>
          </cell>
          <cell r="AI10">
            <v>47780</v>
          </cell>
          <cell r="AJ10">
            <v>59780</v>
          </cell>
          <cell r="AK10">
            <v>52580</v>
          </cell>
          <cell r="AL10">
            <v>45380</v>
          </cell>
          <cell r="AM10">
            <v>38180</v>
          </cell>
          <cell r="AN10">
            <v>30980</v>
          </cell>
          <cell r="AO10">
            <v>33380</v>
          </cell>
          <cell r="AP10">
            <v>25780</v>
          </cell>
          <cell r="AQ10">
            <v>22780</v>
          </cell>
          <cell r="AR10">
            <v>19780</v>
          </cell>
          <cell r="AS10">
            <v>16780</v>
          </cell>
          <cell r="AT10">
            <v>13780</v>
          </cell>
          <cell r="AU10">
            <v>10780</v>
          </cell>
          <cell r="AV10">
            <v>7780</v>
          </cell>
          <cell r="AW10">
            <v>7780</v>
          </cell>
          <cell r="AX10">
            <v>7780</v>
          </cell>
          <cell r="AY10">
            <v>7780</v>
          </cell>
          <cell r="AZ10">
            <v>7780</v>
          </cell>
          <cell r="BA10">
            <v>7780</v>
          </cell>
          <cell r="BC10">
            <v>440</v>
          </cell>
          <cell r="BD10">
            <v>3194</v>
          </cell>
          <cell r="BE10">
            <v>7600</v>
          </cell>
          <cell r="BF10">
            <v>7600</v>
          </cell>
          <cell r="BG10">
            <v>2400</v>
          </cell>
          <cell r="BH10">
            <v>2800</v>
          </cell>
          <cell r="BI10">
            <v>6000</v>
          </cell>
          <cell r="BJ10">
            <v>1600</v>
          </cell>
          <cell r="BK10">
            <v>8072</v>
          </cell>
          <cell r="BL10">
            <v>8000</v>
          </cell>
          <cell r="BM10">
            <v>7200</v>
          </cell>
          <cell r="BN10">
            <v>7200</v>
          </cell>
          <cell r="BO10">
            <v>7200</v>
          </cell>
          <cell r="BP10">
            <v>7200</v>
          </cell>
          <cell r="BQ10">
            <v>7600</v>
          </cell>
          <cell r="BR10">
            <v>7600</v>
          </cell>
          <cell r="BS10">
            <v>3000</v>
          </cell>
          <cell r="BT10">
            <v>3000</v>
          </cell>
          <cell r="BU10">
            <v>3000</v>
          </cell>
          <cell r="BV10">
            <v>3000</v>
          </cell>
          <cell r="BW10">
            <v>3000</v>
          </cell>
          <cell r="BX10">
            <v>3000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2308.6237436497941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20000</v>
          </cell>
          <cell r="CP10">
            <v>0</v>
          </cell>
          <cell r="CQ10">
            <v>0</v>
          </cell>
          <cell r="CS10">
            <v>0</v>
          </cell>
          <cell r="CT10">
            <v>10000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I10">
            <v>3.13</v>
          </cell>
          <cell r="DJ10">
            <v>24808.379999999997</v>
          </cell>
          <cell r="DK10">
            <v>5993.95</v>
          </cell>
          <cell r="DL10">
            <v>9343.0499999999993</v>
          </cell>
          <cell r="DM10">
            <v>11612.3</v>
          </cell>
          <cell r="DN10">
            <v>18266.68</v>
          </cell>
          <cell r="DO10">
            <v>3217.64</v>
          </cell>
          <cell r="DP10">
            <v>3571.33</v>
          </cell>
          <cell r="DQ10">
            <v>149551.4</v>
          </cell>
          <cell r="DR10">
            <v>187111.4</v>
          </cell>
          <cell r="DS10">
            <v>164575.4</v>
          </cell>
          <cell r="DT10">
            <v>142039.4</v>
          </cell>
          <cell r="DU10">
            <v>119503.4</v>
          </cell>
          <cell r="DV10">
            <v>96967.4</v>
          </cell>
          <cell r="DW10">
            <v>104479.4</v>
          </cell>
          <cell r="DX10">
            <v>80691.399999999994</v>
          </cell>
          <cell r="DY10">
            <v>71301.399999999994</v>
          </cell>
          <cell r="DZ10">
            <v>61911.4</v>
          </cell>
          <cell r="EA10">
            <v>52521.4</v>
          </cell>
          <cell r="EB10">
            <v>43131.4</v>
          </cell>
          <cell r="EC10">
            <v>33741.4</v>
          </cell>
          <cell r="ED10">
            <v>24351.399999999998</v>
          </cell>
          <cell r="EE10">
            <v>24351.399999999998</v>
          </cell>
          <cell r="EF10">
            <v>24351.399999999998</v>
          </cell>
          <cell r="EG10">
            <v>24351.399999999998</v>
          </cell>
          <cell r="EH10">
            <v>24351.399999999998</v>
          </cell>
          <cell r="EI10">
            <v>24351.399999999998</v>
          </cell>
          <cell r="EL10">
            <v>1280.4000000000001</v>
          </cell>
          <cell r="EM10">
            <v>9294.5400000000009</v>
          </cell>
          <cell r="EN10">
            <v>23788</v>
          </cell>
          <cell r="EO10">
            <v>23788</v>
          </cell>
          <cell r="EP10">
            <v>7512</v>
          </cell>
          <cell r="EQ10">
            <v>8764</v>
          </cell>
          <cell r="ER10">
            <v>18780</v>
          </cell>
          <cell r="ES10">
            <v>5008</v>
          </cell>
          <cell r="ET10">
            <v>25265.360000000001</v>
          </cell>
          <cell r="EU10">
            <v>25040</v>
          </cell>
          <cell r="EV10">
            <v>22536</v>
          </cell>
          <cell r="EW10">
            <v>22536</v>
          </cell>
          <cell r="EX10">
            <v>22536</v>
          </cell>
          <cell r="EY10">
            <v>22536</v>
          </cell>
          <cell r="EZ10">
            <v>23788</v>
          </cell>
          <cell r="FA10">
            <v>23788</v>
          </cell>
          <cell r="FB10">
            <v>9390</v>
          </cell>
          <cell r="FC10">
            <v>9390</v>
          </cell>
          <cell r="FD10">
            <v>9390</v>
          </cell>
          <cell r="FE10">
            <v>9390</v>
          </cell>
          <cell r="FF10">
            <v>9390</v>
          </cell>
          <cell r="FG10">
            <v>9390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30000</v>
          </cell>
          <cell r="FO10">
            <v>0</v>
          </cell>
        </row>
        <row r="11">
          <cell r="A11" t="str">
            <v>000Z0012</v>
          </cell>
          <cell r="B11" t="str">
            <v>ANDALAN SILVERFLEX CU 380 AG</v>
          </cell>
          <cell r="C11" t="str">
            <v>ANDALAN SILVERFLEX CU 380 AG</v>
          </cell>
          <cell r="D11" t="str">
            <v>Ethical</v>
          </cell>
          <cell r="E11" t="str">
            <v>Pregna</v>
          </cell>
          <cell r="G11">
            <v>87</v>
          </cell>
          <cell r="H11">
            <v>60</v>
          </cell>
          <cell r="I11">
            <v>147</v>
          </cell>
          <cell r="J11">
            <v>45918</v>
          </cell>
          <cell r="K11">
            <v>9</v>
          </cell>
          <cell r="L11">
            <v>2025</v>
          </cell>
          <cell r="M11">
            <v>45978</v>
          </cell>
          <cell r="N11">
            <v>11</v>
          </cell>
          <cell r="O11">
            <v>2025</v>
          </cell>
          <cell r="P11">
            <v>0.98</v>
          </cell>
          <cell r="Q11" t="str">
            <v>A</v>
          </cell>
          <cell r="R11">
            <v>4.9944445755551889</v>
          </cell>
          <cell r="S11">
            <v>33.32</v>
          </cell>
          <cell r="T11">
            <v>2700</v>
          </cell>
          <cell r="U11">
            <v>7700</v>
          </cell>
          <cell r="V11">
            <v>5000</v>
          </cell>
          <cell r="W11">
            <v>10000</v>
          </cell>
          <cell r="Y11">
            <v>4.74</v>
          </cell>
          <cell r="Z11">
            <v>4132</v>
          </cell>
          <cell r="AA11">
            <v>494</v>
          </cell>
          <cell r="AB11">
            <v>3129</v>
          </cell>
          <cell r="AC11">
            <v>2331</v>
          </cell>
          <cell r="AD11">
            <v>1348</v>
          </cell>
          <cell r="AE11">
            <v>1754</v>
          </cell>
          <cell r="AF11">
            <v>2894</v>
          </cell>
          <cell r="AG11">
            <v>1719</v>
          </cell>
          <cell r="AH11">
            <v>1591</v>
          </cell>
          <cell r="AI11">
            <v>10482</v>
          </cell>
          <cell r="AJ11">
            <v>22420</v>
          </cell>
          <cell r="AK11">
            <v>19982</v>
          </cell>
          <cell r="AL11">
            <v>17565</v>
          </cell>
          <cell r="AM11">
            <v>15021</v>
          </cell>
          <cell r="AN11">
            <v>12795</v>
          </cell>
          <cell r="AO11">
            <v>20463</v>
          </cell>
          <cell r="AP11">
            <v>17707</v>
          </cell>
          <cell r="AQ11">
            <v>14421</v>
          </cell>
          <cell r="AR11">
            <v>12831</v>
          </cell>
          <cell r="AS11">
            <v>9704</v>
          </cell>
          <cell r="AT11">
            <v>8492</v>
          </cell>
          <cell r="AU11">
            <v>5362</v>
          </cell>
          <cell r="AV11">
            <v>2452</v>
          </cell>
          <cell r="AW11">
            <v>2452</v>
          </cell>
          <cell r="AX11">
            <v>2452</v>
          </cell>
          <cell r="AY11">
            <v>2452</v>
          </cell>
          <cell r="AZ11">
            <v>2452</v>
          </cell>
          <cell r="BA11">
            <v>2452</v>
          </cell>
          <cell r="BC11">
            <v>4129</v>
          </cell>
          <cell r="BD11">
            <v>425</v>
          </cell>
          <cell r="BE11">
            <v>3500</v>
          </cell>
          <cell r="BF11">
            <v>3500</v>
          </cell>
          <cell r="BG11">
            <v>1794</v>
          </cell>
          <cell r="BH11">
            <v>2227</v>
          </cell>
          <cell r="BI11">
            <v>3286</v>
          </cell>
          <cell r="BJ11">
            <v>1590</v>
          </cell>
          <cell r="BK11">
            <v>3127</v>
          </cell>
          <cell r="BL11">
            <v>2862</v>
          </cell>
          <cell r="BM11">
            <v>2438</v>
          </cell>
          <cell r="BN11">
            <v>2417</v>
          </cell>
          <cell r="BO11">
            <v>2544</v>
          </cell>
          <cell r="BP11">
            <v>2226</v>
          </cell>
          <cell r="BQ11">
            <v>2332</v>
          </cell>
          <cell r="BR11">
            <v>2756</v>
          </cell>
          <cell r="BS11">
            <v>3286</v>
          </cell>
          <cell r="BT11">
            <v>1590</v>
          </cell>
          <cell r="BU11">
            <v>3127</v>
          </cell>
          <cell r="BV11">
            <v>1212</v>
          </cell>
          <cell r="BW11">
            <v>3130</v>
          </cell>
          <cell r="BX11">
            <v>2910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603.26480344615061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14800</v>
          </cell>
          <cell r="CP11">
            <v>0</v>
          </cell>
          <cell r="CQ11">
            <v>0</v>
          </cell>
          <cell r="CS11">
            <v>0</v>
          </cell>
          <cell r="CT11">
            <v>10000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I11">
            <v>40.35</v>
          </cell>
          <cell r="DJ11">
            <v>126255.15000000001</v>
          </cell>
          <cell r="DK11">
            <v>94055.85</v>
          </cell>
          <cell r="DL11">
            <v>54391.8</v>
          </cell>
          <cell r="DM11">
            <v>70773.900000000009</v>
          </cell>
          <cell r="DN11">
            <v>116772.90000000001</v>
          </cell>
          <cell r="DO11">
            <v>69361.650000000009</v>
          </cell>
          <cell r="DP11">
            <v>64196.850000000006</v>
          </cell>
          <cell r="DQ11">
            <v>422948.7</v>
          </cell>
          <cell r="DR11">
            <v>904647</v>
          </cell>
          <cell r="DS11">
            <v>806273.70000000007</v>
          </cell>
          <cell r="DT11">
            <v>708747.75</v>
          </cell>
          <cell r="DU11">
            <v>606097.35</v>
          </cell>
          <cell r="DV11">
            <v>516278.25</v>
          </cell>
          <cell r="DW11">
            <v>825682.05</v>
          </cell>
          <cell r="DX11">
            <v>714477.45000000007</v>
          </cell>
          <cell r="DY11">
            <v>581887.35</v>
          </cell>
          <cell r="DZ11">
            <v>517730.85000000003</v>
          </cell>
          <cell r="EA11">
            <v>391556.4</v>
          </cell>
          <cell r="EB11">
            <v>342652.2</v>
          </cell>
          <cell r="EC11">
            <v>216356.7</v>
          </cell>
          <cell r="ED11">
            <v>98938.2</v>
          </cell>
          <cell r="EE11">
            <v>98938.2</v>
          </cell>
          <cell r="EF11">
            <v>98938.2</v>
          </cell>
          <cell r="EG11">
            <v>98938.2</v>
          </cell>
          <cell r="EH11">
            <v>98938.2</v>
          </cell>
          <cell r="EI11">
            <v>98938.2</v>
          </cell>
          <cell r="EL11">
            <v>137578.28</v>
          </cell>
          <cell r="EM11">
            <v>14161</v>
          </cell>
          <cell r="EN11">
            <v>141225</v>
          </cell>
          <cell r="EO11">
            <v>141225</v>
          </cell>
          <cell r="EP11">
            <v>72387.900000000009</v>
          </cell>
          <cell r="EQ11">
            <v>89859.45</v>
          </cell>
          <cell r="ER11">
            <v>132590.1</v>
          </cell>
          <cell r="ES11">
            <v>64156.5</v>
          </cell>
          <cell r="ET11">
            <v>126174.45000000001</v>
          </cell>
          <cell r="EU11">
            <v>115481.7</v>
          </cell>
          <cell r="EV11">
            <v>98373.3</v>
          </cell>
          <cell r="EW11">
            <v>97525.95</v>
          </cell>
          <cell r="EX11">
            <v>102650.40000000001</v>
          </cell>
          <cell r="EY11">
            <v>89819.1</v>
          </cell>
          <cell r="EZ11">
            <v>94096.2</v>
          </cell>
          <cell r="FA11">
            <v>111204.6</v>
          </cell>
          <cell r="FB11">
            <v>132590.1</v>
          </cell>
          <cell r="FC11">
            <v>64156.5</v>
          </cell>
          <cell r="FD11">
            <v>126174.45000000001</v>
          </cell>
          <cell r="FE11">
            <v>48904.200000000004</v>
          </cell>
          <cell r="FF11">
            <v>126295.5</v>
          </cell>
          <cell r="FG11">
            <v>117418.5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24800</v>
          </cell>
          <cell r="FO11">
            <v>0</v>
          </cell>
        </row>
        <row r="12">
          <cell r="A12" t="str">
            <v>000Z0016</v>
          </cell>
          <cell r="B12" t="str">
            <v>ANDALAN SILVERFLEX MINI CU 380 AG</v>
          </cell>
          <cell r="C12" t="str">
            <v>ANDALAN SILVERFLEX MINI CU 380 AG</v>
          </cell>
          <cell r="D12" t="str">
            <v>Ethical</v>
          </cell>
          <cell r="E12" t="str">
            <v>Pregna</v>
          </cell>
          <cell r="G12">
            <v>87</v>
          </cell>
          <cell r="H12">
            <v>60</v>
          </cell>
          <cell r="I12">
            <v>147</v>
          </cell>
          <cell r="J12">
            <v>45918</v>
          </cell>
          <cell r="K12">
            <v>9</v>
          </cell>
          <cell r="L12">
            <v>2025</v>
          </cell>
          <cell r="M12">
            <v>45978</v>
          </cell>
          <cell r="N12">
            <v>11</v>
          </cell>
          <cell r="O12">
            <v>2025</v>
          </cell>
          <cell r="P12">
            <v>0.95</v>
          </cell>
          <cell r="Q12" t="str">
            <v>B</v>
          </cell>
          <cell r="R12">
            <v>24.721283354938326</v>
          </cell>
          <cell r="S12">
            <v>33.76</v>
          </cell>
          <cell r="T12">
            <v>400</v>
          </cell>
          <cell r="U12">
            <v>2700</v>
          </cell>
          <cell r="V12">
            <v>5000</v>
          </cell>
          <cell r="W12">
            <v>5000</v>
          </cell>
          <cell r="Y12">
            <v>4.74</v>
          </cell>
          <cell r="Z12">
            <v>1685</v>
          </cell>
          <cell r="AA12">
            <v>1064</v>
          </cell>
          <cell r="AB12">
            <v>1095</v>
          </cell>
          <cell r="AC12">
            <v>966</v>
          </cell>
          <cell r="AD12">
            <v>395</v>
          </cell>
          <cell r="AE12">
            <v>875</v>
          </cell>
          <cell r="AF12">
            <v>1356</v>
          </cell>
          <cell r="AG12">
            <v>814</v>
          </cell>
          <cell r="AH12">
            <v>653</v>
          </cell>
          <cell r="AI12">
            <v>6434</v>
          </cell>
          <cell r="AJ12">
            <v>10054</v>
          </cell>
          <cell r="AK12">
            <v>8782</v>
          </cell>
          <cell r="AL12">
            <v>7567</v>
          </cell>
          <cell r="AM12">
            <v>11189</v>
          </cell>
          <cell r="AN12">
            <v>9811</v>
          </cell>
          <cell r="AO12">
            <v>8433</v>
          </cell>
          <cell r="AP12">
            <v>7055</v>
          </cell>
          <cell r="AQ12">
            <v>5935</v>
          </cell>
          <cell r="AR12">
            <v>4663</v>
          </cell>
          <cell r="AS12">
            <v>3179</v>
          </cell>
          <cell r="AT12">
            <v>2056</v>
          </cell>
          <cell r="AU12">
            <v>826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C12">
            <v>1679</v>
          </cell>
          <cell r="BD12">
            <v>974</v>
          </cell>
          <cell r="BE12">
            <v>1300</v>
          </cell>
          <cell r="BF12">
            <v>1300</v>
          </cell>
          <cell r="BG12">
            <v>445</v>
          </cell>
          <cell r="BH12">
            <v>1160</v>
          </cell>
          <cell r="BI12">
            <v>1484</v>
          </cell>
          <cell r="BJ12">
            <v>1272</v>
          </cell>
          <cell r="BK12">
            <v>1484</v>
          </cell>
          <cell r="BL12">
            <v>1380</v>
          </cell>
          <cell r="BM12">
            <v>1272</v>
          </cell>
          <cell r="BN12">
            <v>1215</v>
          </cell>
          <cell r="BO12">
            <v>1378</v>
          </cell>
          <cell r="BP12">
            <v>1378</v>
          </cell>
          <cell r="BQ12">
            <v>1378</v>
          </cell>
          <cell r="BR12">
            <v>1378</v>
          </cell>
          <cell r="BS12">
            <v>1120</v>
          </cell>
          <cell r="BT12">
            <v>1272</v>
          </cell>
          <cell r="BU12">
            <v>1484</v>
          </cell>
          <cell r="BV12">
            <v>1123</v>
          </cell>
          <cell r="BW12">
            <v>1230</v>
          </cell>
          <cell r="BX12">
            <v>1240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110.07800264660813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5000</v>
          </cell>
          <cell r="CP12">
            <v>0</v>
          </cell>
          <cell r="CQ12">
            <v>0</v>
          </cell>
          <cell r="CR12">
            <v>5000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I12">
            <v>37.65</v>
          </cell>
          <cell r="DJ12">
            <v>41226.75</v>
          </cell>
          <cell r="DK12">
            <v>36369.9</v>
          </cell>
          <cell r="DL12">
            <v>14871.75</v>
          </cell>
          <cell r="DM12">
            <v>32943.75</v>
          </cell>
          <cell r="DN12">
            <v>51053.4</v>
          </cell>
          <cell r="DO12">
            <v>30647.1</v>
          </cell>
          <cell r="DP12">
            <v>24585.45</v>
          </cell>
          <cell r="DQ12">
            <v>242240.09999999998</v>
          </cell>
          <cell r="DR12">
            <v>378533.1</v>
          </cell>
          <cell r="DS12">
            <v>330642.3</v>
          </cell>
          <cell r="DT12">
            <v>284897.55</v>
          </cell>
          <cell r="DU12">
            <v>421265.85</v>
          </cell>
          <cell r="DV12">
            <v>369384.14999999997</v>
          </cell>
          <cell r="DW12">
            <v>317502.45</v>
          </cell>
          <cell r="DX12">
            <v>265620.75</v>
          </cell>
          <cell r="DY12">
            <v>223452.75</v>
          </cell>
          <cell r="DZ12">
            <v>175561.94999999998</v>
          </cell>
          <cell r="EA12">
            <v>119689.34999999999</v>
          </cell>
          <cell r="EB12">
            <v>77408.399999999994</v>
          </cell>
          <cell r="EC12">
            <v>31098.899999999998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L12">
            <v>56683.039999999994</v>
          </cell>
          <cell r="EM12">
            <v>32882.239999999998</v>
          </cell>
          <cell r="EN12">
            <v>48945</v>
          </cell>
          <cell r="EO12">
            <v>48945</v>
          </cell>
          <cell r="EP12">
            <v>16754.25</v>
          </cell>
          <cell r="EQ12">
            <v>43674</v>
          </cell>
          <cell r="ER12">
            <v>55872.6</v>
          </cell>
          <cell r="ES12">
            <v>47890.799999999996</v>
          </cell>
          <cell r="ET12">
            <v>55872.6</v>
          </cell>
          <cell r="EU12">
            <v>51957</v>
          </cell>
          <cell r="EV12">
            <v>47890.799999999996</v>
          </cell>
          <cell r="EW12">
            <v>45744.75</v>
          </cell>
          <cell r="EX12">
            <v>51881.7</v>
          </cell>
          <cell r="EY12">
            <v>51881.7</v>
          </cell>
          <cell r="EZ12">
            <v>51881.7</v>
          </cell>
          <cell r="FA12">
            <v>51881.7</v>
          </cell>
          <cell r="FB12">
            <v>42168</v>
          </cell>
          <cell r="FC12">
            <v>47890.799999999996</v>
          </cell>
          <cell r="FD12">
            <v>55872.6</v>
          </cell>
          <cell r="FE12">
            <v>42280.95</v>
          </cell>
          <cell r="FF12">
            <v>46309.5</v>
          </cell>
          <cell r="FG12">
            <v>46686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10000</v>
          </cell>
          <cell r="FO12">
            <v>0</v>
          </cell>
        </row>
        <row r="13">
          <cell r="A13" t="str">
            <v>000XE101</v>
          </cell>
          <cell r="B13" t="str">
            <v>ASPIRADOR IPAS AMIU DVS</v>
          </cell>
          <cell r="C13" t="str">
            <v>ASPIRADOR IPAS AMIU DVS</v>
          </cell>
          <cell r="D13" t="str">
            <v>Ethical</v>
          </cell>
          <cell r="E13" t="str">
            <v>DKT WCG</v>
          </cell>
          <cell r="G13">
            <v>152</v>
          </cell>
          <cell r="H13">
            <v>66</v>
          </cell>
          <cell r="I13">
            <v>218</v>
          </cell>
          <cell r="J13">
            <v>45983</v>
          </cell>
          <cell r="K13">
            <v>11</v>
          </cell>
          <cell r="L13">
            <v>2025</v>
          </cell>
          <cell r="M13">
            <v>46049</v>
          </cell>
          <cell r="N13">
            <v>1</v>
          </cell>
          <cell r="O13">
            <v>2026</v>
          </cell>
          <cell r="P13">
            <v>0.95</v>
          </cell>
          <cell r="Q13" t="str">
            <v>B</v>
          </cell>
          <cell r="R13">
            <v>37.47964691900863</v>
          </cell>
          <cell r="S13">
            <v>64.209999999999994</v>
          </cell>
          <cell r="T13">
            <v>400</v>
          </cell>
          <cell r="U13">
            <v>600</v>
          </cell>
          <cell r="V13">
            <v>1000</v>
          </cell>
          <cell r="W13">
            <v>1000</v>
          </cell>
          <cell r="Y13">
            <v>8.52</v>
          </cell>
          <cell r="Z13">
            <v>150</v>
          </cell>
          <cell r="AA13">
            <v>540</v>
          </cell>
          <cell r="AB13">
            <v>269</v>
          </cell>
          <cell r="AC13">
            <v>86</v>
          </cell>
          <cell r="AD13">
            <v>215</v>
          </cell>
          <cell r="AE13">
            <v>271</v>
          </cell>
          <cell r="AF13">
            <v>303</v>
          </cell>
          <cell r="AG13">
            <v>420</v>
          </cell>
          <cell r="AH13">
            <v>725</v>
          </cell>
          <cell r="AI13">
            <v>83</v>
          </cell>
          <cell r="AJ13">
            <v>817</v>
          </cell>
          <cell r="AK13">
            <v>1445</v>
          </cell>
          <cell r="AL13">
            <v>1064</v>
          </cell>
          <cell r="AM13">
            <v>1701</v>
          </cell>
          <cell r="AN13">
            <v>1338</v>
          </cell>
          <cell r="AO13">
            <v>1074</v>
          </cell>
          <cell r="AP13">
            <v>810</v>
          </cell>
          <cell r="AQ13">
            <v>491</v>
          </cell>
          <cell r="AR13">
            <v>1359</v>
          </cell>
          <cell r="AS13">
            <v>996</v>
          </cell>
          <cell r="AT13">
            <v>901</v>
          </cell>
          <cell r="AU13">
            <v>538</v>
          </cell>
          <cell r="AV13">
            <v>208</v>
          </cell>
          <cell r="AW13">
            <v>208</v>
          </cell>
          <cell r="AX13">
            <v>208</v>
          </cell>
          <cell r="AY13">
            <v>208</v>
          </cell>
          <cell r="AZ13">
            <v>208</v>
          </cell>
          <cell r="BA13">
            <v>208</v>
          </cell>
          <cell r="BC13">
            <v>150</v>
          </cell>
          <cell r="BD13">
            <v>535</v>
          </cell>
          <cell r="BE13">
            <v>350</v>
          </cell>
          <cell r="BF13">
            <v>350</v>
          </cell>
          <cell r="BG13">
            <v>98</v>
          </cell>
          <cell r="BH13">
            <v>266</v>
          </cell>
          <cell r="BI13">
            <v>319</v>
          </cell>
          <cell r="BJ13">
            <v>132</v>
          </cell>
          <cell r="BK13">
            <v>363</v>
          </cell>
          <cell r="BL13">
            <v>266</v>
          </cell>
          <cell r="BM13">
            <v>372</v>
          </cell>
          <cell r="BN13">
            <v>381</v>
          </cell>
          <cell r="BO13">
            <v>363</v>
          </cell>
          <cell r="BP13">
            <v>363</v>
          </cell>
          <cell r="BQ13">
            <v>264</v>
          </cell>
          <cell r="BR13">
            <v>264</v>
          </cell>
          <cell r="BS13">
            <v>319</v>
          </cell>
          <cell r="BT13">
            <v>132</v>
          </cell>
          <cell r="BU13">
            <v>363</v>
          </cell>
          <cell r="BV13">
            <v>95</v>
          </cell>
          <cell r="BW13">
            <v>363</v>
          </cell>
          <cell r="BX13">
            <v>330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92.570208975369525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1000</v>
          </cell>
          <cell r="CP13">
            <v>1000</v>
          </cell>
          <cell r="CQ13">
            <v>0</v>
          </cell>
          <cell r="CR13">
            <v>1000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1000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I13">
            <v>69.87</v>
          </cell>
          <cell r="DJ13">
            <v>18795.030000000002</v>
          </cell>
          <cell r="DK13">
            <v>6008.8200000000006</v>
          </cell>
          <cell r="DL13">
            <v>15022.050000000001</v>
          </cell>
          <cell r="DM13">
            <v>18934.77</v>
          </cell>
          <cell r="DN13">
            <v>21170.61</v>
          </cell>
          <cell r="DO13">
            <v>29345.4</v>
          </cell>
          <cell r="DP13">
            <v>50655.75</v>
          </cell>
          <cell r="DQ13">
            <v>5799.21</v>
          </cell>
          <cell r="DR13">
            <v>57083.79</v>
          </cell>
          <cell r="DS13">
            <v>100962.15000000001</v>
          </cell>
          <cell r="DT13">
            <v>74341.680000000008</v>
          </cell>
          <cell r="DU13">
            <v>118848.87000000001</v>
          </cell>
          <cell r="DV13">
            <v>93486.060000000012</v>
          </cell>
          <cell r="DW13">
            <v>75040.38</v>
          </cell>
          <cell r="DX13">
            <v>56594.700000000004</v>
          </cell>
          <cell r="DY13">
            <v>34306.170000000006</v>
          </cell>
          <cell r="DZ13">
            <v>94953.33</v>
          </cell>
          <cell r="EA13">
            <v>69590.52</v>
          </cell>
          <cell r="EB13">
            <v>62952.87</v>
          </cell>
          <cell r="EC13">
            <v>37590.060000000005</v>
          </cell>
          <cell r="ED13">
            <v>14532.960000000001</v>
          </cell>
          <cell r="EE13">
            <v>14532.960000000001</v>
          </cell>
          <cell r="EF13">
            <v>14532.960000000001</v>
          </cell>
          <cell r="EG13">
            <v>14532.960000000001</v>
          </cell>
          <cell r="EH13">
            <v>14532.960000000001</v>
          </cell>
          <cell r="EI13">
            <v>14532.960000000001</v>
          </cell>
          <cell r="EL13">
            <v>9631.4999999999982</v>
          </cell>
          <cell r="EM13">
            <v>34352.35</v>
          </cell>
          <cell r="EN13">
            <v>24454.5</v>
          </cell>
          <cell r="EO13">
            <v>24454.5</v>
          </cell>
          <cell r="EP13">
            <v>6847.26</v>
          </cell>
          <cell r="EQ13">
            <v>18585.420000000002</v>
          </cell>
          <cell r="ER13">
            <v>22288.530000000002</v>
          </cell>
          <cell r="ES13">
            <v>9222.84</v>
          </cell>
          <cell r="ET13">
            <v>25362.81</v>
          </cell>
          <cell r="EU13">
            <v>18585.420000000002</v>
          </cell>
          <cell r="EV13">
            <v>25991.640000000003</v>
          </cell>
          <cell r="EW13">
            <v>26620.47</v>
          </cell>
          <cell r="EX13">
            <v>25362.81</v>
          </cell>
          <cell r="EY13">
            <v>25362.81</v>
          </cell>
          <cell r="EZ13">
            <v>18445.68</v>
          </cell>
          <cell r="FA13">
            <v>18445.68</v>
          </cell>
          <cell r="FB13">
            <v>22288.530000000002</v>
          </cell>
          <cell r="FC13">
            <v>9222.84</v>
          </cell>
          <cell r="FD13">
            <v>25362.81</v>
          </cell>
          <cell r="FE13">
            <v>6637.6500000000005</v>
          </cell>
          <cell r="FF13">
            <v>25362.81</v>
          </cell>
          <cell r="FG13">
            <v>23057.100000000002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3000</v>
          </cell>
          <cell r="FO13">
            <v>1000</v>
          </cell>
        </row>
        <row r="14">
          <cell r="A14" t="str">
            <v>000X0101</v>
          </cell>
          <cell r="B14" t="str">
            <v>ASPIRADOR IPAS MVA  AMIU PLUS</v>
          </cell>
          <cell r="C14" t="str">
            <v>ASPIRADOR IPAS MVA  AMIU PLUS</v>
          </cell>
          <cell r="D14" t="str">
            <v>Ethical</v>
          </cell>
          <cell r="E14" t="str">
            <v>DKT WCG</v>
          </cell>
          <cell r="G14">
            <v>152</v>
          </cell>
          <cell r="H14">
            <v>66</v>
          </cell>
          <cell r="I14">
            <v>218</v>
          </cell>
          <cell r="J14">
            <v>45983</v>
          </cell>
          <cell r="K14">
            <v>11</v>
          </cell>
          <cell r="L14">
            <v>2025</v>
          </cell>
          <cell r="M14">
            <v>46049</v>
          </cell>
          <cell r="N14">
            <v>1</v>
          </cell>
          <cell r="O14">
            <v>2026</v>
          </cell>
          <cell r="P14">
            <v>0.95</v>
          </cell>
          <cell r="Q14" t="str">
            <v>B</v>
          </cell>
          <cell r="R14">
            <v>28.586482153625798</v>
          </cell>
          <cell r="S14">
            <v>71.650000000000006</v>
          </cell>
          <cell r="T14">
            <v>800</v>
          </cell>
          <cell r="U14">
            <v>2200</v>
          </cell>
          <cell r="V14">
            <v>1000</v>
          </cell>
          <cell r="W14">
            <v>2000</v>
          </cell>
          <cell r="Y14">
            <v>9.57</v>
          </cell>
          <cell r="Z14">
            <v>316</v>
          </cell>
          <cell r="AA14">
            <v>1117</v>
          </cell>
          <cell r="AB14">
            <v>624</v>
          </cell>
          <cell r="AC14">
            <v>796</v>
          </cell>
          <cell r="AD14">
            <v>1346</v>
          </cell>
          <cell r="AE14">
            <v>383</v>
          </cell>
          <cell r="AF14">
            <v>895</v>
          </cell>
          <cell r="AG14">
            <v>760</v>
          </cell>
          <cell r="AH14">
            <v>593</v>
          </cell>
          <cell r="AI14">
            <v>2242</v>
          </cell>
          <cell r="AJ14">
            <v>6032</v>
          </cell>
          <cell r="AK14">
            <v>4736</v>
          </cell>
          <cell r="AL14">
            <v>3678</v>
          </cell>
          <cell r="AM14">
            <v>7614</v>
          </cell>
          <cell r="AN14">
            <v>6556</v>
          </cell>
          <cell r="AO14">
            <v>5498</v>
          </cell>
          <cell r="AP14">
            <v>6440</v>
          </cell>
          <cell r="AQ14">
            <v>5252</v>
          </cell>
          <cell r="AR14">
            <v>4488</v>
          </cell>
          <cell r="AS14">
            <v>3300</v>
          </cell>
          <cell r="AT14">
            <v>2556</v>
          </cell>
          <cell r="AU14">
            <v>1616</v>
          </cell>
          <cell r="AV14">
            <v>776</v>
          </cell>
          <cell r="AW14">
            <v>776</v>
          </cell>
          <cell r="AX14">
            <v>776</v>
          </cell>
          <cell r="AY14">
            <v>776</v>
          </cell>
          <cell r="AZ14">
            <v>776</v>
          </cell>
          <cell r="BA14">
            <v>776</v>
          </cell>
          <cell r="BC14">
            <v>311</v>
          </cell>
          <cell r="BD14">
            <v>1099</v>
          </cell>
          <cell r="BE14">
            <v>1100</v>
          </cell>
          <cell r="BF14">
            <v>1100</v>
          </cell>
          <cell r="BG14">
            <v>562</v>
          </cell>
          <cell r="BH14">
            <v>1099</v>
          </cell>
          <cell r="BI14">
            <v>1188</v>
          </cell>
          <cell r="BJ14">
            <v>864</v>
          </cell>
          <cell r="BK14">
            <v>1188</v>
          </cell>
          <cell r="BL14">
            <v>1210</v>
          </cell>
          <cell r="BM14">
            <v>1296</v>
          </cell>
          <cell r="BN14">
            <v>1058</v>
          </cell>
          <cell r="BO14">
            <v>1064</v>
          </cell>
          <cell r="BP14">
            <v>1058</v>
          </cell>
          <cell r="BQ14">
            <v>1058</v>
          </cell>
          <cell r="BR14">
            <v>1058</v>
          </cell>
          <cell r="BS14">
            <v>1188</v>
          </cell>
          <cell r="BT14">
            <v>764</v>
          </cell>
          <cell r="BU14">
            <v>1188</v>
          </cell>
          <cell r="BV14">
            <v>744</v>
          </cell>
          <cell r="BW14">
            <v>940</v>
          </cell>
          <cell r="BX14">
            <v>840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171.67888928357209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5000</v>
          </cell>
          <cell r="CP14">
            <v>0</v>
          </cell>
          <cell r="CQ14">
            <v>0</v>
          </cell>
          <cell r="CR14">
            <v>5000</v>
          </cell>
          <cell r="CS14">
            <v>0</v>
          </cell>
          <cell r="CT14">
            <v>0</v>
          </cell>
          <cell r="CU14">
            <v>2000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I14">
            <v>78.739999999999995</v>
          </cell>
          <cell r="DJ14">
            <v>49133.759999999995</v>
          </cell>
          <cell r="DK14">
            <v>62677.039999999994</v>
          </cell>
          <cell r="DL14">
            <v>105984.04</v>
          </cell>
          <cell r="DM14">
            <v>30157.42</v>
          </cell>
          <cell r="DN14">
            <v>70472.299999999988</v>
          </cell>
          <cell r="DO14">
            <v>59842.399999999994</v>
          </cell>
          <cell r="DP14">
            <v>46692.82</v>
          </cell>
          <cell r="DQ14">
            <v>176535.08</v>
          </cell>
          <cell r="DR14">
            <v>474959.68</v>
          </cell>
          <cell r="DS14">
            <v>372912.63999999996</v>
          </cell>
          <cell r="DT14">
            <v>289605.71999999997</v>
          </cell>
          <cell r="DU14">
            <v>599526.36</v>
          </cell>
          <cell r="DV14">
            <v>516219.43999999994</v>
          </cell>
          <cell r="DW14">
            <v>432912.51999999996</v>
          </cell>
          <cell r="DX14">
            <v>507085.6</v>
          </cell>
          <cell r="DY14">
            <v>413542.48</v>
          </cell>
          <cell r="DZ14">
            <v>353385.12</v>
          </cell>
          <cell r="EA14">
            <v>259841.99999999997</v>
          </cell>
          <cell r="EB14">
            <v>201259.43999999997</v>
          </cell>
          <cell r="EC14">
            <v>127243.84</v>
          </cell>
          <cell r="ED14">
            <v>61102.239999999998</v>
          </cell>
          <cell r="EE14">
            <v>61102.239999999998</v>
          </cell>
          <cell r="EF14">
            <v>61102.239999999998</v>
          </cell>
          <cell r="EG14">
            <v>61102.239999999998</v>
          </cell>
          <cell r="EH14">
            <v>61102.239999999998</v>
          </cell>
          <cell r="EI14">
            <v>61102.239999999998</v>
          </cell>
          <cell r="EL14">
            <v>22283.15</v>
          </cell>
          <cell r="EM14">
            <v>78743.350000000006</v>
          </cell>
          <cell r="EN14">
            <v>86614</v>
          </cell>
          <cell r="EO14">
            <v>86614</v>
          </cell>
          <cell r="EP14">
            <v>44251.88</v>
          </cell>
          <cell r="EQ14">
            <v>86535.26</v>
          </cell>
          <cell r="ER14">
            <v>93543.12</v>
          </cell>
          <cell r="ES14">
            <v>68031.360000000001</v>
          </cell>
          <cell r="ET14">
            <v>93543.12</v>
          </cell>
          <cell r="EU14">
            <v>95275.4</v>
          </cell>
          <cell r="EV14">
            <v>102047.03999999999</v>
          </cell>
          <cell r="EW14">
            <v>83306.92</v>
          </cell>
          <cell r="EX14">
            <v>83779.360000000001</v>
          </cell>
          <cell r="EY14">
            <v>83306.92</v>
          </cell>
          <cell r="EZ14">
            <v>83306.92</v>
          </cell>
          <cell r="FA14">
            <v>83306.92</v>
          </cell>
          <cell r="FB14">
            <v>93543.12</v>
          </cell>
          <cell r="FC14">
            <v>60157.359999999993</v>
          </cell>
          <cell r="FD14">
            <v>93543.12</v>
          </cell>
          <cell r="FE14">
            <v>58582.559999999998</v>
          </cell>
          <cell r="FF14">
            <v>74015.599999999991</v>
          </cell>
          <cell r="FG14">
            <v>66141.599999999991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12000</v>
          </cell>
          <cell r="FO14">
            <v>0</v>
          </cell>
        </row>
        <row r="15">
          <cell r="A15" t="str">
            <v>000H1013</v>
          </cell>
          <cell r="B15" t="str">
            <v>LENCO L20P16S</v>
          </cell>
          <cell r="C15" t="str">
            <v>LENCO L20P16S</v>
          </cell>
          <cell r="D15" t="str">
            <v>OTC</v>
          </cell>
          <cell r="E15" t="str">
            <v>FW</v>
          </cell>
          <cell r="G15">
            <v>60</v>
          </cell>
          <cell r="H15">
            <v>10</v>
          </cell>
          <cell r="I15">
            <v>70</v>
          </cell>
          <cell r="J15">
            <v>45891</v>
          </cell>
          <cell r="K15">
            <v>8</v>
          </cell>
          <cell r="L15">
            <v>2025</v>
          </cell>
          <cell r="M15">
            <v>45901</v>
          </cell>
          <cell r="N15">
            <v>9</v>
          </cell>
          <cell r="O15">
            <v>2025</v>
          </cell>
          <cell r="P15">
            <v>0.9</v>
          </cell>
          <cell r="Q15" t="str">
            <v>C</v>
          </cell>
          <cell r="R15">
            <v>39.512718209712368</v>
          </cell>
          <cell r="S15">
            <v>33.99</v>
          </cell>
          <cell r="T15">
            <v>300</v>
          </cell>
          <cell r="U15">
            <v>510</v>
          </cell>
          <cell r="V15">
            <v>1000</v>
          </cell>
          <cell r="W15">
            <v>1000</v>
          </cell>
          <cell r="Y15">
            <v>7</v>
          </cell>
          <cell r="Z15">
            <v>884</v>
          </cell>
          <cell r="AA15">
            <v>596</v>
          </cell>
          <cell r="AB15">
            <v>620</v>
          </cell>
          <cell r="AC15">
            <v>993</v>
          </cell>
          <cell r="AD15">
            <v>335</v>
          </cell>
          <cell r="AE15">
            <v>561</v>
          </cell>
          <cell r="AF15">
            <v>950</v>
          </cell>
          <cell r="AG15">
            <v>433</v>
          </cell>
          <cell r="AH15">
            <v>559</v>
          </cell>
          <cell r="AI15">
            <v>1275</v>
          </cell>
          <cell r="AJ15">
            <v>610.45600000000002</v>
          </cell>
          <cell r="AK15">
            <v>176.53500000000003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C15">
            <v>865.88</v>
          </cell>
          <cell r="BD15">
            <v>424.92</v>
          </cell>
          <cell r="BE15">
            <v>466.58333333333331</v>
          </cell>
          <cell r="BF15">
            <v>466.58333333333331</v>
          </cell>
          <cell r="BG15">
            <v>440.47899999999998</v>
          </cell>
          <cell r="BH15">
            <v>560.70900000000006</v>
          </cell>
          <cell r="BI15">
            <v>842.70299999999997</v>
          </cell>
          <cell r="BJ15">
            <v>425.17700000000002</v>
          </cell>
          <cell r="BK15">
            <v>462.339</v>
          </cell>
          <cell r="BL15">
            <v>664.54399999999998</v>
          </cell>
          <cell r="BM15">
            <v>433.92099999999999</v>
          </cell>
          <cell r="BN15">
            <v>426.27</v>
          </cell>
          <cell r="BO15">
            <v>496.22199999999998</v>
          </cell>
          <cell r="BP15">
            <v>487.47800000000001</v>
          </cell>
          <cell r="BQ15">
            <v>434</v>
          </cell>
          <cell r="BR15">
            <v>426</v>
          </cell>
          <cell r="BS15">
            <v>496</v>
          </cell>
          <cell r="BT15">
            <v>487</v>
          </cell>
          <cell r="BU15">
            <v>477</v>
          </cell>
          <cell r="BV15">
            <v>935</v>
          </cell>
          <cell r="BW15">
            <v>633</v>
          </cell>
          <cell r="BX15">
            <v>600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143.04743757193793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I15">
            <v>33.97</v>
          </cell>
          <cell r="DJ15">
            <v>21061.399999999998</v>
          </cell>
          <cell r="DK15">
            <v>33732.21</v>
          </cell>
          <cell r="DL15">
            <v>11379.949999999999</v>
          </cell>
          <cell r="DM15">
            <v>19057.169999999998</v>
          </cell>
          <cell r="DN15">
            <v>32271.5</v>
          </cell>
          <cell r="DO15">
            <v>14709.01</v>
          </cell>
          <cell r="DP15">
            <v>18989.23</v>
          </cell>
          <cell r="DQ15">
            <v>43311.75</v>
          </cell>
          <cell r="DR15">
            <v>20737.190320000002</v>
          </cell>
          <cell r="DS15">
            <v>5996.8939500000006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L15">
            <v>29431.261200000001</v>
          </cell>
          <cell r="EM15">
            <v>14443.030800000002</v>
          </cell>
          <cell r="EN15">
            <v>15849.835833333333</v>
          </cell>
          <cell r="EO15">
            <v>15849.835833333333</v>
          </cell>
          <cell r="EP15">
            <v>14963.071629999999</v>
          </cell>
          <cell r="EQ15">
            <v>19047.284730000003</v>
          </cell>
          <cell r="ER15">
            <v>28626.620909999998</v>
          </cell>
          <cell r="ES15">
            <v>14443.26269</v>
          </cell>
          <cell r="ET15">
            <v>15705.65583</v>
          </cell>
          <cell r="EU15">
            <v>22574.559679999998</v>
          </cell>
          <cell r="EV15">
            <v>14740.29637</v>
          </cell>
          <cell r="EW15">
            <v>14480.391899999999</v>
          </cell>
          <cell r="EX15">
            <v>16856.661339999999</v>
          </cell>
          <cell r="EY15">
            <v>16559.627659999998</v>
          </cell>
          <cell r="EZ15">
            <v>14742.98</v>
          </cell>
          <cell r="FA15">
            <v>14471.22</v>
          </cell>
          <cell r="FB15">
            <v>16849.12</v>
          </cell>
          <cell r="FC15">
            <v>16543.39</v>
          </cell>
          <cell r="FD15">
            <v>16203.689999999999</v>
          </cell>
          <cell r="FE15">
            <v>31761.95</v>
          </cell>
          <cell r="FF15">
            <v>21503.01</v>
          </cell>
          <cell r="FG15">
            <v>20382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</row>
        <row r="16">
          <cell r="A16" t="str">
            <v>000IC0001</v>
          </cell>
          <cell r="B16" t="str">
            <v>LYNDAVEL UNO</v>
          </cell>
          <cell r="C16" t="str">
            <v>LYNDAVEL UNO</v>
          </cell>
          <cell r="D16" t="str">
            <v>Ethical</v>
          </cell>
          <cell r="E16" t="str">
            <v>Hemafarma</v>
          </cell>
          <cell r="G16">
            <v>180</v>
          </cell>
          <cell r="H16">
            <v>10</v>
          </cell>
          <cell r="I16">
            <v>190</v>
          </cell>
          <cell r="J16">
            <v>46011</v>
          </cell>
          <cell r="K16">
            <v>12</v>
          </cell>
          <cell r="L16">
            <v>2025</v>
          </cell>
          <cell r="M16">
            <v>46021</v>
          </cell>
          <cell r="N16">
            <v>12</v>
          </cell>
          <cell r="O16">
            <v>2025</v>
          </cell>
          <cell r="P16">
            <v>0.98</v>
          </cell>
          <cell r="Q16" t="str">
            <v>A</v>
          </cell>
          <cell r="R16">
            <v>2.4725274725274722</v>
          </cell>
          <cell r="S16">
            <v>22.52</v>
          </cell>
          <cell r="T16">
            <v>1000</v>
          </cell>
          <cell r="U16">
            <v>6600</v>
          </cell>
          <cell r="V16">
            <v>124000</v>
          </cell>
          <cell r="W16">
            <v>124000</v>
          </cell>
          <cell r="Y16">
            <v>3.4</v>
          </cell>
          <cell r="Z16">
            <v>1100</v>
          </cell>
          <cell r="AA16">
            <v>500</v>
          </cell>
          <cell r="AB16">
            <v>1700</v>
          </cell>
          <cell r="AC16">
            <v>600</v>
          </cell>
          <cell r="AD16">
            <v>300</v>
          </cell>
          <cell r="AE16">
            <v>3000</v>
          </cell>
          <cell r="AF16">
            <v>8700</v>
          </cell>
          <cell r="AG16">
            <v>800</v>
          </cell>
          <cell r="AH16">
            <v>3300</v>
          </cell>
          <cell r="AI16">
            <v>37800</v>
          </cell>
          <cell r="AJ16">
            <v>36800</v>
          </cell>
          <cell r="AK16">
            <v>35800</v>
          </cell>
          <cell r="AL16">
            <v>34800</v>
          </cell>
          <cell r="AM16">
            <v>33800</v>
          </cell>
          <cell r="AN16">
            <v>32800</v>
          </cell>
          <cell r="AO16">
            <v>31800</v>
          </cell>
          <cell r="AP16">
            <v>30800</v>
          </cell>
          <cell r="AQ16">
            <v>30300</v>
          </cell>
          <cell r="AR16">
            <v>29800</v>
          </cell>
          <cell r="AS16">
            <v>28800</v>
          </cell>
          <cell r="AT16">
            <v>27800</v>
          </cell>
          <cell r="AU16">
            <v>26800</v>
          </cell>
          <cell r="AV16">
            <v>25800</v>
          </cell>
          <cell r="AW16">
            <v>25800</v>
          </cell>
          <cell r="AX16">
            <v>25800</v>
          </cell>
          <cell r="AY16">
            <v>25800</v>
          </cell>
          <cell r="AZ16">
            <v>25800</v>
          </cell>
          <cell r="BA16">
            <v>25800</v>
          </cell>
          <cell r="BC16">
            <v>1100</v>
          </cell>
          <cell r="BD16">
            <v>500</v>
          </cell>
          <cell r="BE16">
            <v>8700</v>
          </cell>
          <cell r="BF16">
            <v>9000</v>
          </cell>
          <cell r="BG16">
            <v>3000</v>
          </cell>
          <cell r="BH16">
            <v>4000</v>
          </cell>
          <cell r="BI16">
            <v>10000</v>
          </cell>
          <cell r="BJ16">
            <v>4000</v>
          </cell>
          <cell r="BK16">
            <v>1000</v>
          </cell>
          <cell r="BL16">
            <v>1000</v>
          </cell>
          <cell r="BM16">
            <v>1000</v>
          </cell>
          <cell r="BN16">
            <v>1000</v>
          </cell>
          <cell r="BO16">
            <v>1000</v>
          </cell>
          <cell r="BP16">
            <v>1000</v>
          </cell>
          <cell r="BQ16">
            <v>1000</v>
          </cell>
          <cell r="BR16">
            <v>1000</v>
          </cell>
          <cell r="BS16">
            <v>500</v>
          </cell>
          <cell r="BT16">
            <v>500</v>
          </cell>
          <cell r="BU16">
            <v>1000</v>
          </cell>
          <cell r="BV16">
            <v>1000</v>
          </cell>
          <cell r="BW16">
            <v>1000</v>
          </cell>
          <cell r="BX16">
            <v>1000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187.76690404970287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I16">
            <v>22.52</v>
          </cell>
          <cell r="DJ16">
            <v>38284</v>
          </cell>
          <cell r="DK16">
            <v>13512</v>
          </cell>
          <cell r="DL16">
            <v>6756</v>
          </cell>
          <cell r="DM16">
            <v>67560</v>
          </cell>
          <cell r="DN16">
            <v>195924</v>
          </cell>
          <cell r="DO16">
            <v>18016</v>
          </cell>
          <cell r="DP16">
            <v>74316</v>
          </cell>
          <cell r="DQ16">
            <v>851256</v>
          </cell>
          <cell r="DR16">
            <v>828736</v>
          </cell>
          <cell r="DS16">
            <v>806216</v>
          </cell>
          <cell r="DT16">
            <v>783696</v>
          </cell>
          <cell r="DU16">
            <v>761176</v>
          </cell>
          <cell r="DV16">
            <v>738656</v>
          </cell>
          <cell r="DW16">
            <v>716136</v>
          </cell>
          <cell r="DX16">
            <v>693616</v>
          </cell>
          <cell r="DY16">
            <v>682356</v>
          </cell>
          <cell r="DZ16">
            <v>671096</v>
          </cell>
          <cell r="EA16">
            <v>648576</v>
          </cell>
          <cell r="EB16">
            <v>626056</v>
          </cell>
          <cell r="EC16">
            <v>603536</v>
          </cell>
          <cell r="ED16">
            <v>581016</v>
          </cell>
          <cell r="EE16">
            <v>581016</v>
          </cell>
          <cell r="EF16">
            <v>581016</v>
          </cell>
          <cell r="EG16">
            <v>581016</v>
          </cell>
          <cell r="EH16">
            <v>581016</v>
          </cell>
          <cell r="EI16">
            <v>581016</v>
          </cell>
          <cell r="EL16">
            <v>24772</v>
          </cell>
          <cell r="EM16">
            <v>11260</v>
          </cell>
          <cell r="EN16">
            <v>195924</v>
          </cell>
          <cell r="EO16">
            <v>202680</v>
          </cell>
          <cell r="EP16">
            <v>67560</v>
          </cell>
          <cell r="EQ16">
            <v>90080</v>
          </cell>
          <cell r="ER16">
            <v>225200</v>
          </cell>
          <cell r="ES16">
            <v>90080</v>
          </cell>
          <cell r="ET16">
            <v>22520</v>
          </cell>
          <cell r="EU16">
            <v>22520</v>
          </cell>
          <cell r="EV16">
            <v>22520</v>
          </cell>
          <cell r="EW16">
            <v>22520</v>
          </cell>
          <cell r="EX16">
            <v>22520</v>
          </cell>
          <cell r="EY16">
            <v>22520</v>
          </cell>
          <cell r="EZ16">
            <v>22520</v>
          </cell>
          <cell r="FA16">
            <v>22520</v>
          </cell>
          <cell r="FB16">
            <v>11260</v>
          </cell>
          <cell r="FC16">
            <v>11260</v>
          </cell>
          <cell r="FD16">
            <v>22520</v>
          </cell>
          <cell r="FE16">
            <v>22520</v>
          </cell>
          <cell r="FF16">
            <v>22520</v>
          </cell>
          <cell r="FG16">
            <v>22520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</row>
        <row r="17">
          <cell r="A17" t="str">
            <v>000A1031</v>
          </cell>
          <cell r="B17" t="str">
            <v>PRUDENCE C S MIX LEVE 8 PAGUE 6</v>
          </cell>
          <cell r="C17" t="str">
            <v>PRUDENCE C&amp;T 8'S FLOW PACK</v>
          </cell>
          <cell r="D17" t="str">
            <v>OTC</v>
          </cell>
          <cell r="E17" t="str">
            <v>Karex / NRS</v>
          </cell>
          <cell r="G17">
            <v>133</v>
          </cell>
          <cell r="H17">
            <v>133</v>
          </cell>
          <cell r="I17">
            <v>266</v>
          </cell>
          <cell r="J17">
            <v>45964</v>
          </cell>
          <cell r="K17">
            <v>11</v>
          </cell>
          <cell r="L17">
            <v>2025</v>
          </cell>
          <cell r="M17">
            <v>46097</v>
          </cell>
          <cell r="N17">
            <v>3</v>
          </cell>
          <cell r="O17">
            <v>2026</v>
          </cell>
          <cell r="P17">
            <v>0.98</v>
          </cell>
          <cell r="Q17" t="str">
            <v>A</v>
          </cell>
          <cell r="R17">
            <v>1.2653389555710204</v>
          </cell>
          <cell r="S17">
            <v>74.56</v>
          </cell>
          <cell r="T17">
            <v>1300</v>
          </cell>
          <cell r="U17">
            <v>5400</v>
          </cell>
          <cell r="V17">
            <v>2100</v>
          </cell>
          <cell r="W17">
            <v>6300</v>
          </cell>
          <cell r="X17" t="str">
            <v>box</v>
          </cell>
          <cell r="Y17">
            <v>8.1999999999999993</v>
          </cell>
          <cell r="Z17">
            <v>2039</v>
          </cell>
          <cell r="AA17">
            <v>45</v>
          </cell>
          <cell r="AB17">
            <v>4100</v>
          </cell>
          <cell r="AC17">
            <v>2277</v>
          </cell>
          <cell r="AD17">
            <v>1975</v>
          </cell>
          <cell r="AE17">
            <v>2153</v>
          </cell>
          <cell r="AF17">
            <v>2811</v>
          </cell>
          <cell r="AG17">
            <v>984</v>
          </cell>
          <cell r="AH17">
            <v>1444</v>
          </cell>
          <cell r="AI17">
            <v>5915</v>
          </cell>
          <cell r="AJ17">
            <v>6094.5990000000002</v>
          </cell>
          <cell r="AK17">
            <v>6598.8190000000004</v>
          </cell>
          <cell r="AL17">
            <v>6960.9489999999996</v>
          </cell>
          <cell r="AM17">
            <v>9209.9439999999995</v>
          </cell>
          <cell r="AN17">
            <v>9432.17</v>
          </cell>
          <cell r="AO17">
            <v>7836.17</v>
          </cell>
          <cell r="AP17">
            <v>6098.17</v>
          </cell>
          <cell r="AQ17">
            <v>8347.17</v>
          </cell>
          <cell r="AR17">
            <v>8569.17</v>
          </cell>
          <cell r="AS17">
            <v>6369.17</v>
          </cell>
          <cell r="AT17">
            <v>5039.17</v>
          </cell>
          <cell r="AU17">
            <v>3236.17</v>
          </cell>
          <cell r="AV17">
            <v>1433.17</v>
          </cell>
          <cell r="AW17">
            <v>1433.17</v>
          </cell>
          <cell r="AX17">
            <v>1433.17</v>
          </cell>
          <cell r="AY17">
            <v>1433.17</v>
          </cell>
          <cell r="AZ17">
            <v>1433.17</v>
          </cell>
          <cell r="BA17">
            <v>1433.17</v>
          </cell>
          <cell r="BC17">
            <v>2054.88</v>
          </cell>
          <cell r="BD17">
            <v>42.83</v>
          </cell>
          <cell r="BE17">
            <v>1681.0833333333333</v>
          </cell>
          <cell r="BF17">
            <v>1681.0833333333333</v>
          </cell>
          <cell r="BG17">
            <v>1322.53</v>
          </cell>
          <cell r="BH17">
            <v>2123.6990000000001</v>
          </cell>
          <cell r="BI17">
            <v>2929.24</v>
          </cell>
          <cell r="BJ17">
            <v>1138.9059999999999</v>
          </cell>
          <cell r="BK17">
            <v>1628.57</v>
          </cell>
          <cell r="BL17">
            <v>1920.4010000000001</v>
          </cell>
          <cell r="BM17">
            <v>1595.78</v>
          </cell>
          <cell r="BN17">
            <v>1737.87</v>
          </cell>
          <cell r="BO17">
            <v>1951.0050000000001</v>
          </cell>
          <cell r="BP17">
            <v>1877.7739999999999</v>
          </cell>
          <cell r="BQ17">
            <v>1596</v>
          </cell>
          <cell r="BR17">
            <v>1738</v>
          </cell>
          <cell r="BS17">
            <v>1951</v>
          </cell>
          <cell r="BT17">
            <v>1878</v>
          </cell>
          <cell r="BU17">
            <v>2200</v>
          </cell>
          <cell r="BV17">
            <v>1330</v>
          </cell>
          <cell r="BW17">
            <v>1803</v>
          </cell>
          <cell r="BX17">
            <v>1803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212.94585679869516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2100</v>
          </cell>
          <cell r="CP17">
            <v>2100</v>
          </cell>
          <cell r="CQ17">
            <v>2100</v>
          </cell>
          <cell r="CR17">
            <v>4200</v>
          </cell>
          <cell r="CS17">
            <v>2100</v>
          </cell>
          <cell r="CT17">
            <v>0</v>
          </cell>
          <cell r="CU17">
            <v>0</v>
          </cell>
          <cell r="CV17">
            <v>4200</v>
          </cell>
          <cell r="CW17">
            <v>2100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I17">
            <v>70.03</v>
          </cell>
          <cell r="DJ17">
            <v>287123</v>
          </cell>
          <cell r="DK17">
            <v>159458.31</v>
          </cell>
          <cell r="DL17">
            <v>138309.25</v>
          </cell>
          <cell r="DM17">
            <v>150774.59</v>
          </cell>
          <cell r="DN17">
            <v>196854.33000000002</v>
          </cell>
          <cell r="DO17">
            <v>68909.52</v>
          </cell>
          <cell r="DP17">
            <v>101123.32</v>
          </cell>
          <cell r="DQ17">
            <v>414227.45</v>
          </cell>
          <cell r="DR17">
            <v>426804.76797000004</v>
          </cell>
          <cell r="DS17">
            <v>462115.29457000003</v>
          </cell>
          <cell r="DT17">
            <v>487475.25847</v>
          </cell>
          <cell r="DU17">
            <v>644972.37832000002</v>
          </cell>
          <cell r="DV17">
            <v>660534.86510000005</v>
          </cell>
          <cell r="DW17">
            <v>548766.98510000005</v>
          </cell>
          <cell r="DX17">
            <v>427054.84510000004</v>
          </cell>
          <cell r="DY17">
            <v>584552.31510000001</v>
          </cell>
          <cell r="DZ17">
            <v>600098.97510000004</v>
          </cell>
          <cell r="EA17">
            <v>446032.97510000004</v>
          </cell>
          <cell r="EB17">
            <v>352893.07510000002</v>
          </cell>
          <cell r="EC17">
            <v>226628.98510000002</v>
          </cell>
          <cell r="ED17">
            <v>100364.89510000001</v>
          </cell>
          <cell r="EE17">
            <v>100364.89510000001</v>
          </cell>
          <cell r="EF17">
            <v>100364.89510000001</v>
          </cell>
          <cell r="EG17">
            <v>100364.89510000001</v>
          </cell>
          <cell r="EH17">
            <v>100364.89510000001</v>
          </cell>
          <cell r="EI17">
            <v>100364.89510000001</v>
          </cell>
          <cell r="EL17">
            <v>153211.85280000002</v>
          </cell>
          <cell r="EM17">
            <v>3193.4047999999998</v>
          </cell>
          <cell r="EN17">
            <v>117726.26583333332</v>
          </cell>
          <cell r="EO17">
            <v>117726.26583333332</v>
          </cell>
          <cell r="EP17">
            <v>92616.775899999993</v>
          </cell>
          <cell r="EQ17">
            <v>148722.64097000001</v>
          </cell>
          <cell r="ER17">
            <v>205134.67719999998</v>
          </cell>
          <cell r="ES17">
            <v>79757.587180000002</v>
          </cell>
          <cell r="ET17">
            <v>114048.7571</v>
          </cell>
          <cell r="EU17">
            <v>134485.68203</v>
          </cell>
          <cell r="EV17">
            <v>111752.4734</v>
          </cell>
          <cell r="EW17">
            <v>121703.0361</v>
          </cell>
          <cell r="EX17">
            <v>136628.88015000001</v>
          </cell>
          <cell r="EY17">
            <v>131500.51321999999</v>
          </cell>
          <cell r="EZ17">
            <v>111767.88</v>
          </cell>
          <cell r="FA17">
            <v>121712.14</v>
          </cell>
          <cell r="FB17">
            <v>136628.53</v>
          </cell>
          <cell r="FC17">
            <v>131516.34</v>
          </cell>
          <cell r="FD17">
            <v>154066</v>
          </cell>
          <cell r="FE17">
            <v>93139.900000000009</v>
          </cell>
          <cell r="FF17">
            <v>126264.09</v>
          </cell>
          <cell r="FG17">
            <v>126264.09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12600</v>
          </cell>
          <cell r="FO17">
            <v>6300</v>
          </cell>
        </row>
        <row r="18">
          <cell r="A18" t="str">
            <v>000A1001</v>
          </cell>
          <cell r="B18" t="str">
            <v>PRUDENCE C S MORANGO</v>
          </cell>
          <cell r="C18" t="str">
            <v>PRUDENCE C&amp;T STRAWBERRY 3'S FLOW PACK - DISPLAY BOX</v>
          </cell>
          <cell r="D18" t="str">
            <v>OTC</v>
          </cell>
          <cell r="E18" t="str">
            <v>Karex / NRS</v>
          </cell>
          <cell r="G18">
            <v>133</v>
          </cell>
          <cell r="H18">
            <v>133</v>
          </cell>
          <cell r="I18">
            <v>266</v>
          </cell>
          <cell r="J18">
            <v>45964</v>
          </cell>
          <cell r="K18">
            <v>11</v>
          </cell>
          <cell r="L18">
            <v>2025</v>
          </cell>
          <cell r="M18">
            <v>46097</v>
          </cell>
          <cell r="N18">
            <v>3</v>
          </cell>
          <cell r="O18">
            <v>2026</v>
          </cell>
          <cell r="P18">
            <v>0.98</v>
          </cell>
          <cell r="Q18" t="str">
            <v>A</v>
          </cell>
          <cell r="R18">
            <v>0.65608256068908877</v>
          </cell>
          <cell r="S18">
            <v>71.58</v>
          </cell>
          <cell r="T18">
            <v>5800</v>
          </cell>
          <cell r="U18">
            <v>12100</v>
          </cell>
          <cell r="V18">
            <v>3000</v>
          </cell>
          <cell r="W18">
            <v>12000</v>
          </cell>
          <cell r="Y18">
            <v>6.72</v>
          </cell>
          <cell r="Z18">
            <v>3024</v>
          </cell>
          <cell r="AA18">
            <v>37</v>
          </cell>
          <cell r="AB18">
            <v>6025</v>
          </cell>
          <cell r="AC18">
            <v>5993</v>
          </cell>
          <cell r="AD18">
            <v>3032</v>
          </cell>
          <cell r="AE18">
            <v>4612</v>
          </cell>
          <cell r="AF18">
            <v>5281</v>
          </cell>
          <cell r="AG18">
            <v>2133</v>
          </cell>
          <cell r="AH18">
            <v>3323</v>
          </cell>
          <cell r="AI18">
            <v>2360</v>
          </cell>
          <cell r="AJ18">
            <v>2369</v>
          </cell>
          <cell r="AK18">
            <v>5382</v>
          </cell>
          <cell r="AL18">
            <v>7962</v>
          </cell>
          <cell r="AM18">
            <v>12908</v>
          </cell>
          <cell r="AN18">
            <v>13908</v>
          </cell>
          <cell r="AO18">
            <v>14908</v>
          </cell>
          <cell r="AP18">
            <v>18908</v>
          </cell>
          <cell r="AQ18">
            <v>19908</v>
          </cell>
          <cell r="AR18">
            <v>23908</v>
          </cell>
          <cell r="AS18">
            <v>20408</v>
          </cell>
          <cell r="AT18">
            <v>16908</v>
          </cell>
          <cell r="AU18">
            <v>11908</v>
          </cell>
          <cell r="AV18">
            <v>7908</v>
          </cell>
          <cell r="AW18">
            <v>7908</v>
          </cell>
          <cell r="AX18">
            <v>7908</v>
          </cell>
          <cell r="AY18">
            <v>7908</v>
          </cell>
          <cell r="AZ18">
            <v>7908</v>
          </cell>
          <cell r="BA18">
            <v>7908</v>
          </cell>
          <cell r="BC18">
            <v>2979.98</v>
          </cell>
          <cell r="BD18">
            <v>24.98</v>
          </cell>
          <cell r="BE18">
            <v>3100</v>
          </cell>
          <cell r="BF18">
            <v>3100</v>
          </cell>
          <cell r="BG18">
            <v>1044</v>
          </cell>
          <cell r="BH18">
            <v>2660</v>
          </cell>
          <cell r="BI18">
            <v>5092</v>
          </cell>
          <cell r="BJ18">
            <v>3047</v>
          </cell>
          <cell r="BK18">
            <v>2620</v>
          </cell>
          <cell r="BL18">
            <v>2991</v>
          </cell>
          <cell r="BM18">
            <v>4007</v>
          </cell>
          <cell r="BN18">
            <v>3420</v>
          </cell>
          <cell r="BO18">
            <v>4054</v>
          </cell>
          <cell r="BP18">
            <v>5000</v>
          </cell>
          <cell r="BQ18">
            <v>5000</v>
          </cell>
          <cell r="BR18">
            <v>5000</v>
          </cell>
          <cell r="BS18">
            <v>5000</v>
          </cell>
          <cell r="BT18">
            <v>5000</v>
          </cell>
          <cell r="BU18">
            <v>6500</v>
          </cell>
          <cell r="BV18">
            <v>3500</v>
          </cell>
          <cell r="BW18">
            <v>5000</v>
          </cell>
          <cell r="BX18">
            <v>4000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941.42558974442591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3000</v>
          </cell>
          <cell r="CP18">
            <v>7020</v>
          </cell>
          <cell r="CQ18">
            <v>6000</v>
          </cell>
          <cell r="CR18">
            <v>9000</v>
          </cell>
          <cell r="CS18">
            <v>6000</v>
          </cell>
          <cell r="CT18">
            <v>6000</v>
          </cell>
          <cell r="CU18">
            <v>9000</v>
          </cell>
          <cell r="CV18">
            <v>6000</v>
          </cell>
          <cell r="CW18">
            <v>9000</v>
          </cell>
          <cell r="CX18">
            <v>3000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I18">
            <v>58.31</v>
          </cell>
          <cell r="DJ18">
            <v>351317.75</v>
          </cell>
          <cell r="DK18">
            <v>349451.83</v>
          </cell>
          <cell r="DL18">
            <v>176795.92</v>
          </cell>
          <cell r="DM18">
            <v>268925.72000000003</v>
          </cell>
          <cell r="DN18">
            <v>307935.11</v>
          </cell>
          <cell r="DO18">
            <v>124375.23000000001</v>
          </cell>
          <cell r="DP18">
            <v>193764.13</v>
          </cell>
          <cell r="DQ18">
            <v>137611.6</v>
          </cell>
          <cell r="DR18">
            <v>138136.39000000001</v>
          </cell>
          <cell r="DS18">
            <v>313824.42</v>
          </cell>
          <cell r="DT18">
            <v>464264.22000000003</v>
          </cell>
          <cell r="DU18">
            <v>752665.48</v>
          </cell>
          <cell r="DV18">
            <v>810975.48</v>
          </cell>
          <cell r="DW18">
            <v>869285.48</v>
          </cell>
          <cell r="DX18">
            <v>1102525.48</v>
          </cell>
          <cell r="DY18">
            <v>1160835.48</v>
          </cell>
          <cell r="DZ18">
            <v>1394075.48</v>
          </cell>
          <cell r="EA18">
            <v>1189990.48</v>
          </cell>
          <cell r="EB18">
            <v>985905.48</v>
          </cell>
          <cell r="EC18">
            <v>694355.48</v>
          </cell>
          <cell r="ED18">
            <v>461115.48000000004</v>
          </cell>
          <cell r="EE18">
            <v>461115.48000000004</v>
          </cell>
          <cell r="EF18">
            <v>461115.48000000004</v>
          </cell>
          <cell r="EG18">
            <v>461115.48000000004</v>
          </cell>
          <cell r="EH18">
            <v>461115.48000000004</v>
          </cell>
          <cell r="EI18">
            <v>461115.48000000004</v>
          </cell>
          <cell r="EL18">
            <v>213306.96839999998</v>
          </cell>
          <cell r="EM18">
            <v>1788.0683999999999</v>
          </cell>
          <cell r="EN18">
            <v>180761</v>
          </cell>
          <cell r="EO18">
            <v>180761</v>
          </cell>
          <cell r="EP18">
            <v>60875.64</v>
          </cell>
          <cell r="EQ18">
            <v>155104.6</v>
          </cell>
          <cell r="ER18">
            <v>296914.52</v>
          </cell>
          <cell r="ES18">
            <v>177670.57</v>
          </cell>
          <cell r="ET18">
            <v>152772.20000000001</v>
          </cell>
          <cell r="EU18">
            <v>174405.21000000002</v>
          </cell>
          <cell r="EV18">
            <v>233648.17</v>
          </cell>
          <cell r="EW18">
            <v>199420.2</v>
          </cell>
          <cell r="EX18">
            <v>236388.74000000002</v>
          </cell>
          <cell r="EY18">
            <v>291550</v>
          </cell>
          <cell r="EZ18">
            <v>291550</v>
          </cell>
          <cell r="FA18">
            <v>291550</v>
          </cell>
          <cell r="FB18">
            <v>291550</v>
          </cell>
          <cell r="FC18">
            <v>291550</v>
          </cell>
          <cell r="FD18">
            <v>379015</v>
          </cell>
          <cell r="FE18">
            <v>204085</v>
          </cell>
          <cell r="FF18">
            <v>291550</v>
          </cell>
          <cell r="FG18">
            <v>233240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46020</v>
          </cell>
          <cell r="FO18">
            <v>18000</v>
          </cell>
        </row>
        <row r="19">
          <cell r="A19" t="str">
            <v>000A3005</v>
          </cell>
          <cell r="B19" t="str">
            <v>PRUDENCE EFEITO RETARDANTE</v>
          </cell>
          <cell r="C19" t="str">
            <v>PRUDENCE EFEITO RETARDANTE 3'S FLOW PACK - DISPLAY BOX</v>
          </cell>
          <cell r="D19" t="str">
            <v>OTC</v>
          </cell>
          <cell r="E19" t="str">
            <v>Karex / NRS</v>
          </cell>
          <cell r="G19">
            <v>133</v>
          </cell>
          <cell r="H19">
            <v>133</v>
          </cell>
          <cell r="I19">
            <v>266</v>
          </cell>
          <cell r="J19">
            <v>45964</v>
          </cell>
          <cell r="K19">
            <v>11</v>
          </cell>
          <cell r="L19">
            <v>2025</v>
          </cell>
          <cell r="M19">
            <v>46097</v>
          </cell>
          <cell r="N19">
            <v>3</v>
          </cell>
          <cell r="O19">
            <v>2026</v>
          </cell>
          <cell r="P19">
            <v>0.95</v>
          </cell>
          <cell r="Q19" t="str">
            <v>B</v>
          </cell>
          <cell r="R19">
            <v>7.1459284004381673E-2</v>
          </cell>
          <cell r="S19">
            <v>79.61</v>
          </cell>
          <cell r="T19">
            <v>4400</v>
          </cell>
          <cell r="U19">
            <v>4400</v>
          </cell>
          <cell r="V19">
            <v>3000</v>
          </cell>
          <cell r="W19">
            <v>3000</v>
          </cell>
          <cell r="Y19">
            <v>7.2</v>
          </cell>
          <cell r="Z19">
            <v>5</v>
          </cell>
          <cell r="AA19">
            <v>2</v>
          </cell>
          <cell r="AB19">
            <v>2974</v>
          </cell>
          <cell r="AC19">
            <v>3961</v>
          </cell>
          <cell r="AD19">
            <v>2031</v>
          </cell>
          <cell r="AE19">
            <v>2145</v>
          </cell>
          <cell r="AF19">
            <v>2159</v>
          </cell>
          <cell r="AG19">
            <v>1294</v>
          </cell>
          <cell r="AH19">
            <v>1761</v>
          </cell>
          <cell r="AI19">
            <v>1984</v>
          </cell>
          <cell r="AJ19">
            <v>7579</v>
          </cell>
          <cell r="AK19">
            <v>5164</v>
          </cell>
          <cell r="AL19">
            <v>8827</v>
          </cell>
          <cell r="AM19">
            <v>5694</v>
          </cell>
          <cell r="AN19">
            <v>3694</v>
          </cell>
          <cell r="AO19">
            <v>4672</v>
          </cell>
          <cell r="AP19">
            <v>5767</v>
          </cell>
          <cell r="AQ19">
            <v>3488</v>
          </cell>
          <cell r="AR19">
            <v>7681</v>
          </cell>
          <cell r="AS19">
            <v>7967</v>
          </cell>
          <cell r="AT19">
            <v>6598</v>
          </cell>
          <cell r="AU19">
            <v>4635</v>
          </cell>
          <cell r="AV19">
            <v>2672</v>
          </cell>
          <cell r="AW19">
            <v>2672</v>
          </cell>
          <cell r="AX19">
            <v>2672</v>
          </cell>
          <cell r="AY19">
            <v>2672</v>
          </cell>
          <cell r="AZ19">
            <v>2672</v>
          </cell>
          <cell r="BA19">
            <v>2672</v>
          </cell>
          <cell r="BC19">
            <v>4.2</v>
          </cell>
          <cell r="BD19">
            <v>-0.02</v>
          </cell>
          <cell r="BE19">
            <v>1651.0173611111113</v>
          </cell>
          <cell r="BF19">
            <v>1651.0173611111113</v>
          </cell>
          <cell r="BG19">
            <v>735</v>
          </cell>
          <cell r="BH19">
            <v>1193</v>
          </cell>
          <cell r="BI19">
            <v>2819</v>
          </cell>
          <cell r="BJ19">
            <v>1964</v>
          </cell>
          <cell r="BK19">
            <v>1036</v>
          </cell>
          <cell r="BL19">
            <v>405</v>
          </cell>
          <cell r="BM19">
            <v>4295</v>
          </cell>
          <cell r="BN19">
            <v>2337</v>
          </cell>
          <cell r="BO19">
            <v>3133</v>
          </cell>
          <cell r="BP19">
            <v>2000</v>
          </cell>
          <cell r="BQ19">
            <v>2022</v>
          </cell>
          <cell r="BR19">
            <v>1905</v>
          </cell>
          <cell r="BS19">
            <v>2279</v>
          </cell>
          <cell r="BT19">
            <v>1807</v>
          </cell>
          <cell r="BU19">
            <v>2714</v>
          </cell>
          <cell r="BV19">
            <v>1369</v>
          </cell>
          <cell r="BW19">
            <v>1963</v>
          </cell>
          <cell r="BX19">
            <v>1963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907.1014770926073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6000</v>
          </cell>
          <cell r="CP19">
            <v>1880</v>
          </cell>
          <cell r="CQ19">
            <v>6000</v>
          </cell>
          <cell r="CR19">
            <v>0</v>
          </cell>
          <cell r="CS19">
            <v>0</v>
          </cell>
          <cell r="CT19">
            <v>3000</v>
          </cell>
          <cell r="CU19">
            <v>3000</v>
          </cell>
          <cell r="CV19">
            <v>0</v>
          </cell>
          <cell r="CW19">
            <v>6000</v>
          </cell>
          <cell r="CX19">
            <v>3000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I19">
            <v>60.73</v>
          </cell>
          <cell r="DJ19">
            <v>180611.02</v>
          </cell>
          <cell r="DK19">
            <v>240551.53</v>
          </cell>
          <cell r="DL19">
            <v>123342.62999999999</v>
          </cell>
          <cell r="DM19">
            <v>130265.84999999999</v>
          </cell>
          <cell r="DN19">
            <v>131116.07</v>
          </cell>
          <cell r="DO19">
            <v>78584.62</v>
          </cell>
          <cell r="DP19">
            <v>106945.53</v>
          </cell>
          <cell r="DQ19">
            <v>120488.31999999999</v>
          </cell>
          <cell r="DR19">
            <v>460272.67</v>
          </cell>
          <cell r="DS19">
            <v>313609.71999999997</v>
          </cell>
          <cell r="DT19">
            <v>536063.71</v>
          </cell>
          <cell r="DU19">
            <v>345796.62</v>
          </cell>
          <cell r="DV19">
            <v>224336.62</v>
          </cell>
          <cell r="DW19">
            <v>283730.56</v>
          </cell>
          <cell r="DX19">
            <v>350229.91</v>
          </cell>
          <cell r="DY19">
            <v>211826.24</v>
          </cell>
          <cell r="DZ19">
            <v>466467.13</v>
          </cell>
          <cell r="EA19">
            <v>483835.91</v>
          </cell>
          <cell r="EB19">
            <v>400696.54</v>
          </cell>
          <cell r="EC19">
            <v>281483.55</v>
          </cell>
          <cell r="ED19">
            <v>162270.56</v>
          </cell>
          <cell r="EE19">
            <v>162270.56</v>
          </cell>
          <cell r="EF19">
            <v>162270.56</v>
          </cell>
          <cell r="EG19">
            <v>162270.56</v>
          </cell>
          <cell r="EH19">
            <v>162270.56</v>
          </cell>
          <cell r="EI19">
            <v>162270.56</v>
          </cell>
          <cell r="EL19">
            <v>334.36200000000002</v>
          </cell>
          <cell r="EM19">
            <v>-1.5922000000000001</v>
          </cell>
          <cell r="EN19">
            <v>100266.28434027778</v>
          </cell>
          <cell r="EO19">
            <v>100266.28434027778</v>
          </cell>
          <cell r="EP19">
            <v>44636.549999999996</v>
          </cell>
          <cell r="EQ19">
            <v>72450.89</v>
          </cell>
          <cell r="ER19">
            <v>171197.87</v>
          </cell>
          <cell r="ES19">
            <v>119273.71999999999</v>
          </cell>
          <cell r="ET19">
            <v>62916.28</v>
          </cell>
          <cell r="EU19">
            <v>24595.649999999998</v>
          </cell>
          <cell r="EV19">
            <v>260835.34999999998</v>
          </cell>
          <cell r="EW19">
            <v>141926.00999999998</v>
          </cell>
          <cell r="EX19">
            <v>190267.09</v>
          </cell>
          <cell r="EY19">
            <v>121460</v>
          </cell>
          <cell r="EZ19">
            <v>122796.06</v>
          </cell>
          <cell r="FA19">
            <v>115690.65</v>
          </cell>
          <cell r="FB19">
            <v>138403.66999999998</v>
          </cell>
          <cell r="FC19">
            <v>109739.11</v>
          </cell>
          <cell r="FD19">
            <v>164821.22</v>
          </cell>
          <cell r="FE19">
            <v>83139.37</v>
          </cell>
          <cell r="FF19">
            <v>119212.98999999999</v>
          </cell>
          <cell r="FG19">
            <v>119212.98999999999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19880</v>
          </cell>
          <cell r="FO19">
            <v>9000</v>
          </cell>
        </row>
        <row r="20">
          <cell r="A20" t="str">
            <v>000A3009</v>
          </cell>
          <cell r="B20" t="str">
            <v>PRUDENCE EFEITO RETARDANTE L8P6</v>
          </cell>
          <cell r="C20" t="str">
            <v>PRUDENCE EFEITO RETARDANTE 8'S FLOW PACK BOXES W/192</v>
          </cell>
          <cell r="D20" t="str">
            <v>OTC</v>
          </cell>
          <cell r="E20" t="str">
            <v>Karex / NRS</v>
          </cell>
          <cell r="G20">
            <v>133</v>
          </cell>
          <cell r="H20">
            <v>133</v>
          </cell>
          <cell r="I20">
            <v>266</v>
          </cell>
          <cell r="J20">
            <v>45964</v>
          </cell>
          <cell r="K20">
            <v>11</v>
          </cell>
          <cell r="L20">
            <v>2025</v>
          </cell>
          <cell r="M20">
            <v>46097</v>
          </cell>
          <cell r="N20">
            <v>3</v>
          </cell>
          <cell r="O20">
            <v>2026</v>
          </cell>
          <cell r="P20">
            <v>0.98</v>
          </cell>
          <cell r="Q20" t="str">
            <v>A</v>
          </cell>
          <cell r="R20">
            <v>31.50352957322729</v>
          </cell>
          <cell r="S20">
            <v>100.1</v>
          </cell>
          <cell r="T20">
            <v>5300</v>
          </cell>
          <cell r="U20">
            <v>7200</v>
          </cell>
          <cell r="V20">
            <v>2100</v>
          </cell>
          <cell r="W20">
            <v>6300</v>
          </cell>
          <cell r="X20" t="str">
            <v>box</v>
          </cell>
          <cell r="Y20">
            <v>8.77</v>
          </cell>
          <cell r="Z20">
            <v>2133</v>
          </cell>
          <cell r="AA20">
            <v>2110</v>
          </cell>
          <cell r="AB20">
            <v>3544</v>
          </cell>
          <cell r="AC20">
            <v>3453</v>
          </cell>
          <cell r="AD20">
            <v>2410</v>
          </cell>
          <cell r="AE20">
            <v>2550</v>
          </cell>
          <cell r="AF20">
            <v>3256</v>
          </cell>
          <cell r="AG20">
            <v>1092</v>
          </cell>
          <cell r="AH20">
            <v>1715</v>
          </cell>
          <cell r="AI20">
            <v>6461</v>
          </cell>
          <cell r="AJ20">
            <v>3555</v>
          </cell>
          <cell r="AK20">
            <v>5425</v>
          </cell>
          <cell r="AL20">
            <v>12400</v>
          </cell>
          <cell r="AM20">
            <v>14721</v>
          </cell>
          <cell r="AN20">
            <v>12121</v>
          </cell>
          <cell r="AO20">
            <v>9840</v>
          </cell>
          <cell r="AP20">
            <v>13858</v>
          </cell>
          <cell r="AQ20">
            <v>11275</v>
          </cell>
          <cell r="AR20">
            <v>10820</v>
          </cell>
          <cell r="AS20">
            <v>8340</v>
          </cell>
          <cell r="AT20">
            <v>6796</v>
          </cell>
          <cell r="AU20">
            <v>4603</v>
          </cell>
          <cell r="AV20">
            <v>2410</v>
          </cell>
          <cell r="AW20">
            <v>2410</v>
          </cell>
          <cell r="AX20">
            <v>2410</v>
          </cell>
          <cell r="AY20">
            <v>2410</v>
          </cell>
          <cell r="AZ20">
            <v>2410</v>
          </cell>
          <cell r="BA20">
            <v>2410</v>
          </cell>
          <cell r="BC20">
            <v>2049.84</v>
          </cell>
          <cell r="BD20">
            <v>2092.92</v>
          </cell>
          <cell r="BE20">
            <v>2249.5208333333335</v>
          </cell>
          <cell r="BF20">
            <v>2249.5208333333335</v>
          </cell>
          <cell r="BG20">
            <v>937</v>
          </cell>
          <cell r="BH20">
            <v>2308</v>
          </cell>
          <cell r="BI20">
            <v>2567</v>
          </cell>
          <cell r="BJ20">
            <v>1550</v>
          </cell>
          <cell r="BK20">
            <v>2142</v>
          </cell>
          <cell r="BL20">
            <v>5006</v>
          </cell>
          <cell r="BM20">
            <v>2330</v>
          </cell>
          <cell r="BN20">
            <v>1425</v>
          </cell>
          <cell r="BO20">
            <v>1879</v>
          </cell>
          <cell r="BP20">
            <v>2600</v>
          </cell>
          <cell r="BQ20">
            <v>2281</v>
          </cell>
          <cell r="BR20">
            <v>2282</v>
          </cell>
          <cell r="BS20">
            <v>2583</v>
          </cell>
          <cell r="BT20">
            <v>2555</v>
          </cell>
          <cell r="BU20">
            <v>2480</v>
          </cell>
          <cell r="BV20">
            <v>1544</v>
          </cell>
          <cell r="BW20">
            <v>2193</v>
          </cell>
          <cell r="BX20">
            <v>2193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864.43050023908188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2100</v>
          </cell>
          <cell r="CP20">
            <v>4200</v>
          </cell>
          <cell r="CQ20">
            <v>8400</v>
          </cell>
          <cell r="CR20">
            <v>4200</v>
          </cell>
          <cell r="CS20">
            <v>0</v>
          </cell>
          <cell r="CT20">
            <v>0</v>
          </cell>
          <cell r="CU20">
            <v>6300</v>
          </cell>
          <cell r="CV20">
            <v>0</v>
          </cell>
          <cell r="CW20">
            <v>2100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I20">
            <v>87.55</v>
          </cell>
          <cell r="DJ20">
            <v>310277.2</v>
          </cell>
          <cell r="DK20">
            <v>302310.14999999997</v>
          </cell>
          <cell r="DL20">
            <v>210995.5</v>
          </cell>
          <cell r="DM20">
            <v>223252.5</v>
          </cell>
          <cell r="DN20">
            <v>285062.8</v>
          </cell>
          <cell r="DO20">
            <v>95604.599999999991</v>
          </cell>
          <cell r="DP20">
            <v>150148.25</v>
          </cell>
          <cell r="DQ20">
            <v>565660.54999999993</v>
          </cell>
          <cell r="DR20">
            <v>311240.25</v>
          </cell>
          <cell r="DS20">
            <v>474958.75</v>
          </cell>
          <cell r="DT20">
            <v>1085620</v>
          </cell>
          <cell r="DU20">
            <v>1288823.55</v>
          </cell>
          <cell r="DV20">
            <v>1061193.55</v>
          </cell>
          <cell r="DW20">
            <v>861492</v>
          </cell>
          <cell r="DX20">
            <v>1213267.8999999999</v>
          </cell>
          <cell r="DY20">
            <v>987126.25</v>
          </cell>
          <cell r="DZ20">
            <v>947291</v>
          </cell>
          <cell r="EA20">
            <v>730167</v>
          </cell>
          <cell r="EB20">
            <v>594989.79999999993</v>
          </cell>
          <cell r="EC20">
            <v>402992.64999999997</v>
          </cell>
          <cell r="ED20">
            <v>210995.5</v>
          </cell>
          <cell r="EE20">
            <v>210995.5</v>
          </cell>
          <cell r="EF20">
            <v>210995.5</v>
          </cell>
          <cell r="EG20">
            <v>210995.5</v>
          </cell>
          <cell r="EH20">
            <v>210995.5</v>
          </cell>
          <cell r="EI20">
            <v>210995.5</v>
          </cell>
          <cell r="EL20">
            <v>205188.984</v>
          </cell>
          <cell r="EM20">
            <v>209501.29199999999</v>
          </cell>
          <cell r="EN20">
            <v>196945.54895833335</v>
          </cell>
          <cell r="EO20">
            <v>196945.54895833335</v>
          </cell>
          <cell r="EP20">
            <v>82034.349999999991</v>
          </cell>
          <cell r="EQ20">
            <v>202065.4</v>
          </cell>
          <cell r="ER20">
            <v>224740.85</v>
          </cell>
          <cell r="ES20">
            <v>135702.5</v>
          </cell>
          <cell r="ET20">
            <v>187532.1</v>
          </cell>
          <cell r="EU20">
            <v>438275.3</v>
          </cell>
          <cell r="EV20">
            <v>203991.5</v>
          </cell>
          <cell r="EW20">
            <v>124758.75</v>
          </cell>
          <cell r="EX20">
            <v>164506.44999999998</v>
          </cell>
          <cell r="EY20">
            <v>227630</v>
          </cell>
          <cell r="EZ20">
            <v>199701.55</v>
          </cell>
          <cell r="FA20">
            <v>199789.1</v>
          </cell>
          <cell r="FB20">
            <v>226141.65</v>
          </cell>
          <cell r="FC20">
            <v>223690.25</v>
          </cell>
          <cell r="FD20">
            <v>217124</v>
          </cell>
          <cell r="FE20">
            <v>135177.19999999998</v>
          </cell>
          <cell r="FF20">
            <v>191997.15</v>
          </cell>
          <cell r="FG20">
            <v>191997.15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25200</v>
          </cell>
          <cell r="FO20">
            <v>2100</v>
          </cell>
        </row>
        <row r="21">
          <cell r="A21" t="str">
            <v>000A4013</v>
          </cell>
          <cell r="B21" t="str">
            <v>PRUDENCE EXTRA GDE ULTRA SENSIVEL L8P6</v>
          </cell>
          <cell r="C21" t="str">
            <v>PRUDENCE EXTRA GRANDE ULTRA SENSIVEL 8'S FLOW PACK BOXES W/192 (1,780 BOX)</v>
          </cell>
          <cell r="D21" t="str">
            <v>OTC</v>
          </cell>
          <cell r="E21" t="str">
            <v>Karex / NRS</v>
          </cell>
          <cell r="G21">
            <v>133</v>
          </cell>
          <cell r="H21">
            <v>133</v>
          </cell>
          <cell r="I21">
            <v>266</v>
          </cell>
          <cell r="J21">
            <v>45964</v>
          </cell>
          <cell r="K21">
            <v>11</v>
          </cell>
          <cell r="L21">
            <v>2025</v>
          </cell>
          <cell r="M21">
            <v>46097</v>
          </cell>
          <cell r="N21">
            <v>3</v>
          </cell>
          <cell r="O21">
            <v>2026</v>
          </cell>
          <cell r="P21">
            <v>0.98</v>
          </cell>
          <cell r="Q21" t="str">
            <v>A</v>
          </cell>
          <cell r="R21">
            <v>36.874648724544215</v>
          </cell>
          <cell r="S21">
            <v>100.15</v>
          </cell>
          <cell r="T21">
            <v>1500</v>
          </cell>
          <cell r="U21">
            <v>8400</v>
          </cell>
          <cell r="V21">
            <v>1780</v>
          </cell>
          <cell r="W21">
            <v>8900</v>
          </cell>
          <cell r="X21" t="str">
            <v>box</v>
          </cell>
          <cell r="Y21">
            <v>10.130000000000001</v>
          </cell>
          <cell r="Z21">
            <v>3458</v>
          </cell>
          <cell r="AA21">
            <v>3820</v>
          </cell>
          <cell r="AB21">
            <v>3062</v>
          </cell>
          <cell r="AC21">
            <v>3275</v>
          </cell>
          <cell r="AD21">
            <v>2035</v>
          </cell>
          <cell r="AE21">
            <v>2974</v>
          </cell>
          <cell r="AF21">
            <v>3498</v>
          </cell>
          <cell r="AG21">
            <v>1369</v>
          </cell>
          <cell r="AH21">
            <v>1860</v>
          </cell>
          <cell r="AI21">
            <v>6525</v>
          </cell>
          <cell r="AJ21">
            <v>10510.276</v>
          </cell>
          <cell r="AK21">
            <v>9057.3539999999994</v>
          </cell>
          <cell r="AL21">
            <v>11621.134</v>
          </cell>
          <cell r="AM21">
            <v>12328.404</v>
          </cell>
          <cell r="AN21">
            <v>9728.4040000000005</v>
          </cell>
          <cell r="AO21">
            <v>12495.404</v>
          </cell>
          <cell r="AP21">
            <v>11499.404</v>
          </cell>
          <cell r="AQ21">
            <v>13986.404000000002</v>
          </cell>
          <cell r="AR21">
            <v>14646.404000000002</v>
          </cell>
          <cell r="AS21">
            <v>11350.404000000002</v>
          </cell>
          <cell r="AT21">
            <v>8943.4040000000023</v>
          </cell>
          <cell r="AU21">
            <v>6075.4040000000023</v>
          </cell>
          <cell r="AV21">
            <v>3207.4040000000023</v>
          </cell>
          <cell r="AW21">
            <v>3207.4040000000023</v>
          </cell>
          <cell r="AX21">
            <v>3207.4040000000023</v>
          </cell>
          <cell r="AY21">
            <v>3207.4040000000023</v>
          </cell>
          <cell r="AZ21">
            <v>3207.4040000000023</v>
          </cell>
          <cell r="BA21">
            <v>3207.4040000000023</v>
          </cell>
          <cell r="BC21">
            <v>3456.91</v>
          </cell>
          <cell r="BD21">
            <v>3755.91</v>
          </cell>
          <cell r="BE21">
            <v>2800</v>
          </cell>
          <cell r="BF21">
            <v>2800</v>
          </cell>
          <cell r="BG21">
            <v>1776.125</v>
          </cell>
          <cell r="BH21">
            <v>3218.8850000000002</v>
          </cell>
          <cell r="BI21">
            <v>4376.3720000000003</v>
          </cell>
          <cell r="BJ21">
            <v>1967.4</v>
          </cell>
          <cell r="BK21">
            <v>2348.857</v>
          </cell>
          <cell r="BL21">
            <v>3134.7240000000002</v>
          </cell>
          <cell r="BM21">
            <v>2572.922</v>
          </cell>
          <cell r="BN21">
            <v>2776.22</v>
          </cell>
          <cell r="BO21">
            <v>2852.73</v>
          </cell>
          <cell r="BP21">
            <v>2600</v>
          </cell>
          <cell r="BQ21">
            <v>2573</v>
          </cell>
          <cell r="BR21">
            <v>2776</v>
          </cell>
          <cell r="BS21">
            <v>2853</v>
          </cell>
          <cell r="BT21">
            <v>2900</v>
          </cell>
          <cell r="BU21">
            <v>3296</v>
          </cell>
          <cell r="BV21">
            <v>2407</v>
          </cell>
          <cell r="BW21">
            <v>2868</v>
          </cell>
          <cell r="BX21">
            <v>2868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238.24258488022301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7120</v>
          </cell>
          <cell r="CP21">
            <v>1120</v>
          </cell>
          <cell r="CQ21">
            <v>5340</v>
          </cell>
          <cell r="CR21">
            <v>3560</v>
          </cell>
          <cell r="CS21">
            <v>0</v>
          </cell>
          <cell r="CT21">
            <v>5340</v>
          </cell>
          <cell r="CU21">
            <v>1780</v>
          </cell>
          <cell r="CV21">
            <v>5340</v>
          </cell>
          <cell r="CW21">
            <v>3560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I21">
            <v>99.57</v>
          </cell>
          <cell r="DJ21">
            <v>304883.33999999997</v>
          </cell>
          <cell r="DK21">
            <v>326091.75</v>
          </cell>
          <cell r="DL21">
            <v>202624.94999999998</v>
          </cell>
          <cell r="DM21">
            <v>296121.18</v>
          </cell>
          <cell r="DN21">
            <v>348295.86</v>
          </cell>
          <cell r="DO21">
            <v>136311.32999999999</v>
          </cell>
          <cell r="DP21">
            <v>185200.19999999998</v>
          </cell>
          <cell r="DQ21">
            <v>649694.25</v>
          </cell>
          <cell r="DR21">
            <v>1046508.1813199999</v>
          </cell>
          <cell r="DS21">
            <v>901840.73777999985</v>
          </cell>
          <cell r="DT21">
            <v>1157116.31238</v>
          </cell>
          <cell r="DU21">
            <v>1227539.18628</v>
          </cell>
          <cell r="DV21">
            <v>968657.18628000002</v>
          </cell>
          <cell r="DW21">
            <v>1244167.37628</v>
          </cell>
          <cell r="DX21">
            <v>1144995.65628</v>
          </cell>
          <cell r="DY21">
            <v>1392626.2462800001</v>
          </cell>
          <cell r="DZ21">
            <v>1458342.44628</v>
          </cell>
          <cell r="EA21">
            <v>1130159.7262800001</v>
          </cell>
          <cell r="EB21">
            <v>890494.73628000019</v>
          </cell>
          <cell r="EC21">
            <v>604927.97628000018</v>
          </cell>
          <cell r="ED21">
            <v>319361.21628000023</v>
          </cell>
          <cell r="EE21">
            <v>319361.21628000023</v>
          </cell>
          <cell r="EF21">
            <v>319361.21628000023</v>
          </cell>
          <cell r="EG21">
            <v>319361.21628000023</v>
          </cell>
          <cell r="EH21">
            <v>319361.21628000023</v>
          </cell>
          <cell r="EI21">
            <v>319361.21628000023</v>
          </cell>
          <cell r="EL21">
            <v>346209.53649999999</v>
          </cell>
          <cell r="EM21">
            <v>376154.38650000002</v>
          </cell>
          <cell r="EN21">
            <v>278796</v>
          </cell>
          <cell r="EO21">
            <v>278796</v>
          </cell>
          <cell r="EP21">
            <v>176848.76624999999</v>
          </cell>
          <cell r="EQ21">
            <v>320504.37945000001</v>
          </cell>
          <cell r="ER21">
            <v>435755.36004</v>
          </cell>
          <cell r="ES21">
            <v>195894.01799999998</v>
          </cell>
          <cell r="ET21">
            <v>233875.69148999997</v>
          </cell>
          <cell r="EU21">
            <v>312124.46867999999</v>
          </cell>
          <cell r="EV21">
            <v>256185.84353999997</v>
          </cell>
          <cell r="EW21">
            <v>276428.22539999994</v>
          </cell>
          <cell r="EX21">
            <v>284046.32610000001</v>
          </cell>
          <cell r="EY21">
            <v>258881.99999999997</v>
          </cell>
          <cell r="EZ21">
            <v>256193.61</v>
          </cell>
          <cell r="FA21">
            <v>276406.32</v>
          </cell>
          <cell r="FB21">
            <v>284073.20999999996</v>
          </cell>
          <cell r="FC21">
            <v>288753</v>
          </cell>
          <cell r="FD21">
            <v>328182.71999999997</v>
          </cell>
          <cell r="FE21">
            <v>239664.99</v>
          </cell>
          <cell r="FF21">
            <v>285566.76</v>
          </cell>
          <cell r="FG21">
            <v>285566.76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24260</v>
          </cell>
          <cell r="FO21">
            <v>8900</v>
          </cell>
        </row>
        <row r="22">
          <cell r="A22" t="str">
            <v>000A4029</v>
          </cell>
          <cell r="B22" t="str">
            <v>PRUDENCE PRESERVATIVOS LUBRIFICADOS L8P6</v>
          </cell>
          <cell r="C22" t="str">
            <v>PRUDENCE PRESERVATIVOS LUBRIFICADOS L8P6</v>
          </cell>
          <cell r="D22" t="str">
            <v>OTC</v>
          </cell>
          <cell r="E22" t="str">
            <v>Thai Nippon</v>
          </cell>
          <cell r="G22">
            <v>96</v>
          </cell>
          <cell r="H22">
            <v>137</v>
          </cell>
          <cell r="I22">
            <v>233</v>
          </cell>
          <cell r="J22">
            <v>45927</v>
          </cell>
          <cell r="K22">
            <v>9</v>
          </cell>
          <cell r="L22">
            <v>2025</v>
          </cell>
          <cell r="M22">
            <v>46064</v>
          </cell>
          <cell r="N22">
            <v>2</v>
          </cell>
          <cell r="O22">
            <v>2026</v>
          </cell>
          <cell r="P22">
            <v>0.98</v>
          </cell>
          <cell r="Q22" t="str">
            <v>A</v>
          </cell>
          <cell r="R22">
            <v>38.932338049518926</v>
          </cell>
          <cell r="S22">
            <v>123.07</v>
          </cell>
          <cell r="T22">
            <v>4800</v>
          </cell>
          <cell r="U22">
            <v>27700</v>
          </cell>
          <cell r="V22">
            <v>2600</v>
          </cell>
          <cell r="W22">
            <v>28600</v>
          </cell>
          <cell r="X22" t="str">
            <v>box</v>
          </cell>
          <cell r="Y22">
            <v>7.2</v>
          </cell>
          <cell r="Z22">
            <v>4875</v>
          </cell>
          <cell r="AA22">
            <v>4407</v>
          </cell>
          <cell r="AB22">
            <v>5020</v>
          </cell>
          <cell r="AC22">
            <v>5127</v>
          </cell>
          <cell r="AD22">
            <v>3182</v>
          </cell>
          <cell r="AE22">
            <v>6342</v>
          </cell>
          <cell r="AF22">
            <v>6976</v>
          </cell>
          <cell r="AG22">
            <v>2947</v>
          </cell>
          <cell r="AH22">
            <v>25357</v>
          </cell>
          <cell r="AI22">
            <v>22466</v>
          </cell>
          <cell r="AJ22">
            <v>21739.619979999999</v>
          </cell>
          <cell r="AK22">
            <v>26253.487079999999</v>
          </cell>
          <cell r="AL22">
            <v>38067.175519999997</v>
          </cell>
          <cell r="AM22">
            <v>31251.052639999998</v>
          </cell>
          <cell r="AN22">
            <v>30451.052639999994</v>
          </cell>
          <cell r="AO22">
            <v>24451.052639999994</v>
          </cell>
          <cell r="AP22">
            <v>28851.052639999994</v>
          </cell>
          <cell r="AQ22">
            <v>22851.052639999994</v>
          </cell>
          <cell r="AR22">
            <v>24651.052639999994</v>
          </cell>
          <cell r="AS22">
            <v>16851.052639999994</v>
          </cell>
          <cell r="AT22">
            <v>12651.052639999994</v>
          </cell>
          <cell r="AU22">
            <v>6651.0526399999944</v>
          </cell>
          <cell r="AV22">
            <v>1651.0526399999944</v>
          </cell>
          <cell r="AW22">
            <v>1651.0526399999944</v>
          </cell>
          <cell r="AX22">
            <v>1651.0526399999944</v>
          </cell>
          <cell r="AY22">
            <v>1651.0526399999944</v>
          </cell>
          <cell r="AZ22">
            <v>1651.0526399999944</v>
          </cell>
          <cell r="BA22">
            <v>1651.0526399999944</v>
          </cell>
          <cell r="BC22">
            <v>4430.95</v>
          </cell>
          <cell r="BD22">
            <v>4302</v>
          </cell>
          <cell r="BE22">
            <v>5500</v>
          </cell>
          <cell r="BF22">
            <v>5500</v>
          </cell>
          <cell r="BG22">
            <v>3724.4767424999995</v>
          </cell>
          <cell r="BH22">
            <v>7625.0303199999998</v>
          </cell>
          <cell r="BI22">
            <v>10134.164839999999</v>
          </cell>
          <cell r="BJ22">
            <v>33822.658199999998</v>
          </cell>
          <cell r="BK22">
            <v>5721.3085000000001</v>
          </cell>
          <cell r="BL22">
            <v>5726.3800199999996</v>
          </cell>
          <cell r="BM22">
            <v>5886.1328999999996</v>
          </cell>
          <cell r="BN22">
            <v>6386.3115599999992</v>
          </cell>
          <cell r="BO22">
            <v>6816.1228799999999</v>
          </cell>
          <cell r="BP22">
            <v>6000</v>
          </cell>
          <cell r="BQ22">
            <v>6000</v>
          </cell>
          <cell r="BR22">
            <v>6000</v>
          </cell>
          <cell r="BS22">
            <v>6000</v>
          </cell>
          <cell r="BT22">
            <v>6000</v>
          </cell>
          <cell r="BU22">
            <v>7800</v>
          </cell>
          <cell r="BV22">
            <v>4200</v>
          </cell>
          <cell r="BW22">
            <v>6000</v>
          </cell>
          <cell r="BX22">
            <v>5000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835.68796987026496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5000</v>
          </cell>
          <cell r="CP22">
            <v>10400</v>
          </cell>
          <cell r="CQ22">
            <v>18200</v>
          </cell>
          <cell r="CR22">
            <v>0</v>
          </cell>
          <cell r="CS22">
            <v>5200</v>
          </cell>
          <cell r="CT22">
            <v>0</v>
          </cell>
          <cell r="CU22">
            <v>10400</v>
          </cell>
          <cell r="CV22">
            <v>0</v>
          </cell>
          <cell r="CW22">
            <v>7800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I22">
            <v>65.849999999999994</v>
          </cell>
          <cell r="DJ22">
            <v>330567</v>
          </cell>
          <cell r="DK22">
            <v>337612.94999999995</v>
          </cell>
          <cell r="DL22">
            <v>209534.69999999998</v>
          </cell>
          <cell r="DM22">
            <v>417620.69999999995</v>
          </cell>
          <cell r="DN22">
            <v>459369.6</v>
          </cell>
          <cell r="DO22">
            <v>194059.94999999998</v>
          </cell>
          <cell r="DP22">
            <v>1669758.45</v>
          </cell>
          <cell r="DQ22">
            <v>1479386.0999999999</v>
          </cell>
          <cell r="DR22">
            <v>1431553.9756829999</v>
          </cell>
          <cell r="DS22">
            <v>1728792.1242179999</v>
          </cell>
          <cell r="DT22">
            <v>2506723.5079919994</v>
          </cell>
          <cell r="DU22">
            <v>2057881.8163439997</v>
          </cell>
          <cell r="DV22">
            <v>2005201.8163439995</v>
          </cell>
          <cell r="DW22">
            <v>1610101.8163439995</v>
          </cell>
          <cell r="DX22">
            <v>1899841.8163439995</v>
          </cell>
          <cell r="DY22">
            <v>1504741.8163439995</v>
          </cell>
          <cell r="DZ22">
            <v>1623271.8163439995</v>
          </cell>
          <cell r="EA22">
            <v>1109641.8163439995</v>
          </cell>
          <cell r="EB22">
            <v>833071.81634399958</v>
          </cell>
          <cell r="EC22">
            <v>437971.81634399958</v>
          </cell>
          <cell r="ED22">
            <v>108721.81634399963</v>
          </cell>
          <cell r="EE22">
            <v>108721.81634399963</v>
          </cell>
          <cell r="EF22">
            <v>108721.81634399963</v>
          </cell>
          <cell r="EG22">
            <v>108721.81634399963</v>
          </cell>
          <cell r="EH22">
            <v>108721.81634399963</v>
          </cell>
          <cell r="EI22">
            <v>108721.81634399963</v>
          </cell>
          <cell r="EL22">
            <v>545317.01649999991</v>
          </cell>
          <cell r="EM22">
            <v>529447.14</v>
          </cell>
          <cell r="EN22">
            <v>362174.99999999994</v>
          </cell>
          <cell r="EO22">
            <v>362174.99999999994</v>
          </cell>
          <cell r="EP22">
            <v>245256.79349362495</v>
          </cell>
          <cell r="EQ22">
            <v>502108.24657199997</v>
          </cell>
          <cell r="ER22">
            <v>667334.75471399992</v>
          </cell>
          <cell r="ES22">
            <v>2227222.0424699998</v>
          </cell>
          <cell r="ET22">
            <v>376748.16472499998</v>
          </cell>
          <cell r="EU22">
            <v>377082.12431699992</v>
          </cell>
          <cell r="EV22">
            <v>387601.85146499996</v>
          </cell>
          <cell r="EW22">
            <v>420538.6162259999</v>
          </cell>
          <cell r="EX22">
            <v>448841.69164799998</v>
          </cell>
          <cell r="EY22">
            <v>395099.99999999994</v>
          </cell>
          <cell r="EZ22">
            <v>395099.99999999994</v>
          </cell>
          <cell r="FA22">
            <v>395099.99999999994</v>
          </cell>
          <cell r="FB22">
            <v>395099.99999999994</v>
          </cell>
          <cell r="FC22">
            <v>395099.99999999994</v>
          </cell>
          <cell r="FD22">
            <v>513629.99999999994</v>
          </cell>
          <cell r="FE22">
            <v>276570</v>
          </cell>
          <cell r="FF22">
            <v>395099.99999999994</v>
          </cell>
          <cell r="FG22">
            <v>329250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38800</v>
          </cell>
          <cell r="FO22">
            <v>18200</v>
          </cell>
        </row>
        <row r="23">
          <cell r="A23" t="str">
            <v>000A4092</v>
          </cell>
          <cell r="B23" t="str">
            <v>PRESERVATIVO NAO LUBRIFICADO</v>
          </cell>
          <cell r="C23" t="str">
            <v>PRESERVATIVO NAO LUBRIFICADO</v>
          </cell>
          <cell r="D23" t="str">
            <v>Ethical</v>
          </cell>
          <cell r="E23" t="str">
            <v>Karex / NRS</v>
          </cell>
          <cell r="G23">
            <v>133</v>
          </cell>
          <cell r="H23">
            <v>133</v>
          </cell>
          <cell r="I23">
            <v>266</v>
          </cell>
          <cell r="J23">
            <v>45964</v>
          </cell>
          <cell r="K23">
            <v>11</v>
          </cell>
          <cell r="L23">
            <v>2025</v>
          </cell>
          <cell r="M23">
            <v>46097</v>
          </cell>
          <cell r="N23">
            <v>3</v>
          </cell>
          <cell r="O23">
            <v>2026</v>
          </cell>
          <cell r="P23">
            <v>0.98</v>
          </cell>
          <cell r="Q23" t="e">
            <v>#N/A</v>
          </cell>
          <cell r="T23">
            <v>0</v>
          </cell>
          <cell r="V23">
            <v>3000</v>
          </cell>
          <cell r="Y23">
            <v>6.05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</row>
        <row r="24">
          <cell r="A24" t="str">
            <v>000A4026</v>
          </cell>
          <cell r="B24" t="str">
            <v>PRUDENCE CLASSICO 12</v>
          </cell>
          <cell r="C24" t="str">
            <v>PRUDENCE REGULAR 12'S FLOW PACK</v>
          </cell>
          <cell r="D24" t="str">
            <v>OTC</v>
          </cell>
          <cell r="E24" t="str">
            <v>Karex / NRS</v>
          </cell>
          <cell r="G24">
            <v>133</v>
          </cell>
          <cell r="H24">
            <v>133</v>
          </cell>
          <cell r="I24">
            <v>266</v>
          </cell>
          <cell r="J24">
            <v>45964</v>
          </cell>
          <cell r="K24">
            <v>11</v>
          </cell>
          <cell r="L24">
            <v>2025</v>
          </cell>
          <cell r="M24">
            <v>46097</v>
          </cell>
          <cell r="N24">
            <v>3</v>
          </cell>
          <cell r="O24">
            <v>2026</v>
          </cell>
          <cell r="P24">
            <v>0.98</v>
          </cell>
          <cell r="Q24" t="str">
            <v>A</v>
          </cell>
          <cell r="R24">
            <v>39.686406941928908</v>
          </cell>
          <cell r="S24">
            <v>67.56</v>
          </cell>
          <cell r="T24">
            <v>7400</v>
          </cell>
          <cell r="U24">
            <v>12200</v>
          </cell>
          <cell r="V24">
            <v>3000</v>
          </cell>
          <cell r="W24">
            <v>12000</v>
          </cell>
          <cell r="Y24">
            <v>5.33</v>
          </cell>
          <cell r="Z24">
            <v>5201</v>
          </cell>
          <cell r="AA24">
            <v>2790</v>
          </cell>
          <cell r="AB24">
            <v>4753</v>
          </cell>
          <cell r="AC24">
            <v>2894</v>
          </cell>
          <cell r="AD24">
            <v>1249</v>
          </cell>
          <cell r="AE24">
            <v>1943</v>
          </cell>
          <cell r="AF24">
            <v>3323</v>
          </cell>
          <cell r="AG24">
            <v>1558</v>
          </cell>
          <cell r="AH24">
            <v>1958</v>
          </cell>
          <cell r="AI24">
            <v>20703</v>
          </cell>
          <cell r="AJ24">
            <v>15972</v>
          </cell>
          <cell r="AK24">
            <v>19148</v>
          </cell>
          <cell r="AL24">
            <v>20282</v>
          </cell>
          <cell r="AM24">
            <v>30067</v>
          </cell>
          <cell r="AN24">
            <v>27467</v>
          </cell>
          <cell r="AO24">
            <v>24967</v>
          </cell>
          <cell r="AP24">
            <v>22367</v>
          </cell>
          <cell r="AQ24">
            <v>19767</v>
          </cell>
          <cell r="AR24">
            <v>17167</v>
          </cell>
          <cell r="AS24">
            <v>13917</v>
          </cell>
          <cell r="AT24">
            <v>12167</v>
          </cell>
          <cell r="AU24">
            <v>9567</v>
          </cell>
          <cell r="AV24">
            <v>6967</v>
          </cell>
          <cell r="AW24">
            <v>6967</v>
          </cell>
          <cell r="AX24">
            <v>6967</v>
          </cell>
          <cell r="AY24">
            <v>6967</v>
          </cell>
          <cell r="AZ24">
            <v>6967</v>
          </cell>
          <cell r="BA24">
            <v>6967</v>
          </cell>
          <cell r="BC24">
            <v>4791</v>
          </cell>
          <cell r="BD24">
            <v>2664.67</v>
          </cell>
          <cell r="BE24">
            <v>2300</v>
          </cell>
          <cell r="BF24">
            <v>2300</v>
          </cell>
          <cell r="BG24">
            <v>3661</v>
          </cell>
          <cell r="BH24">
            <v>4898</v>
          </cell>
          <cell r="BI24">
            <v>4931</v>
          </cell>
          <cell r="BJ24">
            <v>5773</v>
          </cell>
          <cell r="BK24">
            <v>4485</v>
          </cell>
          <cell r="BL24">
            <v>4731</v>
          </cell>
          <cell r="BM24">
            <v>5824</v>
          </cell>
          <cell r="BN24">
            <v>4866</v>
          </cell>
          <cell r="BO24">
            <v>2215</v>
          </cell>
          <cell r="BP24">
            <v>2600</v>
          </cell>
          <cell r="BQ24">
            <v>2500</v>
          </cell>
          <cell r="BR24">
            <v>2600</v>
          </cell>
          <cell r="BS24">
            <v>2600</v>
          </cell>
          <cell r="BT24">
            <v>2600</v>
          </cell>
          <cell r="BU24">
            <v>3250</v>
          </cell>
          <cell r="BV24">
            <v>1750</v>
          </cell>
          <cell r="BW24">
            <v>2600</v>
          </cell>
          <cell r="BX24">
            <v>2600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1213.5586522966671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9000</v>
          </cell>
          <cell r="CQ24">
            <v>6000</v>
          </cell>
          <cell r="CR24">
            <v>12000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I24">
            <v>53.79</v>
          </cell>
          <cell r="DJ24">
            <v>255663.87</v>
          </cell>
          <cell r="DK24">
            <v>155668.26</v>
          </cell>
          <cell r="DL24">
            <v>67183.709999999992</v>
          </cell>
          <cell r="DM24">
            <v>104513.97</v>
          </cell>
          <cell r="DN24">
            <v>178744.16999999998</v>
          </cell>
          <cell r="DO24">
            <v>83804.819999999992</v>
          </cell>
          <cell r="DP24">
            <v>105320.81999999999</v>
          </cell>
          <cell r="DQ24">
            <v>1113614.3699999999</v>
          </cell>
          <cell r="DR24">
            <v>859133.88</v>
          </cell>
          <cell r="DS24">
            <v>1029970.9199999999</v>
          </cell>
          <cell r="DT24">
            <v>1090968.78</v>
          </cell>
          <cell r="DU24">
            <v>1617303.93</v>
          </cell>
          <cell r="DV24">
            <v>1477449.93</v>
          </cell>
          <cell r="DW24">
            <v>1342974.93</v>
          </cell>
          <cell r="DX24">
            <v>1203120.93</v>
          </cell>
          <cell r="DY24">
            <v>1063266.93</v>
          </cell>
          <cell r="DZ24">
            <v>923412.92999999993</v>
          </cell>
          <cell r="EA24">
            <v>748595.42999999993</v>
          </cell>
          <cell r="EB24">
            <v>654462.92999999993</v>
          </cell>
          <cell r="EC24">
            <v>514608.93</v>
          </cell>
          <cell r="ED24">
            <v>374754.93</v>
          </cell>
          <cell r="EE24">
            <v>374754.93</v>
          </cell>
          <cell r="EF24">
            <v>374754.93</v>
          </cell>
          <cell r="EG24">
            <v>374754.93</v>
          </cell>
          <cell r="EH24">
            <v>374754.93</v>
          </cell>
          <cell r="EI24">
            <v>374754.93</v>
          </cell>
          <cell r="EL24">
            <v>323679.96000000002</v>
          </cell>
          <cell r="EM24">
            <v>180025.10520000002</v>
          </cell>
          <cell r="EN24">
            <v>123717</v>
          </cell>
          <cell r="EO24">
            <v>123717</v>
          </cell>
          <cell r="EP24">
            <v>196925.19</v>
          </cell>
          <cell r="EQ24">
            <v>263463.42</v>
          </cell>
          <cell r="ER24">
            <v>265238.49</v>
          </cell>
          <cell r="ES24">
            <v>310529.67</v>
          </cell>
          <cell r="ET24">
            <v>241248.15</v>
          </cell>
          <cell r="EU24">
            <v>254480.49</v>
          </cell>
          <cell r="EV24">
            <v>313272.96000000002</v>
          </cell>
          <cell r="EW24">
            <v>261742.13999999998</v>
          </cell>
          <cell r="EX24">
            <v>119144.84999999999</v>
          </cell>
          <cell r="EY24">
            <v>139854</v>
          </cell>
          <cell r="EZ24">
            <v>134475</v>
          </cell>
          <cell r="FA24">
            <v>139854</v>
          </cell>
          <cell r="FB24">
            <v>139854</v>
          </cell>
          <cell r="FC24">
            <v>139854</v>
          </cell>
          <cell r="FD24">
            <v>174817.5</v>
          </cell>
          <cell r="FE24">
            <v>94132.5</v>
          </cell>
          <cell r="FF24">
            <v>139854</v>
          </cell>
          <cell r="FG24">
            <v>139854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27000</v>
          </cell>
          <cell r="FO24">
            <v>0</v>
          </cell>
        </row>
        <row r="25">
          <cell r="A25" t="str">
            <v>000A4023</v>
          </cell>
          <cell r="B25" t="str">
            <v>PRUDENCE CLASSICO 3</v>
          </cell>
          <cell r="C25" t="str">
            <v>PRUDENCE REGULAR 3'S FLOW PACK (METALIZED) - DISPLAY BOX</v>
          </cell>
          <cell r="D25" t="str">
            <v>OTC</v>
          </cell>
          <cell r="E25" t="str">
            <v>Karex / NRS</v>
          </cell>
          <cell r="G25">
            <v>133</v>
          </cell>
          <cell r="H25">
            <v>133</v>
          </cell>
          <cell r="I25">
            <v>266</v>
          </cell>
          <cell r="J25">
            <v>45964</v>
          </cell>
          <cell r="K25">
            <v>11</v>
          </cell>
          <cell r="L25">
            <v>2025</v>
          </cell>
          <cell r="M25">
            <v>46097</v>
          </cell>
          <cell r="N25">
            <v>3</v>
          </cell>
          <cell r="O25">
            <v>2026</v>
          </cell>
          <cell r="P25">
            <v>0.98</v>
          </cell>
          <cell r="Q25" t="str">
            <v>A</v>
          </cell>
          <cell r="R25">
            <v>56.991567029327065</v>
          </cell>
          <cell r="S25">
            <v>66.150000000000006</v>
          </cell>
          <cell r="T25">
            <v>7000</v>
          </cell>
          <cell r="U25">
            <v>21500</v>
          </cell>
          <cell r="V25">
            <v>3000</v>
          </cell>
          <cell r="W25">
            <v>21000</v>
          </cell>
          <cell r="Y25">
            <v>6.35</v>
          </cell>
          <cell r="Z25">
            <v>14619</v>
          </cell>
          <cell r="AA25">
            <v>16673</v>
          </cell>
          <cell r="AB25">
            <v>7285</v>
          </cell>
          <cell r="AC25">
            <v>478</v>
          </cell>
          <cell r="AD25">
            <v>12009</v>
          </cell>
          <cell r="AE25">
            <v>6416</v>
          </cell>
          <cell r="AF25">
            <v>12859</v>
          </cell>
          <cell r="AG25">
            <v>5403</v>
          </cell>
          <cell r="AH25">
            <v>6168</v>
          </cell>
          <cell r="AI25">
            <v>4886</v>
          </cell>
          <cell r="AJ25">
            <v>10016.232680000001</v>
          </cell>
          <cell r="AK25">
            <v>15700.61636</v>
          </cell>
          <cell r="AL25">
            <v>22700.61636</v>
          </cell>
          <cell r="AM25">
            <v>26700.61636</v>
          </cell>
          <cell r="AN25">
            <v>31900.61636</v>
          </cell>
          <cell r="AO25">
            <v>35900.61636</v>
          </cell>
          <cell r="AP25">
            <v>33900.61636</v>
          </cell>
          <cell r="AQ25">
            <v>46900.61636</v>
          </cell>
          <cell r="AR25">
            <v>38900.61636</v>
          </cell>
          <cell r="AS25">
            <v>34500.61636</v>
          </cell>
          <cell r="AT25">
            <v>28900.61636</v>
          </cell>
          <cell r="AU25">
            <v>20900.61636</v>
          </cell>
          <cell r="AV25">
            <v>12900.61636</v>
          </cell>
          <cell r="AW25">
            <v>12900.61636</v>
          </cell>
          <cell r="AX25">
            <v>12900.61636</v>
          </cell>
          <cell r="AY25">
            <v>12900.61636</v>
          </cell>
          <cell r="AZ25">
            <v>12900.61636</v>
          </cell>
          <cell r="BA25">
            <v>12900.61636</v>
          </cell>
          <cell r="BC25">
            <v>14498.939999999999</v>
          </cell>
          <cell r="BD25">
            <v>16661.96</v>
          </cell>
          <cell r="BE25">
            <v>7000</v>
          </cell>
          <cell r="BF25">
            <v>7000</v>
          </cell>
          <cell r="BG25">
            <v>4360.1026950000005</v>
          </cell>
          <cell r="BH25">
            <v>6981.4500600000001</v>
          </cell>
          <cell r="BI25">
            <v>10026.72294</v>
          </cell>
          <cell r="BJ25">
            <v>3795.5080800000001</v>
          </cell>
          <cell r="BK25">
            <v>5704.3451400000004</v>
          </cell>
          <cell r="BL25">
            <v>6869.7673199999999</v>
          </cell>
          <cell r="BM25">
            <v>6315.6163200000001</v>
          </cell>
          <cell r="BN25">
            <v>8000</v>
          </cell>
          <cell r="BO25">
            <v>8000</v>
          </cell>
          <cell r="BP25">
            <v>6800</v>
          </cell>
          <cell r="BQ25">
            <v>8000</v>
          </cell>
          <cell r="BR25">
            <v>8000</v>
          </cell>
          <cell r="BS25">
            <v>8000</v>
          </cell>
          <cell r="BT25">
            <v>8000</v>
          </cell>
          <cell r="BU25">
            <v>10400</v>
          </cell>
          <cell r="BV25">
            <v>5600</v>
          </cell>
          <cell r="BW25">
            <v>8000</v>
          </cell>
          <cell r="BX25">
            <v>8000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1148.7237100674465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12000</v>
          </cell>
          <cell r="CP25">
            <v>12000</v>
          </cell>
          <cell r="CQ25">
            <v>15000</v>
          </cell>
          <cell r="CR25">
            <v>12000</v>
          </cell>
          <cell r="CS25">
            <v>12000</v>
          </cell>
          <cell r="CT25">
            <v>12000</v>
          </cell>
          <cell r="CU25">
            <v>6000</v>
          </cell>
          <cell r="CV25">
            <v>21000</v>
          </cell>
          <cell r="CX25">
            <v>6000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I25">
            <v>45.68</v>
          </cell>
          <cell r="DJ25">
            <v>332778.8</v>
          </cell>
          <cell r="DK25">
            <v>21835.040000000001</v>
          </cell>
          <cell r="DL25">
            <v>548571.12</v>
          </cell>
          <cell r="DM25">
            <v>293082.88</v>
          </cell>
          <cell r="DN25">
            <v>587399.12</v>
          </cell>
          <cell r="DO25">
            <v>246809.04</v>
          </cell>
          <cell r="DP25">
            <v>281754.23999999999</v>
          </cell>
          <cell r="DQ25">
            <v>223192.48</v>
          </cell>
          <cell r="DR25">
            <v>457541.50882240006</v>
          </cell>
          <cell r="DS25">
            <v>717204.15532479994</v>
          </cell>
          <cell r="DT25">
            <v>1036964.1553247999</v>
          </cell>
          <cell r="DU25">
            <v>1219684.1553247999</v>
          </cell>
          <cell r="DV25">
            <v>1457220.1553247999</v>
          </cell>
          <cell r="DW25">
            <v>1639940.1553247999</v>
          </cell>
          <cell r="DX25">
            <v>1548580.1553247999</v>
          </cell>
          <cell r="DY25">
            <v>2142420.1553247999</v>
          </cell>
          <cell r="DZ25">
            <v>1776980.1553247999</v>
          </cell>
          <cell r="EA25">
            <v>1575988.1553247999</v>
          </cell>
          <cell r="EB25">
            <v>1320180.1553247999</v>
          </cell>
          <cell r="EC25">
            <v>954740.15532479994</v>
          </cell>
          <cell r="ED25">
            <v>589300.15532479994</v>
          </cell>
          <cell r="EE25">
            <v>589300.15532479994</v>
          </cell>
          <cell r="EF25">
            <v>589300.15532479994</v>
          </cell>
          <cell r="EG25">
            <v>589300.15532479994</v>
          </cell>
          <cell r="EH25">
            <v>589300.15532479994</v>
          </cell>
          <cell r="EI25">
            <v>589300.15532479994</v>
          </cell>
          <cell r="EL25">
            <v>959104.88100000005</v>
          </cell>
          <cell r="EM25">
            <v>1102188.6540000001</v>
          </cell>
          <cell r="EN25">
            <v>319760</v>
          </cell>
          <cell r="EO25">
            <v>319760</v>
          </cell>
          <cell r="EP25">
            <v>199169.49110760001</v>
          </cell>
          <cell r="EQ25">
            <v>318912.63874080003</v>
          </cell>
          <cell r="ER25">
            <v>458020.70389919996</v>
          </cell>
          <cell r="ES25">
            <v>173378.8090944</v>
          </cell>
          <cell r="ET25">
            <v>260574.48599520003</v>
          </cell>
          <cell r="EU25">
            <v>313810.97117759997</v>
          </cell>
          <cell r="EV25">
            <v>288497.35349760001</v>
          </cell>
          <cell r="EW25">
            <v>365440</v>
          </cell>
          <cell r="EX25">
            <v>365440</v>
          </cell>
          <cell r="EY25">
            <v>310624</v>
          </cell>
          <cell r="EZ25">
            <v>365440</v>
          </cell>
          <cell r="FA25">
            <v>365440</v>
          </cell>
          <cell r="FB25">
            <v>365440</v>
          </cell>
          <cell r="FC25">
            <v>365440</v>
          </cell>
          <cell r="FD25">
            <v>475072</v>
          </cell>
          <cell r="FE25">
            <v>255808</v>
          </cell>
          <cell r="FF25">
            <v>365440</v>
          </cell>
          <cell r="FG25">
            <v>365440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81000</v>
          </cell>
          <cell r="FO25">
            <v>27000</v>
          </cell>
        </row>
        <row r="26">
          <cell r="A26" t="str">
            <v>000A4025</v>
          </cell>
          <cell r="B26" t="str">
            <v>PRUDENCE CLASSICO 8</v>
          </cell>
          <cell r="C26" t="str">
            <v>PRUDENCE REGULAR 8'S FLOW PACK BOXES W/192 (2,100 BOX)</v>
          </cell>
          <cell r="D26" t="str">
            <v>OTC</v>
          </cell>
          <cell r="E26" t="str">
            <v>Karex / NRS</v>
          </cell>
          <cell r="G26">
            <v>133</v>
          </cell>
          <cell r="H26">
            <v>133</v>
          </cell>
          <cell r="I26">
            <v>266</v>
          </cell>
          <cell r="J26">
            <v>45964</v>
          </cell>
          <cell r="K26">
            <v>11</v>
          </cell>
          <cell r="L26">
            <v>2025</v>
          </cell>
          <cell r="M26">
            <v>46097</v>
          </cell>
          <cell r="N26">
            <v>3</v>
          </cell>
          <cell r="O26">
            <v>2026</v>
          </cell>
          <cell r="P26">
            <v>0.98</v>
          </cell>
          <cell r="Q26" t="str">
            <v>A</v>
          </cell>
          <cell r="R26">
            <v>59.899542016318236</v>
          </cell>
          <cell r="S26">
            <v>73.599999999999994</v>
          </cell>
          <cell r="T26">
            <v>9100</v>
          </cell>
          <cell r="U26">
            <v>20800</v>
          </cell>
          <cell r="V26">
            <v>2100</v>
          </cell>
          <cell r="W26">
            <v>21000</v>
          </cell>
          <cell r="X26" t="str">
            <v>box</v>
          </cell>
          <cell r="Y26">
            <v>7.59</v>
          </cell>
          <cell r="Z26">
            <v>12592</v>
          </cell>
          <cell r="AA26">
            <v>11854</v>
          </cell>
          <cell r="AB26">
            <v>6727</v>
          </cell>
          <cell r="AC26">
            <v>5995</v>
          </cell>
          <cell r="AD26">
            <v>3967</v>
          </cell>
          <cell r="AE26">
            <v>3940</v>
          </cell>
          <cell r="AF26">
            <v>10079</v>
          </cell>
          <cell r="AG26">
            <v>4122</v>
          </cell>
          <cell r="AH26">
            <v>4416</v>
          </cell>
          <cell r="AI26">
            <v>27423</v>
          </cell>
          <cell r="AJ26">
            <v>28560</v>
          </cell>
          <cell r="AK26">
            <v>34187</v>
          </cell>
          <cell r="AL26">
            <v>53429</v>
          </cell>
          <cell r="AM26">
            <v>69755</v>
          </cell>
          <cell r="AN26">
            <v>64755</v>
          </cell>
          <cell r="AO26">
            <v>59755</v>
          </cell>
          <cell r="AP26">
            <v>54755</v>
          </cell>
          <cell r="AQ26">
            <v>49755</v>
          </cell>
          <cell r="AR26">
            <v>44755</v>
          </cell>
          <cell r="AS26">
            <v>38255</v>
          </cell>
          <cell r="AT26">
            <v>34755</v>
          </cell>
          <cell r="AU26">
            <v>29755</v>
          </cell>
          <cell r="AV26">
            <v>24755</v>
          </cell>
          <cell r="AW26">
            <v>24755</v>
          </cell>
          <cell r="AX26">
            <v>24755</v>
          </cell>
          <cell r="AY26">
            <v>24755</v>
          </cell>
          <cell r="AZ26">
            <v>24755</v>
          </cell>
          <cell r="BA26">
            <v>24755</v>
          </cell>
          <cell r="BC26">
            <v>11761</v>
          </cell>
          <cell r="BD26">
            <v>11809</v>
          </cell>
          <cell r="BE26">
            <v>4100</v>
          </cell>
          <cell r="BF26">
            <v>4100</v>
          </cell>
          <cell r="BG26">
            <v>5437</v>
          </cell>
          <cell r="BH26">
            <v>10692</v>
          </cell>
          <cell r="BI26">
            <v>11094</v>
          </cell>
          <cell r="BJ26">
            <v>7978</v>
          </cell>
          <cell r="BK26">
            <v>9019</v>
          </cell>
          <cell r="BL26">
            <v>7263</v>
          </cell>
          <cell r="BM26">
            <v>4873</v>
          </cell>
          <cell r="BN26">
            <v>9458</v>
          </cell>
          <cell r="BO26">
            <v>4674</v>
          </cell>
          <cell r="BP26">
            <v>5000</v>
          </cell>
          <cell r="BQ26">
            <v>5000</v>
          </cell>
          <cell r="BR26">
            <v>5000</v>
          </cell>
          <cell r="BS26">
            <v>5000</v>
          </cell>
          <cell r="BT26">
            <v>5000</v>
          </cell>
          <cell r="BU26">
            <v>6500</v>
          </cell>
          <cell r="BV26">
            <v>3500</v>
          </cell>
          <cell r="BW26">
            <v>5000</v>
          </cell>
          <cell r="BX26">
            <v>5000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1488.7130261937577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8400</v>
          </cell>
          <cell r="CP26">
            <v>10500</v>
          </cell>
          <cell r="CQ26">
            <v>28700</v>
          </cell>
          <cell r="CR26">
            <v>21000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I26">
            <v>53.87</v>
          </cell>
          <cell r="DJ26">
            <v>362383.49</v>
          </cell>
          <cell r="DK26">
            <v>322950.64999999997</v>
          </cell>
          <cell r="DL26">
            <v>213702.28999999998</v>
          </cell>
          <cell r="DM26">
            <v>212247.8</v>
          </cell>
          <cell r="DN26">
            <v>542955.73</v>
          </cell>
          <cell r="DO26">
            <v>222052.13999999998</v>
          </cell>
          <cell r="DP26">
            <v>237889.91999999998</v>
          </cell>
          <cell r="DQ26">
            <v>1477277.01</v>
          </cell>
          <cell r="DR26">
            <v>1538527.2</v>
          </cell>
          <cell r="DS26">
            <v>1841653.69</v>
          </cell>
          <cell r="DT26">
            <v>2878220.23</v>
          </cell>
          <cell r="DU26">
            <v>3757701.8499999996</v>
          </cell>
          <cell r="DV26">
            <v>3488351.8499999996</v>
          </cell>
          <cell r="DW26">
            <v>3219001.8499999996</v>
          </cell>
          <cell r="DX26">
            <v>2949651.8499999996</v>
          </cell>
          <cell r="DY26">
            <v>2680301.85</v>
          </cell>
          <cell r="DZ26">
            <v>2410951.85</v>
          </cell>
          <cell r="EA26">
            <v>2060796.8499999999</v>
          </cell>
          <cell r="EB26">
            <v>1872251.8499999999</v>
          </cell>
          <cell r="EC26">
            <v>1602901.8499999999</v>
          </cell>
          <cell r="ED26">
            <v>1333551.8499999999</v>
          </cell>
          <cell r="EE26">
            <v>1333551.8499999999</v>
          </cell>
          <cell r="EF26">
            <v>1333551.8499999999</v>
          </cell>
          <cell r="EG26">
            <v>1333551.8499999999</v>
          </cell>
          <cell r="EH26">
            <v>1333551.8499999999</v>
          </cell>
          <cell r="EI26">
            <v>1333551.8499999999</v>
          </cell>
          <cell r="EL26">
            <v>865609.6</v>
          </cell>
          <cell r="EM26">
            <v>869142.39999999991</v>
          </cell>
          <cell r="EN26">
            <v>220867</v>
          </cell>
          <cell r="EO26">
            <v>220867</v>
          </cell>
          <cell r="EP26">
            <v>292891.19</v>
          </cell>
          <cell r="EQ26">
            <v>575978.03999999992</v>
          </cell>
          <cell r="ER26">
            <v>597633.78</v>
          </cell>
          <cell r="ES26">
            <v>429774.86</v>
          </cell>
          <cell r="ET26">
            <v>485853.52999999997</v>
          </cell>
          <cell r="EU26">
            <v>391257.81</v>
          </cell>
          <cell r="EV26">
            <v>262508.51</v>
          </cell>
          <cell r="EW26">
            <v>509502.45999999996</v>
          </cell>
          <cell r="EX26">
            <v>251788.37999999998</v>
          </cell>
          <cell r="EY26">
            <v>269350</v>
          </cell>
          <cell r="EZ26">
            <v>269350</v>
          </cell>
          <cell r="FA26">
            <v>269350</v>
          </cell>
          <cell r="FB26">
            <v>269350</v>
          </cell>
          <cell r="FC26">
            <v>269350</v>
          </cell>
          <cell r="FD26">
            <v>350155</v>
          </cell>
          <cell r="FE26">
            <v>188545</v>
          </cell>
          <cell r="FF26">
            <v>269350</v>
          </cell>
          <cell r="FG26">
            <v>269350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68600</v>
          </cell>
          <cell r="FO26">
            <v>0</v>
          </cell>
        </row>
        <row r="27">
          <cell r="A27" t="str">
            <v>000A1039</v>
          </cell>
          <cell r="B27" t="str">
            <v>PRUDENCE BLUEBERRY</v>
          </cell>
          <cell r="C27" t="str">
            <v>PRUDENCE BLUEBERRY</v>
          </cell>
          <cell r="D27" t="str">
            <v>OTC</v>
          </cell>
          <cell r="E27" t="str">
            <v>Thai Nippon</v>
          </cell>
          <cell r="F27" t="str">
            <v>limited edition</v>
          </cell>
          <cell r="G27">
            <v>96</v>
          </cell>
          <cell r="H27">
            <v>137</v>
          </cell>
          <cell r="I27">
            <v>233</v>
          </cell>
          <cell r="J27">
            <v>45927</v>
          </cell>
          <cell r="K27">
            <v>9</v>
          </cell>
          <cell r="L27">
            <v>2025</v>
          </cell>
          <cell r="M27">
            <v>46064</v>
          </cell>
          <cell r="N27">
            <v>2</v>
          </cell>
          <cell r="O27">
            <v>2026</v>
          </cell>
          <cell r="P27">
            <v>0.98</v>
          </cell>
          <cell r="Q27" t="e">
            <v>#N/A</v>
          </cell>
          <cell r="R27">
            <v>0</v>
          </cell>
          <cell r="S27">
            <v>123.07</v>
          </cell>
          <cell r="T27">
            <v>0</v>
          </cell>
          <cell r="U27">
            <v>0</v>
          </cell>
          <cell r="V27">
            <v>3400</v>
          </cell>
          <cell r="Y27">
            <v>7.6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3400</v>
          </cell>
          <cell r="AO27">
            <v>3400</v>
          </cell>
          <cell r="AP27">
            <v>3400</v>
          </cell>
          <cell r="AQ27">
            <v>3400</v>
          </cell>
          <cell r="AR27">
            <v>3400</v>
          </cell>
          <cell r="AS27">
            <v>3400</v>
          </cell>
          <cell r="AT27">
            <v>3400</v>
          </cell>
          <cell r="AU27">
            <v>3400</v>
          </cell>
          <cell r="AV27">
            <v>3400</v>
          </cell>
          <cell r="AW27">
            <v>3400</v>
          </cell>
          <cell r="AX27">
            <v>3400</v>
          </cell>
          <cell r="AY27">
            <v>3400</v>
          </cell>
          <cell r="AZ27">
            <v>3400</v>
          </cell>
          <cell r="BA27">
            <v>3400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3400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3400</v>
          </cell>
          <cell r="FO27">
            <v>0</v>
          </cell>
        </row>
        <row r="28">
          <cell r="A28" t="str">
            <v>000A2014</v>
          </cell>
          <cell r="B28" t="str">
            <v>PRUDENCE SUPER SENSITIVE L8P6</v>
          </cell>
          <cell r="C28" t="str">
            <v>PRUDENCE SUPER SENSITIVE L8P6</v>
          </cell>
          <cell r="D28" t="str">
            <v>OTC</v>
          </cell>
          <cell r="E28" t="str">
            <v>Thai Nippon</v>
          </cell>
          <cell r="G28">
            <v>96</v>
          </cell>
          <cell r="H28">
            <v>137</v>
          </cell>
          <cell r="I28">
            <v>233</v>
          </cell>
          <cell r="J28">
            <v>45927</v>
          </cell>
          <cell r="K28">
            <v>9</v>
          </cell>
          <cell r="L28">
            <v>2025</v>
          </cell>
          <cell r="M28">
            <v>46064</v>
          </cell>
          <cell r="N28">
            <v>2</v>
          </cell>
          <cell r="O28">
            <v>2026</v>
          </cell>
          <cell r="P28">
            <v>0.98</v>
          </cell>
          <cell r="Q28" t="str">
            <v>A</v>
          </cell>
          <cell r="R28">
            <v>54.263876258315854</v>
          </cell>
          <cell r="S28">
            <v>129.06</v>
          </cell>
          <cell r="T28">
            <v>4000</v>
          </cell>
          <cell r="U28">
            <v>6900</v>
          </cell>
          <cell r="V28">
            <v>2600</v>
          </cell>
          <cell r="W28">
            <v>7800</v>
          </cell>
          <cell r="X28" t="str">
            <v>box</v>
          </cell>
          <cell r="Y28">
            <v>10.31</v>
          </cell>
          <cell r="Z28">
            <v>2875</v>
          </cell>
          <cell r="AA28">
            <v>2345</v>
          </cell>
          <cell r="AB28">
            <v>2060</v>
          </cell>
          <cell r="AC28">
            <v>2024</v>
          </cell>
          <cell r="AD28">
            <v>8</v>
          </cell>
          <cell r="AE28">
            <v>2981</v>
          </cell>
          <cell r="AF28">
            <v>2476</v>
          </cell>
          <cell r="AG28">
            <v>962</v>
          </cell>
          <cell r="AH28">
            <v>1339</v>
          </cell>
          <cell r="AI28">
            <v>74</v>
          </cell>
          <cell r="AJ28">
            <v>7355.6900000000005</v>
          </cell>
          <cell r="AK28">
            <v>10512.873</v>
          </cell>
          <cell r="AL28">
            <v>8374.9650000000001</v>
          </cell>
          <cell r="AM28">
            <v>6263.2890000000007</v>
          </cell>
          <cell r="AN28">
            <v>3570.1370000000006</v>
          </cell>
          <cell r="AO28">
            <v>11927.137000000001</v>
          </cell>
          <cell r="AP28">
            <v>12389.137000000001</v>
          </cell>
          <cell r="AQ28">
            <v>10277.137000000001</v>
          </cell>
          <cell r="AR28">
            <v>15384.137000000002</v>
          </cell>
          <cell r="AS28">
            <v>10884.137000000002</v>
          </cell>
          <cell r="AT28">
            <v>8478.1370000000024</v>
          </cell>
          <cell r="AU28">
            <v>5278.1370000000024</v>
          </cell>
          <cell r="AV28">
            <v>2078.1370000000024</v>
          </cell>
          <cell r="AW28">
            <v>2078.1370000000024</v>
          </cell>
          <cell r="AX28">
            <v>2078.1370000000024</v>
          </cell>
          <cell r="AY28">
            <v>2078.1370000000024</v>
          </cell>
          <cell r="AZ28">
            <v>2078.1370000000024</v>
          </cell>
          <cell r="BA28">
            <v>2078.1370000000024</v>
          </cell>
          <cell r="BC28">
            <v>2747</v>
          </cell>
          <cell r="BD28">
            <v>2344</v>
          </cell>
          <cell r="BE28">
            <v>1200</v>
          </cell>
          <cell r="BF28">
            <v>1200</v>
          </cell>
          <cell r="BG28">
            <v>1282.0889999999999</v>
          </cell>
          <cell r="BH28">
            <v>2200.2089999999998</v>
          </cell>
          <cell r="BI28">
            <v>3469.1819999999998</v>
          </cell>
          <cell r="BJ28">
            <v>1528.0140000000001</v>
          </cell>
          <cell r="BK28">
            <v>1753.172</v>
          </cell>
          <cell r="BL28">
            <v>2918.31</v>
          </cell>
          <cell r="BM28">
            <v>2042.817</v>
          </cell>
          <cell r="BN28">
            <v>2137.9079999999999</v>
          </cell>
          <cell r="BO28">
            <v>2111.6759999999999</v>
          </cell>
          <cell r="BP28">
            <v>2693.152</v>
          </cell>
          <cell r="BQ28">
            <v>2043</v>
          </cell>
          <cell r="BR28">
            <v>2138</v>
          </cell>
          <cell r="BS28">
            <v>2112</v>
          </cell>
          <cell r="BT28">
            <v>2693</v>
          </cell>
          <cell r="BU28">
            <v>4500</v>
          </cell>
          <cell r="BV28">
            <v>2406</v>
          </cell>
          <cell r="BW28">
            <v>3200</v>
          </cell>
          <cell r="BX28">
            <v>3200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707.0188804598273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10200</v>
          </cell>
          <cell r="CP28">
            <v>5200</v>
          </cell>
          <cell r="CQ28">
            <v>0</v>
          </cell>
          <cell r="CR28">
            <v>0</v>
          </cell>
          <cell r="CS28">
            <v>0</v>
          </cell>
          <cell r="CT28">
            <v>10400</v>
          </cell>
          <cell r="CU28">
            <v>2600</v>
          </cell>
          <cell r="CV28">
            <v>0</v>
          </cell>
          <cell r="CW28">
            <v>7800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I28">
            <v>83.1</v>
          </cell>
          <cell r="DJ28">
            <v>171186</v>
          </cell>
          <cell r="DK28">
            <v>168194.4</v>
          </cell>
          <cell r="DL28">
            <v>664.8</v>
          </cell>
          <cell r="DM28">
            <v>247721.09999999998</v>
          </cell>
          <cell r="DN28">
            <v>205755.59999999998</v>
          </cell>
          <cell r="DO28">
            <v>79942.2</v>
          </cell>
          <cell r="DP28">
            <v>111270.9</v>
          </cell>
          <cell r="DQ28">
            <v>6149.4</v>
          </cell>
          <cell r="DR28">
            <v>611257.83900000004</v>
          </cell>
          <cell r="DS28">
            <v>873619.74629999988</v>
          </cell>
          <cell r="DT28">
            <v>695959.59149999998</v>
          </cell>
          <cell r="DU28">
            <v>520479.31590000005</v>
          </cell>
          <cell r="DV28">
            <v>296678.38470000005</v>
          </cell>
          <cell r="DW28">
            <v>991145.08470000001</v>
          </cell>
          <cell r="DX28">
            <v>1029537.2847</v>
          </cell>
          <cell r="DY28">
            <v>854030.08470000001</v>
          </cell>
          <cell r="DZ28">
            <v>1278421.7847000002</v>
          </cell>
          <cell r="EA28">
            <v>904471.78470000019</v>
          </cell>
          <cell r="EB28">
            <v>704533.1847000001</v>
          </cell>
          <cell r="EC28">
            <v>438613.18470000016</v>
          </cell>
          <cell r="ED28">
            <v>172693.18470000019</v>
          </cell>
          <cell r="EE28">
            <v>172693.18470000019</v>
          </cell>
          <cell r="EF28">
            <v>172693.18470000019</v>
          </cell>
          <cell r="EG28">
            <v>172693.18470000019</v>
          </cell>
          <cell r="EH28">
            <v>172693.18470000019</v>
          </cell>
          <cell r="EI28">
            <v>172693.18470000019</v>
          </cell>
          <cell r="EL28">
            <v>354527.82</v>
          </cell>
          <cell r="EM28">
            <v>302516.64</v>
          </cell>
          <cell r="EN28">
            <v>99720</v>
          </cell>
          <cell r="EO28">
            <v>99720</v>
          </cell>
          <cell r="EP28">
            <v>106541.59589999999</v>
          </cell>
          <cell r="EQ28">
            <v>182837.36789999998</v>
          </cell>
          <cell r="ER28">
            <v>288289.02419999999</v>
          </cell>
          <cell r="ES28">
            <v>126977.96340000001</v>
          </cell>
          <cell r="ET28">
            <v>145688.5932</v>
          </cell>
          <cell r="EU28">
            <v>242511.56099999999</v>
          </cell>
          <cell r="EV28">
            <v>169758.09269999998</v>
          </cell>
          <cell r="EW28">
            <v>177660.15479999999</v>
          </cell>
          <cell r="EX28">
            <v>175480.27559999999</v>
          </cell>
          <cell r="EY28">
            <v>223800.93119999999</v>
          </cell>
          <cell r="EZ28">
            <v>169773.3</v>
          </cell>
          <cell r="FA28">
            <v>177667.8</v>
          </cell>
          <cell r="FB28">
            <v>175507.19999999998</v>
          </cell>
          <cell r="FC28">
            <v>223788.3</v>
          </cell>
          <cell r="FD28">
            <v>373950</v>
          </cell>
          <cell r="FE28">
            <v>199938.59999999998</v>
          </cell>
          <cell r="FF28">
            <v>265920</v>
          </cell>
          <cell r="FG28">
            <v>265920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15400</v>
          </cell>
          <cell r="FO28">
            <v>20800</v>
          </cell>
        </row>
        <row r="29">
          <cell r="A29" t="str">
            <v>000A2001</v>
          </cell>
          <cell r="B29" t="str">
            <v>PRUDENCE ULTRA SENSIVEL</v>
          </cell>
          <cell r="C29" t="str">
            <v>PRUDENCE ULTRA SENSIVEL 3'S FLOW PACK - DISPLAY BOX</v>
          </cell>
          <cell r="D29" t="str">
            <v>OTC</v>
          </cell>
          <cell r="E29" t="str">
            <v>Karex / NRS</v>
          </cell>
          <cell r="G29">
            <v>133</v>
          </cell>
          <cell r="H29">
            <v>133</v>
          </cell>
          <cell r="I29">
            <v>266</v>
          </cell>
          <cell r="J29">
            <v>45964</v>
          </cell>
          <cell r="K29">
            <v>11</v>
          </cell>
          <cell r="L29">
            <v>2025</v>
          </cell>
          <cell r="M29">
            <v>46097</v>
          </cell>
          <cell r="N29">
            <v>3</v>
          </cell>
          <cell r="O29">
            <v>2026</v>
          </cell>
          <cell r="P29">
            <v>0.95</v>
          </cell>
          <cell r="Q29" t="str">
            <v>B</v>
          </cell>
          <cell r="R29">
            <v>0.25507992597753837</v>
          </cell>
          <cell r="S29">
            <v>63.72</v>
          </cell>
          <cell r="T29">
            <v>800</v>
          </cell>
          <cell r="U29">
            <v>3900</v>
          </cell>
          <cell r="V29">
            <v>3000</v>
          </cell>
          <cell r="W29">
            <v>3000</v>
          </cell>
          <cell r="Y29">
            <v>6.26</v>
          </cell>
          <cell r="Z29">
            <v>175</v>
          </cell>
          <cell r="AA29">
            <v>14</v>
          </cell>
          <cell r="AB29">
            <v>8</v>
          </cell>
          <cell r="AC29">
            <v>5372</v>
          </cell>
          <cell r="AD29">
            <v>1171</v>
          </cell>
          <cell r="AE29">
            <v>2347</v>
          </cell>
          <cell r="AF29">
            <v>3105</v>
          </cell>
          <cell r="AG29">
            <v>1246</v>
          </cell>
          <cell r="AH29">
            <v>2040</v>
          </cell>
          <cell r="AI29">
            <v>8426</v>
          </cell>
          <cell r="AJ29">
            <v>6507.7849999999999</v>
          </cell>
          <cell r="AK29">
            <v>4736.0320000000002</v>
          </cell>
          <cell r="AL29">
            <v>5966.4650000000001</v>
          </cell>
          <cell r="AM29">
            <v>6844.9520000000002</v>
          </cell>
          <cell r="AN29">
            <v>10931.109</v>
          </cell>
          <cell r="AO29">
            <v>9159.1090000000004</v>
          </cell>
          <cell r="AP29">
            <v>10389.109</v>
          </cell>
          <cell r="AQ29">
            <v>8267.1090000000004</v>
          </cell>
          <cell r="AR29">
            <v>9353.1090000000004</v>
          </cell>
          <cell r="AS29">
            <v>7359.1090000000004</v>
          </cell>
          <cell r="AT29">
            <v>5782.1090000000004</v>
          </cell>
          <cell r="AU29">
            <v>3954.1090000000004</v>
          </cell>
          <cell r="AV29">
            <v>1954.1090000000004</v>
          </cell>
          <cell r="AW29">
            <v>1954.1090000000004</v>
          </cell>
          <cell r="AX29">
            <v>1954.1090000000004</v>
          </cell>
          <cell r="AY29">
            <v>1954.1090000000004</v>
          </cell>
          <cell r="AZ29">
            <v>1954.1090000000004</v>
          </cell>
          <cell r="BA29">
            <v>1954.1090000000004</v>
          </cell>
          <cell r="BC29">
            <v>62.95</v>
          </cell>
          <cell r="BD29">
            <v>9</v>
          </cell>
          <cell r="BE29">
            <v>1800.25</v>
          </cell>
          <cell r="BF29">
            <v>1800.25</v>
          </cell>
          <cell r="BG29">
            <v>1325.809</v>
          </cell>
          <cell r="BH29">
            <v>2387.1120000000001</v>
          </cell>
          <cell r="BI29">
            <v>3280.0929999999998</v>
          </cell>
          <cell r="BJ29">
            <v>1255.857</v>
          </cell>
          <cell r="BK29">
            <v>1787.0550000000001</v>
          </cell>
          <cell r="BL29">
            <v>1918.2149999999999</v>
          </cell>
          <cell r="BM29">
            <v>1771.7529999999999</v>
          </cell>
          <cell r="BN29">
            <v>1769.567</v>
          </cell>
          <cell r="BO29">
            <v>2121.5129999999999</v>
          </cell>
          <cell r="BP29">
            <v>1913.8430000000001</v>
          </cell>
          <cell r="BQ29">
            <v>1772</v>
          </cell>
          <cell r="BR29">
            <v>1770</v>
          </cell>
          <cell r="BS29">
            <v>2122</v>
          </cell>
          <cell r="BT29">
            <v>1914</v>
          </cell>
          <cell r="BU29">
            <v>1994</v>
          </cell>
          <cell r="BV29">
            <v>1577</v>
          </cell>
          <cell r="BW29">
            <v>1828</v>
          </cell>
          <cell r="BX29">
            <v>2000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155.49970284314912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3000</v>
          </cell>
          <cell r="CR29">
            <v>3000</v>
          </cell>
          <cell r="CS29">
            <v>6000</v>
          </cell>
          <cell r="CT29">
            <v>0</v>
          </cell>
          <cell r="CU29">
            <v>3000</v>
          </cell>
          <cell r="CV29">
            <v>0</v>
          </cell>
          <cell r="CW29">
            <v>3000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I29">
            <v>87.26</v>
          </cell>
          <cell r="DJ29">
            <v>698.08</v>
          </cell>
          <cell r="DK29">
            <v>468760.72000000003</v>
          </cell>
          <cell r="DL29">
            <v>102181.46</v>
          </cell>
          <cell r="DM29">
            <v>204799.22</v>
          </cell>
          <cell r="DN29">
            <v>270942.3</v>
          </cell>
          <cell r="DO29">
            <v>108725.96</v>
          </cell>
          <cell r="DP29">
            <v>178010.40000000002</v>
          </cell>
          <cell r="DQ29">
            <v>735252.76</v>
          </cell>
          <cell r="DR29">
            <v>567869.31909999996</v>
          </cell>
          <cell r="DS29">
            <v>413266.15232000005</v>
          </cell>
          <cell r="DT29">
            <v>520633.73590000003</v>
          </cell>
          <cell r="DU29">
            <v>597290.51152000006</v>
          </cell>
          <cell r="DV29">
            <v>953848.57134000014</v>
          </cell>
          <cell r="DW29">
            <v>799223.85134000005</v>
          </cell>
          <cell r="DX29">
            <v>906553.6513400001</v>
          </cell>
          <cell r="DY29">
            <v>721387.93134000013</v>
          </cell>
          <cell r="DZ29">
            <v>816152.29134000011</v>
          </cell>
          <cell r="EA29">
            <v>642155.85134000005</v>
          </cell>
          <cell r="EB29">
            <v>504546.83134000009</v>
          </cell>
          <cell r="EC29">
            <v>345035.55134000006</v>
          </cell>
          <cell r="ED29">
            <v>170515.55134000003</v>
          </cell>
          <cell r="EE29">
            <v>170515.55134000003</v>
          </cell>
          <cell r="EF29">
            <v>170515.55134000003</v>
          </cell>
          <cell r="EG29">
            <v>170515.55134000003</v>
          </cell>
          <cell r="EH29">
            <v>170515.55134000003</v>
          </cell>
          <cell r="EI29">
            <v>170515.55134000003</v>
          </cell>
          <cell r="EL29">
            <v>4011.174</v>
          </cell>
          <cell r="EM29">
            <v>573.48</v>
          </cell>
          <cell r="EN29">
            <v>157089.815</v>
          </cell>
          <cell r="EO29">
            <v>157089.815</v>
          </cell>
          <cell r="EP29">
            <v>115690.09334000001</v>
          </cell>
          <cell r="EQ29">
            <v>208299.39312000002</v>
          </cell>
          <cell r="ER29">
            <v>286220.91518000001</v>
          </cell>
          <cell r="ES29">
            <v>109586.08182000001</v>
          </cell>
          <cell r="ET29">
            <v>155938.41930000001</v>
          </cell>
          <cell r="EU29">
            <v>167383.44090000002</v>
          </cell>
          <cell r="EV29">
            <v>154603.16678</v>
          </cell>
          <cell r="EW29">
            <v>154412.41642000002</v>
          </cell>
          <cell r="EX29">
            <v>185123.22438</v>
          </cell>
          <cell r="EY29">
            <v>167001.94018000001</v>
          </cell>
          <cell r="EZ29">
            <v>154624.72</v>
          </cell>
          <cell r="FA29">
            <v>154450.20000000001</v>
          </cell>
          <cell r="FB29">
            <v>185165.72</v>
          </cell>
          <cell r="FC29">
            <v>167015.64000000001</v>
          </cell>
          <cell r="FD29">
            <v>173996.44</v>
          </cell>
          <cell r="FE29">
            <v>137609.02000000002</v>
          </cell>
          <cell r="FF29">
            <v>159511.28</v>
          </cell>
          <cell r="FG29">
            <v>174520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15000</v>
          </cell>
          <cell r="FO29">
            <v>3000</v>
          </cell>
        </row>
        <row r="30">
          <cell r="A30" t="str">
            <v>000A2005</v>
          </cell>
          <cell r="B30" t="str">
            <v>PRUDENCE ULTRA SENSIVEL LEVE 8 PAGUE 6</v>
          </cell>
          <cell r="C30" t="str">
            <v>PRUDENCE ULTRA SENSIVEL 8'S FLOW PACK BOXES W/192 (2,100 BOX)</v>
          </cell>
          <cell r="D30" t="str">
            <v>OTC</v>
          </cell>
          <cell r="E30" t="str">
            <v>Karex / NRS</v>
          </cell>
          <cell r="G30">
            <v>133</v>
          </cell>
          <cell r="H30">
            <v>133</v>
          </cell>
          <cell r="I30">
            <v>266</v>
          </cell>
          <cell r="J30">
            <v>45964</v>
          </cell>
          <cell r="K30">
            <v>11</v>
          </cell>
          <cell r="L30">
            <v>2025</v>
          </cell>
          <cell r="M30">
            <v>46097</v>
          </cell>
          <cell r="N30">
            <v>3</v>
          </cell>
          <cell r="O30">
            <v>2026</v>
          </cell>
          <cell r="P30">
            <v>0.98</v>
          </cell>
          <cell r="Q30" t="str">
            <v>A</v>
          </cell>
          <cell r="R30">
            <v>30.682419037541177</v>
          </cell>
          <cell r="S30">
            <v>63.28</v>
          </cell>
          <cell r="T30">
            <v>2600</v>
          </cell>
          <cell r="U30">
            <v>15600</v>
          </cell>
          <cell r="V30">
            <v>2100</v>
          </cell>
          <cell r="W30">
            <v>14700</v>
          </cell>
          <cell r="X30" t="str">
            <v>box</v>
          </cell>
          <cell r="Y30">
            <v>7.46</v>
          </cell>
          <cell r="Z30">
            <v>9863</v>
          </cell>
          <cell r="AA30">
            <v>5762</v>
          </cell>
          <cell r="AB30">
            <v>4683</v>
          </cell>
          <cell r="AC30">
            <v>4561</v>
          </cell>
          <cell r="AD30">
            <v>4608</v>
          </cell>
          <cell r="AE30">
            <v>5700</v>
          </cell>
          <cell r="AF30">
            <v>6265</v>
          </cell>
          <cell r="AG30">
            <v>2447</v>
          </cell>
          <cell r="AH30">
            <v>4055</v>
          </cell>
          <cell r="AI30">
            <v>19890</v>
          </cell>
          <cell r="AJ30">
            <v>22410.753000000001</v>
          </cell>
          <cell r="AK30">
            <v>23049.434000000001</v>
          </cell>
          <cell r="AL30">
            <v>24368.633000000002</v>
          </cell>
          <cell r="AM30">
            <v>25600.392</v>
          </cell>
          <cell r="AN30">
            <v>23912.400999999998</v>
          </cell>
          <cell r="AO30">
            <v>21331.400999999998</v>
          </cell>
          <cell r="AP30">
            <v>18450.400999999998</v>
          </cell>
          <cell r="AQ30">
            <v>25982.400999999998</v>
          </cell>
          <cell r="AR30">
            <v>24294.400999999998</v>
          </cell>
          <cell r="AS30">
            <v>18799.400999999998</v>
          </cell>
          <cell r="AT30">
            <v>13647.400999999998</v>
          </cell>
          <cell r="AU30">
            <v>8135.400999999998</v>
          </cell>
          <cell r="AV30">
            <v>2623.400999999998</v>
          </cell>
          <cell r="AW30">
            <v>2623.400999999998</v>
          </cell>
          <cell r="AX30">
            <v>2623.400999999998</v>
          </cell>
          <cell r="AY30">
            <v>2623.400999999998</v>
          </cell>
          <cell r="AZ30">
            <v>2623.400999999998</v>
          </cell>
          <cell r="BA30">
            <v>2623.400999999998</v>
          </cell>
          <cell r="BC30">
            <v>9761.9500000000007</v>
          </cell>
          <cell r="BD30">
            <v>5732.92</v>
          </cell>
          <cell r="BE30">
            <v>5500</v>
          </cell>
          <cell r="BF30">
            <v>5500</v>
          </cell>
          <cell r="BG30">
            <v>3140.8721249999999</v>
          </cell>
          <cell r="BH30">
            <v>6542.6980000000003</v>
          </cell>
          <cell r="BI30">
            <v>7973.4349999999995</v>
          </cell>
          <cell r="BJ30">
            <v>3507.4369999999999</v>
          </cell>
          <cell r="BK30">
            <v>4215.701</v>
          </cell>
          <cell r="BL30">
            <v>5879.2470000000003</v>
          </cell>
          <cell r="BM30">
            <v>4681.3190000000004</v>
          </cell>
          <cell r="BN30">
            <v>4980.8010000000004</v>
          </cell>
          <cell r="BO30">
            <v>5068.241</v>
          </cell>
          <cell r="BP30">
            <v>5887.991</v>
          </cell>
          <cell r="BQ30">
            <v>4681</v>
          </cell>
          <cell r="BR30">
            <v>4981</v>
          </cell>
          <cell r="BS30">
            <v>5068</v>
          </cell>
          <cell r="BT30">
            <v>5888</v>
          </cell>
          <cell r="BU30">
            <v>5495</v>
          </cell>
          <cell r="BV30">
            <v>5152</v>
          </cell>
          <cell r="BW30">
            <v>5512</v>
          </cell>
          <cell r="BX30">
            <v>5512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433.29596353259626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8400</v>
          </cell>
          <cell r="CP30">
            <v>5320</v>
          </cell>
          <cell r="CQ30">
            <v>6300</v>
          </cell>
          <cell r="CR30">
            <v>6300</v>
          </cell>
          <cell r="CS30">
            <v>4200</v>
          </cell>
          <cell r="CT30">
            <v>2100</v>
          </cell>
          <cell r="CU30">
            <v>2100</v>
          </cell>
          <cell r="CV30">
            <v>12600</v>
          </cell>
          <cell r="CW30">
            <v>4200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I30">
            <v>64.25</v>
          </cell>
          <cell r="DJ30">
            <v>300882.75</v>
          </cell>
          <cell r="DK30">
            <v>293044.25</v>
          </cell>
          <cell r="DL30">
            <v>296064</v>
          </cell>
          <cell r="DM30">
            <v>366225</v>
          </cell>
          <cell r="DN30">
            <v>402526.25</v>
          </cell>
          <cell r="DO30">
            <v>157219.75</v>
          </cell>
          <cell r="DP30">
            <v>260533.75</v>
          </cell>
          <cell r="DQ30">
            <v>1277932.5</v>
          </cell>
          <cell r="DR30">
            <v>1439890.8802499999</v>
          </cell>
          <cell r="DS30">
            <v>1480926.1345000002</v>
          </cell>
          <cell r="DT30">
            <v>1565684.6702500002</v>
          </cell>
          <cell r="DU30">
            <v>1644825.186</v>
          </cell>
          <cell r="DV30">
            <v>1536371.7642499998</v>
          </cell>
          <cell r="DW30">
            <v>1370542.5142499998</v>
          </cell>
          <cell r="DX30">
            <v>1185438.2642499998</v>
          </cell>
          <cell r="DY30">
            <v>1669369.2642499998</v>
          </cell>
          <cell r="DZ30">
            <v>1560915.2642499998</v>
          </cell>
          <cell r="EA30">
            <v>1207861.5142499998</v>
          </cell>
          <cell r="EB30">
            <v>876845.51424999989</v>
          </cell>
          <cell r="EC30">
            <v>522699.51424999989</v>
          </cell>
          <cell r="ED30">
            <v>168553.51424999986</v>
          </cell>
          <cell r="EE30">
            <v>168553.51424999986</v>
          </cell>
          <cell r="EF30">
            <v>168553.51424999986</v>
          </cell>
          <cell r="EG30">
            <v>168553.51424999986</v>
          </cell>
          <cell r="EH30">
            <v>168553.51424999986</v>
          </cell>
          <cell r="EI30">
            <v>168553.51424999986</v>
          </cell>
          <cell r="EL30">
            <v>617736.19600000011</v>
          </cell>
          <cell r="EM30">
            <v>362779.1776</v>
          </cell>
          <cell r="EN30">
            <v>353375</v>
          </cell>
          <cell r="EO30">
            <v>353375</v>
          </cell>
          <cell r="EP30">
            <v>201801.03403124999</v>
          </cell>
          <cell r="EQ30">
            <v>420368.34650000004</v>
          </cell>
          <cell r="ER30">
            <v>512293.19874999998</v>
          </cell>
          <cell r="ES30">
            <v>225352.82725</v>
          </cell>
          <cell r="ET30">
            <v>270858.78924999997</v>
          </cell>
          <cell r="EU30">
            <v>377741.61975000001</v>
          </cell>
          <cell r="EV30">
            <v>300774.74575</v>
          </cell>
          <cell r="EW30">
            <v>320016.46425000002</v>
          </cell>
          <cell r="EX30">
            <v>325634.48424999998</v>
          </cell>
          <cell r="EY30">
            <v>378303.42174999998</v>
          </cell>
          <cell r="EZ30">
            <v>300754.25</v>
          </cell>
          <cell r="FA30">
            <v>320029.25</v>
          </cell>
          <cell r="FB30">
            <v>325619</v>
          </cell>
          <cell r="FC30">
            <v>378304</v>
          </cell>
          <cell r="FD30">
            <v>353053.75</v>
          </cell>
          <cell r="FE30">
            <v>331016</v>
          </cell>
          <cell r="FF30">
            <v>354146</v>
          </cell>
          <cell r="FG30">
            <v>354146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34720</v>
          </cell>
          <cell r="FO30">
            <v>16800</v>
          </cell>
        </row>
        <row r="31">
          <cell r="A31" t="str">
            <v>000A1004</v>
          </cell>
          <cell r="B31" t="str">
            <v>PRUDENCE C S CHOCOLATE</v>
          </cell>
          <cell r="C31" t="str">
            <v>PRUDENCE C&amp;T CHOCOLATE 3'S FLOW PACK- DISPLAY BOX</v>
          </cell>
          <cell r="D31" t="str">
            <v>OTC</v>
          </cell>
          <cell r="E31" t="str">
            <v>Karex / NRS</v>
          </cell>
          <cell r="G31">
            <v>133</v>
          </cell>
          <cell r="H31">
            <v>133</v>
          </cell>
          <cell r="I31">
            <v>266</v>
          </cell>
          <cell r="J31">
            <v>45964</v>
          </cell>
          <cell r="K31">
            <v>11</v>
          </cell>
          <cell r="L31">
            <v>2025</v>
          </cell>
          <cell r="M31">
            <v>46097</v>
          </cell>
          <cell r="N31">
            <v>3</v>
          </cell>
          <cell r="O31">
            <v>2026</v>
          </cell>
          <cell r="P31">
            <v>0.95</v>
          </cell>
          <cell r="Q31" t="str">
            <v>B</v>
          </cell>
          <cell r="R31">
            <v>44.195477349619622</v>
          </cell>
          <cell r="S31">
            <v>45.5</v>
          </cell>
          <cell r="T31">
            <v>2000</v>
          </cell>
          <cell r="U31">
            <v>2100</v>
          </cell>
          <cell r="V31">
            <v>3000</v>
          </cell>
          <cell r="W31">
            <v>3000</v>
          </cell>
          <cell r="Y31">
            <v>6.72</v>
          </cell>
          <cell r="Z31">
            <v>1833</v>
          </cell>
          <cell r="AA31">
            <v>1893</v>
          </cell>
          <cell r="AB31">
            <v>1234</v>
          </cell>
          <cell r="AC31">
            <v>2268</v>
          </cell>
          <cell r="AD31">
            <v>1265</v>
          </cell>
          <cell r="AE31">
            <v>1379</v>
          </cell>
          <cell r="AF31">
            <v>1176</v>
          </cell>
          <cell r="AG31">
            <v>111</v>
          </cell>
          <cell r="AH31">
            <v>28</v>
          </cell>
          <cell r="AI31">
            <v>0</v>
          </cell>
          <cell r="AJ31">
            <v>0</v>
          </cell>
          <cell r="AK31">
            <v>282</v>
          </cell>
          <cell r="AL31">
            <v>5455</v>
          </cell>
          <cell r="AM31">
            <v>7831</v>
          </cell>
          <cell r="AN31">
            <v>6331</v>
          </cell>
          <cell r="AO31">
            <v>7831</v>
          </cell>
          <cell r="AP31">
            <v>9331</v>
          </cell>
          <cell r="AQ31">
            <v>10831</v>
          </cell>
          <cell r="AR31">
            <v>9331</v>
          </cell>
          <cell r="AS31">
            <v>7381</v>
          </cell>
          <cell r="AT31">
            <v>6331</v>
          </cell>
          <cell r="AU31">
            <v>4831</v>
          </cell>
          <cell r="AV31">
            <v>3331</v>
          </cell>
          <cell r="AW31">
            <v>3331</v>
          </cell>
          <cell r="AX31">
            <v>3331</v>
          </cell>
          <cell r="AY31">
            <v>3331</v>
          </cell>
          <cell r="AZ31">
            <v>3331</v>
          </cell>
          <cell r="BA31">
            <v>3331</v>
          </cell>
          <cell r="BC31">
            <v>1834.98</v>
          </cell>
          <cell r="BD31">
            <v>1889.98</v>
          </cell>
          <cell r="BE31">
            <v>743.92361111111097</v>
          </cell>
          <cell r="BF31">
            <v>743.92361111111097</v>
          </cell>
          <cell r="BG31">
            <v>853</v>
          </cell>
          <cell r="BH31">
            <v>192</v>
          </cell>
          <cell r="BI31">
            <v>1980</v>
          </cell>
          <cell r="BJ31">
            <v>129</v>
          </cell>
          <cell r="BK31">
            <v>672</v>
          </cell>
          <cell r="BL31">
            <v>809</v>
          </cell>
          <cell r="BM31">
            <v>818</v>
          </cell>
          <cell r="BN31">
            <v>827</v>
          </cell>
          <cell r="BO31">
            <v>624</v>
          </cell>
          <cell r="BP31">
            <v>1500</v>
          </cell>
          <cell r="BQ31">
            <v>1500</v>
          </cell>
          <cell r="BR31">
            <v>1500</v>
          </cell>
          <cell r="BS31">
            <v>1500</v>
          </cell>
          <cell r="BT31">
            <v>1500</v>
          </cell>
          <cell r="BU31">
            <v>1950</v>
          </cell>
          <cell r="BV31">
            <v>1050</v>
          </cell>
          <cell r="BW31">
            <v>1500</v>
          </cell>
          <cell r="BX31">
            <v>1500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399.0754218286217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1100</v>
          </cell>
          <cell r="CQ31">
            <v>6000</v>
          </cell>
          <cell r="CR31">
            <v>3000</v>
          </cell>
          <cell r="CS31">
            <v>0</v>
          </cell>
          <cell r="CT31">
            <v>3000</v>
          </cell>
          <cell r="CU31">
            <v>3000</v>
          </cell>
          <cell r="CV31">
            <v>3000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I31">
            <v>60.09</v>
          </cell>
          <cell r="DJ31">
            <v>74151.06</v>
          </cell>
          <cell r="DK31">
            <v>136284.12</v>
          </cell>
          <cell r="DL31">
            <v>76013.850000000006</v>
          </cell>
          <cell r="DM31">
            <v>82864.11</v>
          </cell>
          <cell r="DN31">
            <v>70665.840000000011</v>
          </cell>
          <cell r="DO31">
            <v>6669.9900000000007</v>
          </cell>
          <cell r="DP31">
            <v>1682.52</v>
          </cell>
          <cell r="DQ31">
            <v>0</v>
          </cell>
          <cell r="DR31">
            <v>0</v>
          </cell>
          <cell r="DS31">
            <v>16945.38</v>
          </cell>
          <cell r="DT31">
            <v>327790.95</v>
          </cell>
          <cell r="DU31">
            <v>470564.79000000004</v>
          </cell>
          <cell r="DV31">
            <v>380429.79000000004</v>
          </cell>
          <cell r="DW31">
            <v>470564.79000000004</v>
          </cell>
          <cell r="DX31">
            <v>560699.79</v>
          </cell>
          <cell r="DY31">
            <v>650834.79</v>
          </cell>
          <cell r="DZ31">
            <v>560699.79</v>
          </cell>
          <cell r="EA31">
            <v>443524.29000000004</v>
          </cell>
          <cell r="EB31">
            <v>380429.79000000004</v>
          </cell>
          <cell r="EC31">
            <v>290294.79000000004</v>
          </cell>
          <cell r="ED31">
            <v>200159.79</v>
          </cell>
          <cell r="EE31">
            <v>200159.79</v>
          </cell>
          <cell r="EF31">
            <v>200159.79</v>
          </cell>
          <cell r="EG31">
            <v>200159.79</v>
          </cell>
          <cell r="EH31">
            <v>200159.79</v>
          </cell>
          <cell r="EI31">
            <v>200159.79</v>
          </cell>
          <cell r="EL31">
            <v>83491.59</v>
          </cell>
          <cell r="EM31">
            <v>85994.09</v>
          </cell>
          <cell r="EN31">
            <v>44702.369791666664</v>
          </cell>
          <cell r="EO31">
            <v>44702.369791666664</v>
          </cell>
          <cell r="EP31">
            <v>51256.770000000004</v>
          </cell>
          <cell r="EQ31">
            <v>11537.28</v>
          </cell>
          <cell r="ER31">
            <v>118978.20000000001</v>
          </cell>
          <cell r="ES31">
            <v>7751.6100000000006</v>
          </cell>
          <cell r="ET31">
            <v>40380.480000000003</v>
          </cell>
          <cell r="EU31">
            <v>48612.810000000005</v>
          </cell>
          <cell r="EV31">
            <v>49153.62</v>
          </cell>
          <cell r="EW31">
            <v>49694.43</v>
          </cell>
          <cell r="EX31">
            <v>37496.160000000003</v>
          </cell>
          <cell r="EY31">
            <v>90135</v>
          </cell>
          <cell r="EZ31">
            <v>90135</v>
          </cell>
          <cell r="FA31">
            <v>90135</v>
          </cell>
          <cell r="FB31">
            <v>90135</v>
          </cell>
          <cell r="FC31">
            <v>90135</v>
          </cell>
          <cell r="FD31">
            <v>117175.5</v>
          </cell>
          <cell r="FE31">
            <v>63094.5</v>
          </cell>
          <cell r="FF31">
            <v>90135</v>
          </cell>
          <cell r="FG31">
            <v>90135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16100</v>
          </cell>
          <cell r="FO31">
            <v>3000</v>
          </cell>
        </row>
        <row r="32">
          <cell r="A32" t="str">
            <v>000A1003</v>
          </cell>
          <cell r="B32" t="str">
            <v>PRUDENCE C S UVA</v>
          </cell>
          <cell r="C32" t="str">
            <v>PRUDENCE C&amp;T GRAPE 3'S FLOW PACK - DISPLAY BOX</v>
          </cell>
          <cell r="D32" t="str">
            <v>OTC</v>
          </cell>
          <cell r="E32" t="str">
            <v>Karex / NRS</v>
          </cell>
          <cell r="G32">
            <v>133</v>
          </cell>
          <cell r="H32">
            <v>133</v>
          </cell>
          <cell r="I32">
            <v>266</v>
          </cell>
          <cell r="J32">
            <v>45964</v>
          </cell>
          <cell r="K32">
            <v>11</v>
          </cell>
          <cell r="L32">
            <v>2025</v>
          </cell>
          <cell r="M32">
            <v>46097</v>
          </cell>
          <cell r="N32">
            <v>3</v>
          </cell>
          <cell r="O32">
            <v>2026</v>
          </cell>
          <cell r="P32">
            <v>0.95</v>
          </cell>
          <cell r="Q32" t="str">
            <v>B</v>
          </cell>
          <cell r="R32">
            <v>0.60715247263141203</v>
          </cell>
          <cell r="S32">
            <v>62.08</v>
          </cell>
          <cell r="T32">
            <v>4500</v>
          </cell>
          <cell r="U32">
            <v>4500</v>
          </cell>
          <cell r="V32">
            <v>3000</v>
          </cell>
          <cell r="W32">
            <v>6000</v>
          </cell>
          <cell r="Y32">
            <v>6.72</v>
          </cell>
          <cell r="Z32">
            <v>2991</v>
          </cell>
          <cell r="AA32">
            <v>18</v>
          </cell>
          <cell r="AB32">
            <v>2982</v>
          </cell>
          <cell r="AC32">
            <v>3035</v>
          </cell>
          <cell r="AD32">
            <v>3022</v>
          </cell>
          <cell r="AE32">
            <v>2239</v>
          </cell>
          <cell r="AF32">
            <v>1277</v>
          </cell>
          <cell r="AG32">
            <v>2577</v>
          </cell>
          <cell r="AH32">
            <v>460</v>
          </cell>
          <cell r="AI32">
            <v>10</v>
          </cell>
          <cell r="AJ32">
            <v>0</v>
          </cell>
          <cell r="AK32">
            <v>0</v>
          </cell>
          <cell r="AL32">
            <v>7629</v>
          </cell>
          <cell r="AM32">
            <v>12088</v>
          </cell>
          <cell r="AN32">
            <v>9088</v>
          </cell>
          <cell r="AO32">
            <v>12088</v>
          </cell>
          <cell r="AP32">
            <v>12088</v>
          </cell>
          <cell r="AQ32">
            <v>15088</v>
          </cell>
          <cell r="AR32">
            <v>12088</v>
          </cell>
          <cell r="AS32">
            <v>10588</v>
          </cell>
          <cell r="AT32">
            <v>9088</v>
          </cell>
          <cell r="AU32">
            <v>6088</v>
          </cell>
          <cell r="AV32">
            <v>3088</v>
          </cell>
          <cell r="AW32">
            <v>3088</v>
          </cell>
          <cell r="AX32">
            <v>3088</v>
          </cell>
          <cell r="AY32">
            <v>3088</v>
          </cell>
          <cell r="AZ32">
            <v>3088</v>
          </cell>
          <cell r="BA32">
            <v>3088</v>
          </cell>
          <cell r="BC32">
            <v>2990.9300000000003</v>
          </cell>
          <cell r="BD32">
            <v>11</v>
          </cell>
          <cell r="BE32">
            <v>1392.7604166666667</v>
          </cell>
          <cell r="BF32">
            <v>1392.7604166666667</v>
          </cell>
          <cell r="BG32">
            <v>71</v>
          </cell>
          <cell r="BH32">
            <v>1739</v>
          </cell>
          <cell r="BI32">
            <v>2553</v>
          </cell>
          <cell r="BJ32">
            <v>1550</v>
          </cell>
          <cell r="BK32">
            <v>1455</v>
          </cell>
          <cell r="BL32">
            <v>1325</v>
          </cell>
          <cell r="BM32">
            <v>2512</v>
          </cell>
          <cell r="BN32">
            <v>1371</v>
          </cell>
          <cell r="BO32">
            <v>1541</v>
          </cell>
          <cell r="BP32">
            <v>3000</v>
          </cell>
          <cell r="BQ32">
            <v>3000</v>
          </cell>
          <cell r="BR32">
            <v>3000</v>
          </cell>
          <cell r="BS32">
            <v>3000</v>
          </cell>
          <cell r="BT32">
            <v>3000</v>
          </cell>
          <cell r="BU32">
            <v>4500</v>
          </cell>
          <cell r="BV32">
            <v>1500</v>
          </cell>
          <cell r="BW32">
            <v>3000</v>
          </cell>
          <cell r="BX32">
            <v>3000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922.18449541821292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1400</v>
          </cell>
          <cell r="CQ32">
            <v>9000</v>
          </cell>
          <cell r="CR32">
            <v>6000</v>
          </cell>
          <cell r="CS32">
            <v>0</v>
          </cell>
          <cell r="CT32">
            <v>6000</v>
          </cell>
          <cell r="CU32">
            <v>3000</v>
          </cell>
          <cell r="CV32">
            <v>6000</v>
          </cell>
          <cell r="CW32">
            <v>0</v>
          </cell>
          <cell r="CX32">
            <v>3000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I32">
            <v>59.22</v>
          </cell>
          <cell r="DJ32">
            <v>176594.04</v>
          </cell>
          <cell r="DK32">
            <v>179732.69999999998</v>
          </cell>
          <cell r="DL32">
            <v>178962.84</v>
          </cell>
          <cell r="DM32">
            <v>132593.57999999999</v>
          </cell>
          <cell r="DN32">
            <v>75623.94</v>
          </cell>
          <cell r="DO32">
            <v>152609.94</v>
          </cell>
          <cell r="DP32">
            <v>27241.200000000001</v>
          </cell>
          <cell r="DQ32">
            <v>592.20000000000005</v>
          </cell>
          <cell r="DR32">
            <v>0</v>
          </cell>
          <cell r="DS32">
            <v>0</v>
          </cell>
          <cell r="DT32">
            <v>451789.38</v>
          </cell>
          <cell r="DU32">
            <v>715851.36</v>
          </cell>
          <cell r="DV32">
            <v>538191.35999999999</v>
          </cell>
          <cell r="DW32">
            <v>715851.36</v>
          </cell>
          <cell r="DX32">
            <v>715851.36</v>
          </cell>
          <cell r="DY32">
            <v>893511.36</v>
          </cell>
          <cell r="DZ32">
            <v>715851.36</v>
          </cell>
          <cell r="EA32">
            <v>627021.36</v>
          </cell>
          <cell r="EB32">
            <v>538191.35999999999</v>
          </cell>
          <cell r="EC32">
            <v>360531.36</v>
          </cell>
          <cell r="ED32">
            <v>182871.36</v>
          </cell>
          <cell r="EE32">
            <v>182871.36</v>
          </cell>
          <cell r="EF32">
            <v>182871.36</v>
          </cell>
          <cell r="EG32">
            <v>182871.36</v>
          </cell>
          <cell r="EH32">
            <v>182871.36</v>
          </cell>
          <cell r="EI32">
            <v>182871.36</v>
          </cell>
          <cell r="EL32">
            <v>185676.93440000003</v>
          </cell>
          <cell r="EM32">
            <v>682.88</v>
          </cell>
          <cell r="EN32">
            <v>82479.271875000006</v>
          </cell>
          <cell r="EO32">
            <v>82479.271875000006</v>
          </cell>
          <cell r="EP32">
            <v>4204.62</v>
          </cell>
          <cell r="EQ32">
            <v>102983.58</v>
          </cell>
          <cell r="ER32">
            <v>151188.66</v>
          </cell>
          <cell r="ES32">
            <v>91791</v>
          </cell>
          <cell r="ET32">
            <v>86165.099999999991</v>
          </cell>
          <cell r="EU32">
            <v>78466.5</v>
          </cell>
          <cell r="EV32">
            <v>148760.63999999998</v>
          </cell>
          <cell r="EW32">
            <v>81190.62</v>
          </cell>
          <cell r="EX32">
            <v>91258.02</v>
          </cell>
          <cell r="EY32">
            <v>177660</v>
          </cell>
          <cell r="EZ32">
            <v>177660</v>
          </cell>
          <cell r="FA32">
            <v>177660</v>
          </cell>
          <cell r="FB32">
            <v>177660</v>
          </cell>
          <cell r="FC32">
            <v>177660</v>
          </cell>
          <cell r="FD32">
            <v>266490</v>
          </cell>
          <cell r="FE32">
            <v>88830</v>
          </cell>
          <cell r="FF32">
            <v>177660</v>
          </cell>
          <cell r="FG32">
            <v>177660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25400</v>
          </cell>
          <cell r="FO32">
            <v>9000</v>
          </cell>
        </row>
        <row r="33">
          <cell r="A33" t="str">
            <v>000A1002</v>
          </cell>
          <cell r="B33" t="str">
            <v>PRUDENCE C S HORTELA</v>
          </cell>
          <cell r="C33" t="str">
            <v>PRUDENCE C&amp;T MINT 3'S FLOW PACK - DISPLAY BOX</v>
          </cell>
          <cell r="D33" t="str">
            <v>OTC</v>
          </cell>
          <cell r="E33" t="str">
            <v>Karex / NRS</v>
          </cell>
          <cell r="G33">
            <v>133</v>
          </cell>
          <cell r="H33">
            <v>133</v>
          </cell>
          <cell r="I33">
            <v>266</v>
          </cell>
          <cell r="J33">
            <v>45964</v>
          </cell>
          <cell r="K33">
            <v>11</v>
          </cell>
          <cell r="L33">
            <v>2025</v>
          </cell>
          <cell r="M33">
            <v>46097</v>
          </cell>
          <cell r="N33">
            <v>3</v>
          </cell>
          <cell r="O33">
            <v>2026</v>
          </cell>
          <cell r="P33">
            <v>0.98</v>
          </cell>
          <cell r="Q33" t="str">
            <v>A</v>
          </cell>
          <cell r="R33">
            <v>34.520823546466076</v>
          </cell>
          <cell r="S33">
            <v>45.78</v>
          </cell>
          <cell r="T33">
            <v>3100</v>
          </cell>
          <cell r="U33">
            <v>7700</v>
          </cell>
          <cell r="V33">
            <v>3000</v>
          </cell>
          <cell r="W33">
            <v>9000</v>
          </cell>
          <cell r="Y33">
            <v>6.72</v>
          </cell>
          <cell r="Z33">
            <v>22</v>
          </cell>
          <cell r="AA33">
            <v>2478</v>
          </cell>
          <cell r="AB33">
            <v>2982</v>
          </cell>
          <cell r="AC33">
            <v>3328</v>
          </cell>
          <cell r="AD33">
            <v>1471</v>
          </cell>
          <cell r="AE33">
            <v>3346</v>
          </cell>
          <cell r="AF33">
            <v>3472</v>
          </cell>
          <cell r="AG33">
            <v>1655</v>
          </cell>
          <cell r="AH33">
            <v>2366</v>
          </cell>
          <cell r="AI33">
            <v>2871</v>
          </cell>
          <cell r="AJ33">
            <v>424.86599999999999</v>
          </cell>
          <cell r="AK33">
            <v>1377.6769999999999</v>
          </cell>
          <cell r="AL33">
            <v>8223.3739999999998</v>
          </cell>
          <cell r="AM33">
            <v>5662.4750000000004</v>
          </cell>
          <cell r="AN33">
            <v>11662.475</v>
          </cell>
          <cell r="AO33">
            <v>8662.4750000000004</v>
          </cell>
          <cell r="AP33">
            <v>11662.475</v>
          </cell>
          <cell r="AQ33">
            <v>8662.4750000000004</v>
          </cell>
          <cell r="AR33">
            <v>11662.475</v>
          </cell>
          <cell r="AS33">
            <v>10762.475</v>
          </cell>
          <cell r="AT33">
            <v>8662.4750000000004</v>
          </cell>
          <cell r="AU33">
            <v>5662.4750000000004</v>
          </cell>
          <cell r="AV33">
            <v>3162.4750000000004</v>
          </cell>
          <cell r="AW33">
            <v>3162.4750000000004</v>
          </cell>
          <cell r="AX33">
            <v>3162.4750000000004</v>
          </cell>
          <cell r="AY33">
            <v>3162.4750000000004</v>
          </cell>
          <cell r="AZ33">
            <v>3162.4750000000004</v>
          </cell>
          <cell r="BA33">
            <v>3162.4750000000004</v>
          </cell>
          <cell r="BC33">
            <v>16.95</v>
          </cell>
          <cell r="BD33">
            <v>2478</v>
          </cell>
          <cell r="BE33">
            <v>1840.09375</v>
          </cell>
          <cell r="BF33">
            <v>1840.09375</v>
          </cell>
          <cell r="BG33">
            <v>1658.217625</v>
          </cell>
          <cell r="BH33">
            <v>2496.4119999999998</v>
          </cell>
          <cell r="BI33">
            <v>3908.5680000000002</v>
          </cell>
          <cell r="BJ33">
            <v>1450.4110000000001</v>
          </cell>
          <cell r="BK33">
            <v>2029.701</v>
          </cell>
          <cell r="BL33">
            <v>2446.134</v>
          </cell>
          <cell r="BM33">
            <v>2047.1890000000001</v>
          </cell>
          <cell r="BN33">
            <v>2154.3029999999999</v>
          </cell>
          <cell r="BO33">
            <v>2560.8989999999999</v>
          </cell>
          <cell r="BP33">
            <v>3000</v>
          </cell>
          <cell r="BQ33">
            <v>3000</v>
          </cell>
          <cell r="BR33">
            <v>3000</v>
          </cell>
          <cell r="BS33">
            <v>3000</v>
          </cell>
          <cell r="BT33">
            <v>3000</v>
          </cell>
          <cell r="BU33">
            <v>3900</v>
          </cell>
          <cell r="BV33">
            <v>2100</v>
          </cell>
          <cell r="BW33">
            <v>3000</v>
          </cell>
          <cell r="BX33">
            <v>2500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513.1000252131704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3000</v>
          </cell>
          <cell r="CQ33">
            <v>9000</v>
          </cell>
          <cell r="CR33">
            <v>0</v>
          </cell>
          <cell r="CS33">
            <v>9000</v>
          </cell>
          <cell r="CT33">
            <v>0</v>
          </cell>
          <cell r="CU33">
            <v>6000</v>
          </cell>
          <cell r="CV33">
            <v>0</v>
          </cell>
          <cell r="CW33">
            <v>6000</v>
          </cell>
          <cell r="CX33">
            <v>3000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I33">
            <v>49.54</v>
          </cell>
          <cell r="DJ33">
            <v>147728.28</v>
          </cell>
          <cell r="DK33">
            <v>164869.12</v>
          </cell>
          <cell r="DL33">
            <v>72873.34</v>
          </cell>
          <cell r="DM33">
            <v>165760.84</v>
          </cell>
          <cell r="DN33">
            <v>172002.88</v>
          </cell>
          <cell r="DO33">
            <v>81988.7</v>
          </cell>
          <cell r="DP33">
            <v>117211.64</v>
          </cell>
          <cell r="DQ33">
            <v>142229.34</v>
          </cell>
          <cell r="DR33">
            <v>21047.861639999999</v>
          </cell>
          <cell r="DS33">
            <v>68250.118579999995</v>
          </cell>
          <cell r="DT33">
            <v>407385.94795999996</v>
          </cell>
          <cell r="DU33">
            <v>280519.01150000002</v>
          </cell>
          <cell r="DV33">
            <v>577759.01150000002</v>
          </cell>
          <cell r="DW33">
            <v>429139.01150000002</v>
          </cell>
          <cell r="DX33">
            <v>577759.01150000002</v>
          </cell>
          <cell r="DY33">
            <v>429139.01150000002</v>
          </cell>
          <cell r="DZ33">
            <v>577759.01150000002</v>
          </cell>
          <cell r="EA33">
            <v>533173.01150000002</v>
          </cell>
          <cell r="EB33">
            <v>429139.01150000002</v>
          </cell>
          <cell r="EC33">
            <v>280519.01150000002</v>
          </cell>
          <cell r="ED33">
            <v>156669.01150000002</v>
          </cell>
          <cell r="EE33">
            <v>156669.01150000002</v>
          </cell>
          <cell r="EF33">
            <v>156669.01150000002</v>
          </cell>
          <cell r="EG33">
            <v>156669.01150000002</v>
          </cell>
          <cell r="EH33">
            <v>156669.01150000002</v>
          </cell>
          <cell r="EI33">
            <v>156669.01150000002</v>
          </cell>
          <cell r="EL33">
            <v>775.971</v>
          </cell>
          <cell r="EM33">
            <v>113442.84</v>
          </cell>
          <cell r="EN33">
            <v>91158.244374999995</v>
          </cell>
          <cell r="EO33">
            <v>91158.244374999995</v>
          </cell>
          <cell r="EP33">
            <v>82148.101142500003</v>
          </cell>
          <cell r="EQ33">
            <v>123672.25047999999</v>
          </cell>
          <cell r="ER33">
            <v>193630.45872</v>
          </cell>
          <cell r="ES33">
            <v>71853.360939999999</v>
          </cell>
          <cell r="ET33">
            <v>100551.38754</v>
          </cell>
          <cell r="EU33">
            <v>121181.47835999999</v>
          </cell>
          <cell r="EV33">
            <v>101417.74306000001</v>
          </cell>
          <cell r="EW33">
            <v>106724.17061999999</v>
          </cell>
          <cell r="EX33">
            <v>126866.93646</v>
          </cell>
          <cell r="EY33">
            <v>148620</v>
          </cell>
          <cell r="EZ33">
            <v>148620</v>
          </cell>
          <cell r="FA33">
            <v>148620</v>
          </cell>
          <cell r="FB33">
            <v>148620</v>
          </cell>
          <cell r="FC33">
            <v>148620</v>
          </cell>
          <cell r="FD33">
            <v>193206</v>
          </cell>
          <cell r="FE33">
            <v>104034</v>
          </cell>
          <cell r="FF33">
            <v>148620</v>
          </cell>
          <cell r="FG33">
            <v>123850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27000</v>
          </cell>
          <cell r="FO33">
            <v>9000</v>
          </cell>
        </row>
        <row r="34">
          <cell r="A34" t="str">
            <v>000A1006</v>
          </cell>
          <cell r="B34" t="str">
            <v>PRUDENCE C S TUTTI-FRUTTI</v>
          </cell>
          <cell r="C34" t="str">
            <v>PRUDENCE C&amp;T TUTTI FRUTTI 3'S FLOW PACK- DISPLAY BOX</v>
          </cell>
          <cell r="D34" t="str">
            <v>OTC</v>
          </cell>
          <cell r="E34" t="str">
            <v>Karex / NRS</v>
          </cell>
          <cell r="G34">
            <v>133</v>
          </cell>
          <cell r="H34">
            <v>133</v>
          </cell>
          <cell r="I34">
            <v>266</v>
          </cell>
          <cell r="J34">
            <v>45964</v>
          </cell>
          <cell r="K34">
            <v>11</v>
          </cell>
          <cell r="L34">
            <v>2025</v>
          </cell>
          <cell r="M34">
            <v>46097</v>
          </cell>
          <cell r="N34">
            <v>3</v>
          </cell>
          <cell r="O34">
            <v>2026</v>
          </cell>
          <cell r="P34">
            <v>0.95</v>
          </cell>
          <cell r="Q34" t="str">
            <v>B</v>
          </cell>
          <cell r="R34">
            <v>35.699026082021021</v>
          </cell>
          <cell r="S34">
            <v>50.69</v>
          </cell>
          <cell r="T34">
            <v>1600</v>
          </cell>
          <cell r="U34">
            <v>3300</v>
          </cell>
          <cell r="V34">
            <v>3000</v>
          </cell>
          <cell r="W34">
            <v>3000</v>
          </cell>
          <cell r="Y34">
            <v>6.72</v>
          </cell>
          <cell r="Z34">
            <v>3</v>
          </cell>
          <cell r="AA34">
            <v>2979</v>
          </cell>
          <cell r="AB34">
            <v>15</v>
          </cell>
          <cell r="AC34">
            <v>4432</v>
          </cell>
          <cell r="AD34">
            <v>1428</v>
          </cell>
          <cell r="AE34">
            <v>1956</v>
          </cell>
          <cell r="AF34">
            <v>1202</v>
          </cell>
          <cell r="AG34">
            <v>1706</v>
          </cell>
          <cell r="AH34">
            <v>1737</v>
          </cell>
          <cell r="AI34">
            <v>2467</v>
          </cell>
          <cell r="AJ34">
            <v>3708.3630000000003</v>
          </cell>
          <cell r="AK34">
            <v>8487.4820000000018</v>
          </cell>
          <cell r="AL34">
            <v>7063.3030000000017</v>
          </cell>
          <cell r="AM34">
            <v>5353.8510000000015</v>
          </cell>
          <cell r="AN34">
            <v>3690.3050000000012</v>
          </cell>
          <cell r="AO34">
            <v>7790.3050000000003</v>
          </cell>
          <cell r="AP34">
            <v>8890.3050000000003</v>
          </cell>
          <cell r="AQ34">
            <v>9990.3050000000003</v>
          </cell>
          <cell r="AR34">
            <v>11090.305</v>
          </cell>
          <cell r="AS34">
            <v>8620.3050000000003</v>
          </cell>
          <cell r="AT34">
            <v>7290.3050000000003</v>
          </cell>
          <cell r="AU34">
            <v>5390.3050000000003</v>
          </cell>
          <cell r="AV34">
            <v>3690.3050000000003</v>
          </cell>
          <cell r="AW34">
            <v>3690.3050000000003</v>
          </cell>
          <cell r="AX34">
            <v>3690.3050000000003</v>
          </cell>
          <cell r="AY34">
            <v>3690.3050000000003</v>
          </cell>
          <cell r="AZ34">
            <v>3690.3050000000003</v>
          </cell>
          <cell r="BA34">
            <v>3690.3050000000003</v>
          </cell>
          <cell r="BC34">
            <v>2.98</v>
          </cell>
          <cell r="BD34">
            <v>2978.87</v>
          </cell>
          <cell r="BE34">
            <v>1117.75</v>
          </cell>
          <cell r="BF34">
            <v>1117.75</v>
          </cell>
          <cell r="BG34">
            <v>1087.5350000000001</v>
          </cell>
          <cell r="BH34">
            <v>1722.568</v>
          </cell>
          <cell r="BI34">
            <v>2614.4560000000001</v>
          </cell>
          <cell r="BJ34">
            <v>946.53800000000001</v>
          </cell>
          <cell r="BK34">
            <v>1393.575</v>
          </cell>
          <cell r="BL34">
            <v>1758.6369999999999</v>
          </cell>
          <cell r="BM34">
            <v>1220.8810000000001</v>
          </cell>
          <cell r="BN34">
            <v>1424.1790000000001</v>
          </cell>
          <cell r="BO34">
            <v>1709.452</v>
          </cell>
          <cell r="BP34">
            <v>1663.546</v>
          </cell>
          <cell r="BQ34">
            <v>1900</v>
          </cell>
          <cell r="BR34">
            <v>1900</v>
          </cell>
          <cell r="BS34">
            <v>1900</v>
          </cell>
          <cell r="BT34">
            <v>1900</v>
          </cell>
          <cell r="BU34">
            <v>2470</v>
          </cell>
          <cell r="BV34">
            <v>1330</v>
          </cell>
          <cell r="BW34">
            <v>1900</v>
          </cell>
          <cell r="BX34">
            <v>1700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316.89436400205824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3000</v>
          </cell>
          <cell r="CP34">
            <v>6000</v>
          </cell>
          <cell r="CQ34">
            <v>0</v>
          </cell>
          <cell r="CR34">
            <v>0</v>
          </cell>
          <cell r="CS34">
            <v>0</v>
          </cell>
          <cell r="CT34">
            <v>6000</v>
          </cell>
          <cell r="CU34">
            <v>3000</v>
          </cell>
          <cell r="CV34">
            <v>3000</v>
          </cell>
          <cell r="CW34">
            <v>3000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I34">
            <v>102.75</v>
          </cell>
          <cell r="DJ34">
            <v>1541.25</v>
          </cell>
          <cell r="DK34">
            <v>455388</v>
          </cell>
          <cell r="DL34">
            <v>146727</v>
          </cell>
          <cell r="DM34">
            <v>200979</v>
          </cell>
          <cell r="DN34">
            <v>123505.5</v>
          </cell>
          <cell r="DO34">
            <v>175291.5</v>
          </cell>
          <cell r="DP34">
            <v>178476.75</v>
          </cell>
          <cell r="DQ34">
            <v>253484.25</v>
          </cell>
          <cell r="DR34">
            <v>381034.29825000005</v>
          </cell>
          <cell r="DS34">
            <v>872088.77550000022</v>
          </cell>
          <cell r="DT34">
            <v>725754.38325000019</v>
          </cell>
          <cell r="DU34">
            <v>550108.1902500001</v>
          </cell>
          <cell r="DV34">
            <v>379178.83875000011</v>
          </cell>
          <cell r="DW34">
            <v>800453.83875</v>
          </cell>
          <cell r="DX34">
            <v>913478.83875</v>
          </cell>
          <cell r="DY34">
            <v>1026503.83875</v>
          </cell>
          <cell r="DZ34">
            <v>1139528.8387500001</v>
          </cell>
          <cell r="EA34">
            <v>885736.33875</v>
          </cell>
          <cell r="EB34">
            <v>749078.83875</v>
          </cell>
          <cell r="EC34">
            <v>553853.83875</v>
          </cell>
          <cell r="ED34">
            <v>379178.83875000005</v>
          </cell>
          <cell r="EE34">
            <v>379178.83875000005</v>
          </cell>
          <cell r="EF34">
            <v>379178.83875000005</v>
          </cell>
          <cell r="EG34">
            <v>379178.83875000005</v>
          </cell>
          <cell r="EH34">
            <v>379178.83875000005</v>
          </cell>
          <cell r="EI34">
            <v>379178.83875000005</v>
          </cell>
          <cell r="EL34">
            <v>151.05619999999999</v>
          </cell>
          <cell r="EM34">
            <v>150998.9203</v>
          </cell>
          <cell r="EN34">
            <v>114848.8125</v>
          </cell>
          <cell r="EO34">
            <v>114848.8125</v>
          </cell>
          <cell r="EP34">
            <v>111744.22125</v>
          </cell>
          <cell r="EQ34">
            <v>176993.86199999999</v>
          </cell>
          <cell r="ER34">
            <v>268635.35399999999</v>
          </cell>
          <cell r="ES34">
            <v>97256.779500000004</v>
          </cell>
          <cell r="ET34">
            <v>143189.83125000002</v>
          </cell>
          <cell r="EU34">
            <v>180699.95175000001</v>
          </cell>
          <cell r="EV34">
            <v>125445.52275</v>
          </cell>
          <cell r="EW34">
            <v>146334.39225</v>
          </cell>
          <cell r="EX34">
            <v>175646.193</v>
          </cell>
          <cell r="EY34">
            <v>170929.35150000002</v>
          </cell>
          <cell r="EZ34">
            <v>195225</v>
          </cell>
          <cell r="FA34">
            <v>195225</v>
          </cell>
          <cell r="FB34">
            <v>195225</v>
          </cell>
          <cell r="FC34">
            <v>195225</v>
          </cell>
          <cell r="FD34">
            <v>253792.5</v>
          </cell>
          <cell r="FE34">
            <v>136657.5</v>
          </cell>
          <cell r="FF34">
            <v>195225</v>
          </cell>
          <cell r="FG34">
            <v>174675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18000</v>
          </cell>
          <cell r="FO34">
            <v>6000</v>
          </cell>
        </row>
        <row r="35">
          <cell r="A35" t="str">
            <v>000A1012</v>
          </cell>
          <cell r="B35" t="str">
            <v>PRUDENCE C S MELANCIA</v>
          </cell>
          <cell r="C35" t="str">
            <v>PRUDENCE COLOR &amp; TASTE WATERMELON 3'S FLOW PACK - DISPLAY BOX</v>
          </cell>
          <cell r="D35" t="str">
            <v>OTC</v>
          </cell>
          <cell r="E35" t="str">
            <v>Karex / NRS</v>
          </cell>
          <cell r="G35">
            <v>133</v>
          </cell>
          <cell r="H35">
            <v>133</v>
          </cell>
          <cell r="I35">
            <v>266</v>
          </cell>
          <cell r="J35">
            <v>45964</v>
          </cell>
          <cell r="K35">
            <v>11</v>
          </cell>
          <cell r="L35">
            <v>2025</v>
          </cell>
          <cell r="M35">
            <v>46097</v>
          </cell>
          <cell r="N35">
            <v>3</v>
          </cell>
          <cell r="O35">
            <v>2026</v>
          </cell>
          <cell r="P35">
            <v>0.9</v>
          </cell>
          <cell r="Q35" t="str">
            <v>C</v>
          </cell>
          <cell r="R35">
            <v>52.006833108524042</v>
          </cell>
          <cell r="S35">
            <v>45.5</v>
          </cell>
          <cell r="T35">
            <v>800</v>
          </cell>
          <cell r="U35">
            <v>800</v>
          </cell>
          <cell r="V35">
            <v>3000</v>
          </cell>
          <cell r="W35">
            <v>3000</v>
          </cell>
          <cell r="Y35">
            <v>6.72</v>
          </cell>
          <cell r="Z35">
            <v>1822</v>
          </cell>
          <cell r="AA35">
            <v>2095</v>
          </cell>
          <cell r="AB35">
            <v>54</v>
          </cell>
          <cell r="AC35">
            <v>3</v>
          </cell>
          <cell r="AD35">
            <v>2</v>
          </cell>
          <cell r="AE35">
            <v>2227</v>
          </cell>
          <cell r="AF35">
            <v>1720</v>
          </cell>
          <cell r="AG35">
            <v>832</v>
          </cell>
          <cell r="AH35">
            <v>1133</v>
          </cell>
          <cell r="AI35">
            <v>4</v>
          </cell>
          <cell r="AJ35">
            <v>0</v>
          </cell>
          <cell r="AK35">
            <v>0</v>
          </cell>
          <cell r="AL35">
            <v>2329.991</v>
          </cell>
          <cell r="AM35">
            <v>1527.729</v>
          </cell>
          <cell r="AN35">
            <v>3695.9560000000001</v>
          </cell>
          <cell r="AO35">
            <v>3105.9560000000001</v>
          </cell>
          <cell r="AP35">
            <v>2435.9560000000001</v>
          </cell>
          <cell r="AQ35">
            <v>1633.9560000000001</v>
          </cell>
          <cell r="AR35">
            <v>3933.9560000000001</v>
          </cell>
          <cell r="AS35">
            <v>3101.9560000000001</v>
          </cell>
          <cell r="AT35">
            <v>2966.9560000000001</v>
          </cell>
          <cell r="AU35">
            <v>2410.9560000000001</v>
          </cell>
          <cell r="AV35">
            <v>1410.9560000000001</v>
          </cell>
          <cell r="AW35">
            <v>1410.9560000000001</v>
          </cell>
          <cell r="AX35">
            <v>1410.9560000000001</v>
          </cell>
          <cell r="AY35">
            <v>1410.9560000000001</v>
          </cell>
          <cell r="AZ35">
            <v>1410.9560000000001</v>
          </cell>
          <cell r="BA35">
            <v>1410.9560000000001</v>
          </cell>
          <cell r="BC35">
            <v>1823.95</v>
          </cell>
          <cell r="BD35">
            <v>2092</v>
          </cell>
          <cell r="BE35">
            <v>652.33333333333337</v>
          </cell>
          <cell r="BF35">
            <v>652.33333333333337</v>
          </cell>
          <cell r="BG35">
            <v>464.52499999999998</v>
          </cell>
          <cell r="BH35">
            <v>785.86699999999996</v>
          </cell>
          <cell r="BI35">
            <v>1141.0920000000001</v>
          </cell>
          <cell r="BJ35">
            <v>402.22399999999999</v>
          </cell>
          <cell r="BK35">
            <v>601.15</v>
          </cell>
          <cell r="BL35">
            <v>700.61300000000006</v>
          </cell>
          <cell r="BM35">
            <v>590.22</v>
          </cell>
          <cell r="BN35">
            <v>670.00900000000001</v>
          </cell>
          <cell r="BO35">
            <v>802.26199999999994</v>
          </cell>
          <cell r="BP35">
            <v>831.77300000000002</v>
          </cell>
          <cell r="BQ35">
            <v>590</v>
          </cell>
          <cell r="BR35">
            <v>670</v>
          </cell>
          <cell r="BS35">
            <v>802</v>
          </cell>
          <cell r="BT35">
            <v>700</v>
          </cell>
          <cell r="BU35">
            <v>832</v>
          </cell>
          <cell r="BV35">
            <v>135</v>
          </cell>
          <cell r="BW35">
            <v>556</v>
          </cell>
          <cell r="BX35">
            <v>1000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205.71721757046924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3000</v>
          </cell>
          <cell r="CR35">
            <v>0</v>
          </cell>
          <cell r="CS35">
            <v>3000</v>
          </cell>
          <cell r="CT35">
            <v>0</v>
          </cell>
          <cell r="CU35">
            <v>0</v>
          </cell>
          <cell r="CV35">
            <v>0</v>
          </cell>
          <cell r="CW35">
            <v>3000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I35">
            <v>53.48</v>
          </cell>
          <cell r="DJ35">
            <v>2887.9199999999996</v>
          </cell>
          <cell r="DK35">
            <v>160.44</v>
          </cell>
          <cell r="DL35">
            <v>106.96</v>
          </cell>
          <cell r="DM35">
            <v>119099.95999999999</v>
          </cell>
          <cell r="DN35">
            <v>91985.599999999991</v>
          </cell>
          <cell r="DO35">
            <v>44495.360000000001</v>
          </cell>
          <cell r="DP35">
            <v>60592.84</v>
          </cell>
          <cell r="DQ35">
            <v>213.92</v>
          </cell>
          <cell r="DR35">
            <v>0</v>
          </cell>
          <cell r="DS35">
            <v>0</v>
          </cell>
          <cell r="DT35">
            <v>124607.91867999999</v>
          </cell>
          <cell r="DU35">
            <v>81702.946920000002</v>
          </cell>
          <cell r="DV35">
            <v>197659.72688</v>
          </cell>
          <cell r="DW35">
            <v>166106.52687999999</v>
          </cell>
          <cell r="DX35">
            <v>130274.92688</v>
          </cell>
          <cell r="DY35">
            <v>87383.966880000007</v>
          </cell>
          <cell r="DZ35">
            <v>210387.96687999999</v>
          </cell>
          <cell r="EA35">
            <v>165892.60688000001</v>
          </cell>
          <cell r="EB35">
            <v>158672.80687999999</v>
          </cell>
          <cell r="EC35">
            <v>128937.92688</v>
          </cell>
          <cell r="ED35">
            <v>75457.926879999999</v>
          </cell>
          <cell r="EE35">
            <v>75457.926879999999</v>
          </cell>
          <cell r="EF35">
            <v>75457.926879999999</v>
          </cell>
          <cell r="EG35">
            <v>75457.926879999999</v>
          </cell>
          <cell r="EH35">
            <v>75457.926879999999</v>
          </cell>
          <cell r="EI35">
            <v>75457.926879999999</v>
          </cell>
          <cell r="EL35">
            <v>82989.725000000006</v>
          </cell>
          <cell r="EM35">
            <v>95186</v>
          </cell>
          <cell r="EN35">
            <v>34886.786666666667</v>
          </cell>
          <cell r="EO35">
            <v>34886.786666666667</v>
          </cell>
          <cell r="EP35">
            <v>24842.796999999999</v>
          </cell>
          <cell r="EQ35">
            <v>42028.167159999997</v>
          </cell>
          <cell r="ER35">
            <v>61025.600160000002</v>
          </cell>
          <cell r="ES35">
            <v>21510.93952</v>
          </cell>
          <cell r="ET35">
            <v>32149.501999999997</v>
          </cell>
          <cell r="EU35">
            <v>37468.783240000004</v>
          </cell>
          <cell r="EV35">
            <v>31564.9656</v>
          </cell>
          <cell r="EW35">
            <v>35832.081319999998</v>
          </cell>
          <cell r="EX35">
            <v>42904.971759999993</v>
          </cell>
          <cell r="EY35">
            <v>44483.22004</v>
          </cell>
          <cell r="EZ35">
            <v>31553.199999999997</v>
          </cell>
          <cell r="FA35">
            <v>35831.599999999999</v>
          </cell>
          <cell r="FB35">
            <v>42890.96</v>
          </cell>
          <cell r="FC35">
            <v>37436</v>
          </cell>
          <cell r="FD35">
            <v>44495.360000000001</v>
          </cell>
          <cell r="FE35">
            <v>7219.7999999999993</v>
          </cell>
          <cell r="FF35">
            <v>29734.879999999997</v>
          </cell>
          <cell r="FG35">
            <v>53480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6000</v>
          </cell>
          <cell r="FO35">
            <v>3000</v>
          </cell>
        </row>
        <row r="36">
          <cell r="A36" t="str">
            <v>000A4010</v>
          </cell>
          <cell r="B36" t="str">
            <v>PRUDENCE EXTRA GRANDE</v>
          </cell>
          <cell r="C36" t="str">
            <v>PRUDENCE EXTRA GRANDE 3'S FLOW PACK - DISPLAY BOX</v>
          </cell>
          <cell r="D36" t="str">
            <v>OTC</v>
          </cell>
          <cell r="E36" t="str">
            <v>Karex / NRS</v>
          </cell>
          <cell r="G36">
            <v>133</v>
          </cell>
          <cell r="H36">
            <v>133</v>
          </cell>
          <cell r="I36">
            <v>266</v>
          </cell>
          <cell r="J36">
            <v>45964</v>
          </cell>
          <cell r="K36">
            <v>11</v>
          </cell>
          <cell r="L36">
            <v>2025</v>
          </cell>
          <cell r="M36">
            <v>46097</v>
          </cell>
          <cell r="N36">
            <v>3</v>
          </cell>
          <cell r="O36">
            <v>2026</v>
          </cell>
          <cell r="P36">
            <v>0.95</v>
          </cell>
          <cell r="Q36" t="str">
            <v>B</v>
          </cell>
          <cell r="R36">
            <v>1.8095878177138423</v>
          </cell>
          <cell r="S36">
            <v>82.84</v>
          </cell>
          <cell r="T36">
            <v>1700</v>
          </cell>
          <cell r="U36">
            <v>2500</v>
          </cell>
          <cell r="V36">
            <v>2200</v>
          </cell>
          <cell r="W36">
            <v>2200</v>
          </cell>
          <cell r="Y36">
            <v>8.2100000000000009</v>
          </cell>
          <cell r="Z36">
            <v>1</v>
          </cell>
          <cell r="AA36">
            <v>39</v>
          </cell>
          <cell r="AB36">
            <v>2</v>
          </cell>
          <cell r="AC36">
            <v>2930</v>
          </cell>
          <cell r="AD36">
            <v>1106</v>
          </cell>
          <cell r="AE36">
            <v>1654</v>
          </cell>
          <cell r="AF36">
            <v>1985</v>
          </cell>
          <cell r="AG36">
            <v>581</v>
          </cell>
          <cell r="AH36">
            <v>1161</v>
          </cell>
          <cell r="AI36">
            <v>1506</v>
          </cell>
          <cell r="AJ36">
            <v>259</v>
          </cell>
          <cell r="AK36">
            <v>1280</v>
          </cell>
          <cell r="AL36">
            <v>3571</v>
          </cell>
          <cell r="AM36">
            <v>2611</v>
          </cell>
          <cell r="AN36">
            <v>7411</v>
          </cell>
          <cell r="AO36">
            <v>6425</v>
          </cell>
          <cell r="AP36">
            <v>5474</v>
          </cell>
          <cell r="AQ36">
            <v>4343</v>
          </cell>
          <cell r="AR36">
            <v>5464</v>
          </cell>
          <cell r="AS36">
            <v>6409</v>
          </cell>
          <cell r="AT36">
            <v>4887</v>
          </cell>
          <cell r="AU36">
            <v>3602</v>
          </cell>
          <cell r="AV36">
            <v>2317</v>
          </cell>
          <cell r="AW36">
            <v>2317</v>
          </cell>
          <cell r="AX36">
            <v>2317</v>
          </cell>
          <cell r="AY36">
            <v>2317</v>
          </cell>
          <cell r="AZ36">
            <v>2317</v>
          </cell>
          <cell r="BA36">
            <v>2317</v>
          </cell>
          <cell r="BC36">
            <v>0</v>
          </cell>
          <cell r="BD36">
            <v>-2.0700000000000003</v>
          </cell>
          <cell r="BE36">
            <v>950.5</v>
          </cell>
          <cell r="BF36">
            <v>599</v>
          </cell>
          <cell r="BG36">
            <v>58</v>
          </cell>
          <cell r="BH36">
            <v>271</v>
          </cell>
          <cell r="BI36">
            <v>928</v>
          </cell>
          <cell r="BJ36">
            <v>1528</v>
          </cell>
          <cell r="BK36">
            <v>726</v>
          </cell>
          <cell r="BL36">
            <v>1247</v>
          </cell>
          <cell r="BM36">
            <v>1179</v>
          </cell>
          <cell r="BN36">
            <v>2109</v>
          </cell>
          <cell r="BO36">
            <v>960</v>
          </cell>
          <cell r="BP36">
            <v>1800</v>
          </cell>
          <cell r="BQ36">
            <v>986</v>
          </cell>
          <cell r="BR36">
            <v>951</v>
          </cell>
          <cell r="BS36">
            <v>1131</v>
          </cell>
          <cell r="BT36">
            <v>1079</v>
          </cell>
          <cell r="BU36">
            <v>1255</v>
          </cell>
          <cell r="BV36">
            <v>1522</v>
          </cell>
          <cell r="BW36">
            <v>1285</v>
          </cell>
          <cell r="BX36">
            <v>1285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339.87022410144925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2200</v>
          </cell>
          <cell r="CQ36">
            <v>4400</v>
          </cell>
          <cell r="CR36">
            <v>0</v>
          </cell>
          <cell r="CS36">
            <v>6600</v>
          </cell>
          <cell r="CT36">
            <v>0</v>
          </cell>
          <cell r="CU36">
            <v>0</v>
          </cell>
          <cell r="CV36">
            <v>0</v>
          </cell>
          <cell r="CW36">
            <v>2200</v>
          </cell>
          <cell r="CX36">
            <v>2200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I36">
            <v>103.81</v>
          </cell>
          <cell r="DJ36">
            <v>207.62</v>
          </cell>
          <cell r="DK36">
            <v>304163.3</v>
          </cell>
          <cell r="DL36">
            <v>114813.86</v>
          </cell>
          <cell r="DM36">
            <v>171701.74</v>
          </cell>
          <cell r="DN36">
            <v>206062.85</v>
          </cell>
          <cell r="DO36">
            <v>60313.61</v>
          </cell>
          <cell r="DP36">
            <v>120523.41</v>
          </cell>
          <cell r="DQ36">
            <v>156337.86000000002</v>
          </cell>
          <cell r="DR36">
            <v>26886.79</v>
          </cell>
          <cell r="DS36">
            <v>132876.79999999999</v>
          </cell>
          <cell r="DT36">
            <v>370705.51</v>
          </cell>
          <cell r="DU36">
            <v>271047.91000000003</v>
          </cell>
          <cell r="DV36">
            <v>769335.91</v>
          </cell>
          <cell r="DW36">
            <v>666979.25</v>
          </cell>
          <cell r="DX36">
            <v>568255.94000000006</v>
          </cell>
          <cell r="DY36">
            <v>450846.83</v>
          </cell>
          <cell r="DZ36">
            <v>567217.84</v>
          </cell>
          <cell r="EA36">
            <v>665318.29</v>
          </cell>
          <cell r="EB36">
            <v>507319.47000000003</v>
          </cell>
          <cell r="EC36">
            <v>373923.62</v>
          </cell>
          <cell r="ED36">
            <v>240527.77000000002</v>
          </cell>
          <cell r="EE36">
            <v>240527.77000000002</v>
          </cell>
          <cell r="EF36">
            <v>240527.77000000002</v>
          </cell>
          <cell r="EG36">
            <v>240527.77000000002</v>
          </cell>
          <cell r="EH36">
            <v>240527.77000000002</v>
          </cell>
          <cell r="EI36">
            <v>240527.77000000002</v>
          </cell>
          <cell r="EL36">
            <v>0</v>
          </cell>
          <cell r="EM36">
            <v>-171.47880000000004</v>
          </cell>
          <cell r="EN36">
            <v>98671.404999999999</v>
          </cell>
          <cell r="EO36">
            <v>62182.19</v>
          </cell>
          <cell r="EP36">
            <v>6020.9800000000005</v>
          </cell>
          <cell r="EQ36">
            <v>28132.510000000002</v>
          </cell>
          <cell r="ER36">
            <v>96335.680000000008</v>
          </cell>
          <cell r="ES36">
            <v>158621.68</v>
          </cell>
          <cell r="ET36">
            <v>75366.06</v>
          </cell>
          <cell r="EU36">
            <v>129451.07</v>
          </cell>
          <cell r="EV36">
            <v>122391.99</v>
          </cell>
          <cell r="EW36">
            <v>218935.29</v>
          </cell>
          <cell r="EX36">
            <v>99657.600000000006</v>
          </cell>
          <cell r="EY36">
            <v>186858</v>
          </cell>
          <cell r="EZ36">
            <v>102356.66</v>
          </cell>
          <cell r="FA36">
            <v>98723.31</v>
          </cell>
          <cell r="FB36">
            <v>117409.11</v>
          </cell>
          <cell r="FC36">
            <v>112010.99</v>
          </cell>
          <cell r="FD36">
            <v>130281.55</v>
          </cell>
          <cell r="FE36">
            <v>157998.82</v>
          </cell>
          <cell r="FF36">
            <v>133395.85</v>
          </cell>
          <cell r="FG36">
            <v>133395.85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13200</v>
          </cell>
          <cell r="FO36">
            <v>4400</v>
          </cell>
        </row>
        <row r="37">
          <cell r="A37" t="str">
            <v>000A4030</v>
          </cell>
          <cell r="B37" t="str">
            <v>PRUDENCE PRESERVATIVOS LUBRIFICADOS 12S</v>
          </cell>
          <cell r="C37" t="str">
            <v>PRUDENCE PRESERVATIVOS LUBRIFICADOS 12S</v>
          </cell>
          <cell r="D37" t="str">
            <v>OTC</v>
          </cell>
          <cell r="E37" t="str">
            <v>Thai Nippon</v>
          </cell>
          <cell r="G37">
            <v>96</v>
          </cell>
          <cell r="H37">
            <v>137</v>
          </cell>
          <cell r="I37">
            <v>233</v>
          </cell>
          <cell r="J37">
            <v>45927</v>
          </cell>
          <cell r="K37">
            <v>9</v>
          </cell>
          <cell r="L37">
            <v>2025</v>
          </cell>
          <cell r="M37">
            <v>46064</v>
          </cell>
          <cell r="N37">
            <v>2</v>
          </cell>
          <cell r="O37">
            <v>2026</v>
          </cell>
          <cell r="P37">
            <v>0.98</v>
          </cell>
          <cell r="Q37" t="str">
            <v>A</v>
          </cell>
          <cell r="R37">
            <v>44.525461088313328</v>
          </cell>
          <cell r="S37">
            <v>78.510000000000005</v>
          </cell>
          <cell r="T37">
            <v>4100</v>
          </cell>
          <cell r="U37">
            <v>16000</v>
          </cell>
          <cell r="V37">
            <v>3400</v>
          </cell>
          <cell r="W37">
            <v>17000</v>
          </cell>
          <cell r="X37" t="str">
            <v>gross</v>
          </cell>
          <cell r="Y37">
            <v>5.25</v>
          </cell>
          <cell r="Z37">
            <v>5590</v>
          </cell>
          <cell r="AA37">
            <v>3589</v>
          </cell>
          <cell r="AB37">
            <v>2821</v>
          </cell>
          <cell r="AC37">
            <v>4044</v>
          </cell>
          <cell r="AD37">
            <v>3021</v>
          </cell>
          <cell r="AE37">
            <v>4131</v>
          </cell>
          <cell r="AF37">
            <v>4638</v>
          </cell>
          <cell r="AG37">
            <v>22215</v>
          </cell>
          <cell r="AH37">
            <v>2527</v>
          </cell>
          <cell r="AI37">
            <v>6552</v>
          </cell>
          <cell r="AJ37">
            <v>9981.7126399999997</v>
          </cell>
          <cell r="AK37">
            <v>7214.4115199999997</v>
          </cell>
          <cell r="AL37">
            <v>21403.740160000001</v>
          </cell>
          <cell r="AM37">
            <v>18400.00128</v>
          </cell>
          <cell r="AN37">
            <v>17800.00128</v>
          </cell>
          <cell r="AO37">
            <v>13800.00128</v>
          </cell>
          <cell r="AP37">
            <v>20000.00128</v>
          </cell>
          <cell r="AQ37">
            <v>16000.00128</v>
          </cell>
          <cell r="AR37">
            <v>18800.00128</v>
          </cell>
          <cell r="AS37">
            <v>13600.00128</v>
          </cell>
          <cell r="AT37">
            <v>10800.00128</v>
          </cell>
          <cell r="AU37">
            <v>6800.0012800000004</v>
          </cell>
          <cell r="AV37">
            <v>3800.0012800000004</v>
          </cell>
          <cell r="AW37">
            <v>3800.0012800000004</v>
          </cell>
          <cell r="AX37">
            <v>3800.0012800000004</v>
          </cell>
          <cell r="AY37">
            <v>3800.0012800000004</v>
          </cell>
          <cell r="AZ37">
            <v>3800.0012800000004</v>
          </cell>
          <cell r="BA37">
            <v>3800.0012800000004</v>
          </cell>
          <cell r="BC37">
            <v>5590</v>
          </cell>
          <cell r="BD37">
            <v>3437</v>
          </cell>
          <cell r="BE37">
            <v>3200</v>
          </cell>
          <cell r="BF37">
            <v>3200</v>
          </cell>
          <cell r="BG37">
            <v>1980.34112</v>
          </cell>
          <cell r="BH37">
            <v>3521.3836800000004</v>
          </cell>
          <cell r="BI37">
            <v>4866.5606399999997</v>
          </cell>
          <cell r="BJ37">
            <v>21901.994879999998</v>
          </cell>
          <cell r="BK37">
            <v>2572.8345600000002</v>
          </cell>
          <cell r="BL37">
            <v>3370.2873599999998</v>
          </cell>
          <cell r="BM37">
            <v>2767.3011200000001</v>
          </cell>
          <cell r="BN37">
            <v>2810.6713599999998</v>
          </cell>
          <cell r="BO37">
            <v>3003.7388799999999</v>
          </cell>
          <cell r="BP37">
            <v>4000</v>
          </cell>
          <cell r="BQ37">
            <v>4000</v>
          </cell>
          <cell r="BR37">
            <v>4000</v>
          </cell>
          <cell r="BS37">
            <v>4000</v>
          </cell>
          <cell r="BT37">
            <v>4000</v>
          </cell>
          <cell r="BU37">
            <v>5200</v>
          </cell>
          <cell r="BV37">
            <v>2800</v>
          </cell>
          <cell r="BW37">
            <v>4000</v>
          </cell>
          <cell r="BX37">
            <v>3000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721.28040929769895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6800</v>
          </cell>
          <cell r="CP37">
            <v>0</v>
          </cell>
          <cell r="CQ37">
            <v>17000</v>
          </cell>
          <cell r="CR37">
            <v>0</v>
          </cell>
          <cell r="CS37">
            <v>3400</v>
          </cell>
          <cell r="CT37">
            <v>0</v>
          </cell>
          <cell r="CU37">
            <v>10200</v>
          </cell>
          <cell r="CV37">
            <v>0</v>
          </cell>
          <cell r="CW37">
            <v>6800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I37">
            <v>46.83</v>
          </cell>
          <cell r="DJ37">
            <v>132107.43</v>
          </cell>
          <cell r="DK37">
            <v>189380.52</v>
          </cell>
          <cell r="DL37">
            <v>141473.43</v>
          </cell>
          <cell r="DM37">
            <v>193454.72999999998</v>
          </cell>
          <cell r="DN37">
            <v>217197.53999999998</v>
          </cell>
          <cell r="DO37">
            <v>1040328.45</v>
          </cell>
          <cell r="DP37">
            <v>118339.40999999999</v>
          </cell>
          <cell r="DQ37">
            <v>306830.15999999997</v>
          </cell>
          <cell r="DR37">
            <v>467443.60293119994</v>
          </cell>
          <cell r="DS37">
            <v>337850.89148159995</v>
          </cell>
          <cell r="DT37">
            <v>1002337.1516928</v>
          </cell>
          <cell r="DU37">
            <v>861672.05994239997</v>
          </cell>
          <cell r="DV37">
            <v>833574.05994239997</v>
          </cell>
          <cell r="DW37">
            <v>646254.05994239997</v>
          </cell>
          <cell r="DX37">
            <v>936600.05994239997</v>
          </cell>
          <cell r="DY37">
            <v>749280.05994239997</v>
          </cell>
          <cell r="DZ37">
            <v>880404.05994239997</v>
          </cell>
          <cell r="EA37">
            <v>636888.05994239997</v>
          </cell>
          <cell r="EB37">
            <v>505764.05994240002</v>
          </cell>
          <cell r="EC37">
            <v>318444.05994240002</v>
          </cell>
          <cell r="ED37">
            <v>177954.05994240002</v>
          </cell>
          <cell r="EE37">
            <v>177954.05994240002</v>
          </cell>
          <cell r="EF37">
            <v>177954.05994240002</v>
          </cell>
          <cell r="EG37">
            <v>177954.05994240002</v>
          </cell>
          <cell r="EH37">
            <v>177954.05994240002</v>
          </cell>
          <cell r="EI37">
            <v>177954.05994240002</v>
          </cell>
          <cell r="EL37">
            <v>438870.9</v>
          </cell>
          <cell r="EM37">
            <v>269838.87</v>
          </cell>
          <cell r="EN37">
            <v>149856</v>
          </cell>
          <cell r="EO37">
            <v>149856</v>
          </cell>
          <cell r="EP37">
            <v>92739.374649599995</v>
          </cell>
          <cell r="EQ37">
            <v>164906.3977344</v>
          </cell>
          <cell r="ER37">
            <v>227901.03477119998</v>
          </cell>
          <cell r="ES37">
            <v>1025670.4202303999</v>
          </cell>
          <cell r="ET37">
            <v>120485.8424448</v>
          </cell>
          <cell r="EU37">
            <v>157830.55706879997</v>
          </cell>
          <cell r="EV37">
            <v>129592.7114496</v>
          </cell>
          <cell r="EW37">
            <v>131623.73978879998</v>
          </cell>
          <cell r="EX37">
            <v>140665.0917504</v>
          </cell>
          <cell r="EY37">
            <v>187320</v>
          </cell>
          <cell r="EZ37">
            <v>187320</v>
          </cell>
          <cell r="FA37">
            <v>187320</v>
          </cell>
          <cell r="FB37">
            <v>187320</v>
          </cell>
          <cell r="FC37">
            <v>187320</v>
          </cell>
          <cell r="FD37">
            <v>243516</v>
          </cell>
          <cell r="FE37">
            <v>131124</v>
          </cell>
          <cell r="FF37">
            <v>187320</v>
          </cell>
          <cell r="FG37">
            <v>140490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27200</v>
          </cell>
          <cell r="FO37">
            <v>17000</v>
          </cell>
        </row>
        <row r="38">
          <cell r="A38" t="str">
            <v>00014</v>
          </cell>
          <cell r="B38" t="str">
            <v>SUTRA HORTELA</v>
          </cell>
          <cell r="C38" t="str">
            <v>SUTRA MINT 3'S FLOW PACK</v>
          </cell>
          <cell r="D38" t="str">
            <v>OTC</v>
          </cell>
          <cell r="E38" t="str">
            <v>Karex / NRS</v>
          </cell>
          <cell r="G38">
            <v>133</v>
          </cell>
          <cell r="H38">
            <v>133</v>
          </cell>
          <cell r="I38">
            <v>266</v>
          </cell>
          <cell r="J38">
            <v>45964</v>
          </cell>
          <cell r="K38">
            <v>11</v>
          </cell>
          <cell r="L38">
            <v>2025</v>
          </cell>
          <cell r="M38">
            <v>46097</v>
          </cell>
          <cell r="N38">
            <v>3</v>
          </cell>
          <cell r="O38">
            <v>2026</v>
          </cell>
          <cell r="P38">
            <v>0.9</v>
          </cell>
          <cell r="Q38" t="str">
            <v>C</v>
          </cell>
          <cell r="R38">
            <v>3.5121989857371414</v>
          </cell>
          <cell r="S38">
            <v>33.729999999999997</v>
          </cell>
          <cell r="T38">
            <v>1600</v>
          </cell>
          <cell r="U38">
            <v>1600</v>
          </cell>
          <cell r="V38">
            <v>3000</v>
          </cell>
          <cell r="W38">
            <v>3000</v>
          </cell>
          <cell r="Y38">
            <v>5.61</v>
          </cell>
          <cell r="Z38">
            <v>1353</v>
          </cell>
          <cell r="AA38">
            <v>78</v>
          </cell>
          <cell r="AB38">
            <v>1987</v>
          </cell>
          <cell r="AC38">
            <v>2123</v>
          </cell>
          <cell r="AD38">
            <v>625</v>
          </cell>
          <cell r="AE38">
            <v>1045</v>
          </cell>
          <cell r="AF38">
            <v>1458</v>
          </cell>
          <cell r="AG38">
            <v>0</v>
          </cell>
          <cell r="AH38">
            <v>0</v>
          </cell>
          <cell r="AI38">
            <v>0</v>
          </cell>
          <cell r="AJ38">
            <v>1908</v>
          </cell>
          <cell r="AK38">
            <v>8483</v>
          </cell>
          <cell r="AL38">
            <v>8044</v>
          </cell>
          <cell r="AM38">
            <v>7248</v>
          </cell>
          <cell r="AN38">
            <v>11748</v>
          </cell>
          <cell r="AO38">
            <v>16248</v>
          </cell>
          <cell r="AP38">
            <v>14748</v>
          </cell>
          <cell r="AQ38">
            <v>13248</v>
          </cell>
          <cell r="AR38">
            <v>11748</v>
          </cell>
          <cell r="AS38">
            <v>9798</v>
          </cell>
          <cell r="AT38">
            <v>8748</v>
          </cell>
          <cell r="AU38">
            <v>7248</v>
          </cell>
          <cell r="AV38">
            <v>5748</v>
          </cell>
          <cell r="AW38">
            <v>5748</v>
          </cell>
          <cell r="AX38">
            <v>5748</v>
          </cell>
          <cell r="AY38">
            <v>5748</v>
          </cell>
          <cell r="AZ38">
            <v>5748</v>
          </cell>
          <cell r="BA38">
            <v>5748</v>
          </cell>
          <cell r="BC38">
            <v>1363</v>
          </cell>
          <cell r="BD38">
            <v>3</v>
          </cell>
          <cell r="BE38">
            <v>772.33333333333337</v>
          </cell>
          <cell r="BF38">
            <v>772.33333333333337</v>
          </cell>
          <cell r="BG38">
            <v>138</v>
          </cell>
          <cell r="BH38">
            <v>2476</v>
          </cell>
          <cell r="BI38">
            <v>2052</v>
          </cell>
          <cell r="BJ38">
            <v>555</v>
          </cell>
          <cell r="BK38">
            <v>647</v>
          </cell>
          <cell r="BL38">
            <v>1092</v>
          </cell>
          <cell r="BM38">
            <v>825</v>
          </cell>
          <cell r="BN38">
            <v>439</v>
          </cell>
          <cell r="BO38">
            <v>796</v>
          </cell>
          <cell r="BP38">
            <v>1500</v>
          </cell>
          <cell r="BQ38">
            <v>1500</v>
          </cell>
          <cell r="BR38">
            <v>1500</v>
          </cell>
          <cell r="BS38">
            <v>1500</v>
          </cell>
          <cell r="BT38">
            <v>1500</v>
          </cell>
          <cell r="BU38">
            <v>1950</v>
          </cell>
          <cell r="BV38">
            <v>1050</v>
          </cell>
          <cell r="BW38">
            <v>1500</v>
          </cell>
          <cell r="BX38">
            <v>1500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410.74068492956764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3000</v>
          </cell>
          <cell r="CP38">
            <v>7400</v>
          </cell>
          <cell r="CQ38">
            <v>0</v>
          </cell>
          <cell r="CR38">
            <v>0</v>
          </cell>
          <cell r="CS38">
            <v>6000</v>
          </cell>
          <cell r="CT38">
            <v>6000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I38">
            <v>43.58</v>
          </cell>
          <cell r="DJ38">
            <v>86593.459999999992</v>
          </cell>
          <cell r="DK38">
            <v>92520.34</v>
          </cell>
          <cell r="DL38">
            <v>27237.5</v>
          </cell>
          <cell r="DM38">
            <v>45541.1</v>
          </cell>
          <cell r="DN38">
            <v>63539.64</v>
          </cell>
          <cell r="DO38">
            <v>0</v>
          </cell>
          <cell r="DP38">
            <v>0</v>
          </cell>
          <cell r="DQ38">
            <v>0</v>
          </cell>
          <cell r="DR38">
            <v>83150.64</v>
          </cell>
          <cell r="DS38">
            <v>369689.14</v>
          </cell>
          <cell r="DT38">
            <v>350557.51999999996</v>
          </cell>
          <cell r="DU38">
            <v>315867.83999999997</v>
          </cell>
          <cell r="DV38">
            <v>511977.83999999997</v>
          </cell>
          <cell r="DW38">
            <v>708087.84</v>
          </cell>
          <cell r="DX38">
            <v>642717.84</v>
          </cell>
          <cell r="DY38">
            <v>577347.83999999997</v>
          </cell>
          <cell r="DZ38">
            <v>511977.83999999997</v>
          </cell>
          <cell r="EA38">
            <v>426996.83999999997</v>
          </cell>
          <cell r="EB38">
            <v>381237.83999999997</v>
          </cell>
          <cell r="EC38">
            <v>315867.83999999997</v>
          </cell>
          <cell r="ED38">
            <v>250497.84</v>
          </cell>
          <cell r="EE38">
            <v>250497.84</v>
          </cell>
          <cell r="EF38">
            <v>250497.84</v>
          </cell>
          <cell r="EG38">
            <v>250497.84</v>
          </cell>
          <cell r="EH38">
            <v>250497.84</v>
          </cell>
          <cell r="EI38">
            <v>250497.84</v>
          </cell>
          <cell r="EL38">
            <v>45973.99</v>
          </cell>
          <cell r="EM38">
            <v>101.19</v>
          </cell>
          <cell r="EN38">
            <v>33658.286666666667</v>
          </cell>
          <cell r="EO38">
            <v>33658.286666666667</v>
          </cell>
          <cell r="EP38">
            <v>6014.04</v>
          </cell>
          <cell r="EQ38">
            <v>107904.08</v>
          </cell>
          <cell r="ER38">
            <v>89426.16</v>
          </cell>
          <cell r="ES38">
            <v>24186.899999999998</v>
          </cell>
          <cell r="ET38">
            <v>28196.26</v>
          </cell>
          <cell r="EU38">
            <v>47589.36</v>
          </cell>
          <cell r="EV38">
            <v>35953.5</v>
          </cell>
          <cell r="EW38">
            <v>19131.62</v>
          </cell>
          <cell r="EX38">
            <v>34689.68</v>
          </cell>
          <cell r="EY38">
            <v>65370</v>
          </cell>
          <cell r="EZ38">
            <v>65370</v>
          </cell>
          <cell r="FA38">
            <v>65370</v>
          </cell>
          <cell r="FB38">
            <v>65370</v>
          </cell>
          <cell r="FC38">
            <v>65370</v>
          </cell>
          <cell r="FD38">
            <v>84981</v>
          </cell>
          <cell r="FE38">
            <v>45759</v>
          </cell>
          <cell r="FF38">
            <v>65370</v>
          </cell>
          <cell r="FG38">
            <v>65370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22400</v>
          </cell>
          <cell r="FO38">
            <v>0</v>
          </cell>
        </row>
        <row r="39">
          <cell r="A39" t="str">
            <v>000A1019</v>
          </cell>
          <cell r="B39" t="str">
            <v>PRUDENCE C S CHICLETE</v>
          </cell>
          <cell r="C39" t="str">
            <v>PRUDENCE C&amp;T CHICLETE 3´S FLOW PACK - DISPLAY BOX</v>
          </cell>
          <cell r="D39" t="str">
            <v>OTC</v>
          </cell>
          <cell r="E39" t="str">
            <v>Karex / NRS</v>
          </cell>
          <cell r="G39">
            <v>133</v>
          </cell>
          <cell r="H39">
            <v>133</v>
          </cell>
          <cell r="I39">
            <v>266</v>
          </cell>
          <cell r="J39">
            <v>45964</v>
          </cell>
          <cell r="K39">
            <v>11</v>
          </cell>
          <cell r="L39">
            <v>2025</v>
          </cell>
          <cell r="M39">
            <v>46097</v>
          </cell>
          <cell r="N39">
            <v>3</v>
          </cell>
          <cell r="O39">
            <v>2026</v>
          </cell>
          <cell r="P39">
            <v>0.95</v>
          </cell>
          <cell r="Q39" t="str">
            <v>B</v>
          </cell>
          <cell r="R39">
            <v>0.86168352870367704</v>
          </cell>
          <cell r="S39">
            <v>51.54</v>
          </cell>
          <cell r="T39">
            <v>800</v>
          </cell>
          <cell r="U39">
            <v>1600</v>
          </cell>
          <cell r="V39">
            <v>3000</v>
          </cell>
          <cell r="W39">
            <v>3000</v>
          </cell>
          <cell r="Y39">
            <v>6.77</v>
          </cell>
          <cell r="Z39">
            <v>1096</v>
          </cell>
          <cell r="AA39">
            <v>7</v>
          </cell>
          <cell r="AB39">
            <v>3</v>
          </cell>
          <cell r="AC39">
            <v>17</v>
          </cell>
          <cell r="AD39">
            <v>1950</v>
          </cell>
          <cell r="AE39">
            <v>1883</v>
          </cell>
          <cell r="AF39">
            <v>1002</v>
          </cell>
          <cell r="AG39">
            <v>568</v>
          </cell>
          <cell r="AH39">
            <v>897</v>
          </cell>
          <cell r="AI39">
            <v>0</v>
          </cell>
          <cell r="AJ39">
            <v>2121.2280000000001</v>
          </cell>
          <cell r="AK39">
            <v>1469.8000000000002</v>
          </cell>
          <cell r="AL39">
            <v>611.79500000000019</v>
          </cell>
          <cell r="AM39">
            <v>5741.7669999999998</v>
          </cell>
          <cell r="AN39">
            <v>4941.7669999999998</v>
          </cell>
          <cell r="AO39">
            <v>4290.7669999999998</v>
          </cell>
          <cell r="AP39">
            <v>3432.7669999999998</v>
          </cell>
          <cell r="AQ39">
            <v>5562.7669999999998</v>
          </cell>
          <cell r="AR39">
            <v>4697.7669999999998</v>
          </cell>
          <cell r="AS39">
            <v>3418.7669999999998</v>
          </cell>
          <cell r="AT39">
            <v>2574.7669999999998</v>
          </cell>
          <cell r="AU39">
            <v>1578.7669999999998</v>
          </cell>
          <cell r="AV39">
            <v>778.76699999999983</v>
          </cell>
          <cell r="AW39">
            <v>778.76699999999983</v>
          </cell>
          <cell r="AX39">
            <v>778.76699999999983</v>
          </cell>
          <cell r="AY39">
            <v>778.76699999999983</v>
          </cell>
          <cell r="AZ39">
            <v>778.76699999999983</v>
          </cell>
          <cell r="BA39">
            <v>778.76699999999983</v>
          </cell>
          <cell r="BC39">
            <v>1033.8699999999999</v>
          </cell>
          <cell r="BD39">
            <v>7</v>
          </cell>
          <cell r="BE39">
            <v>0</v>
          </cell>
          <cell r="BF39">
            <v>695</v>
          </cell>
          <cell r="BG39">
            <v>565.08100000000002</v>
          </cell>
          <cell r="BH39">
            <v>840.51700000000005</v>
          </cell>
          <cell r="BI39">
            <v>1204.4860000000001</v>
          </cell>
          <cell r="BJ39">
            <v>489.66399999999999</v>
          </cell>
          <cell r="BK39">
            <v>612.08000000000004</v>
          </cell>
          <cell r="BL39">
            <v>878.77200000000005</v>
          </cell>
          <cell r="BM39">
            <v>651.428</v>
          </cell>
          <cell r="BN39">
            <v>858.005</v>
          </cell>
          <cell r="BO39">
            <v>870.02800000000002</v>
          </cell>
          <cell r="BP39">
            <v>800</v>
          </cell>
          <cell r="BQ39">
            <v>651</v>
          </cell>
          <cell r="BR39">
            <v>858</v>
          </cell>
          <cell r="BS39">
            <v>870</v>
          </cell>
          <cell r="BT39">
            <v>865</v>
          </cell>
          <cell r="BU39">
            <v>1279</v>
          </cell>
          <cell r="BV39">
            <v>844</v>
          </cell>
          <cell r="BW39">
            <v>996</v>
          </cell>
          <cell r="BX39">
            <v>800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155.2287093335475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3000</v>
          </cell>
          <cell r="CP39">
            <v>0</v>
          </cell>
          <cell r="CQ39">
            <v>0</v>
          </cell>
          <cell r="CR39">
            <v>6000</v>
          </cell>
          <cell r="CS39">
            <v>0</v>
          </cell>
          <cell r="CT39">
            <v>0</v>
          </cell>
          <cell r="CU39">
            <v>0</v>
          </cell>
          <cell r="CV39">
            <v>3000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I39">
            <v>53.7</v>
          </cell>
          <cell r="DJ39">
            <v>161.10000000000002</v>
          </cell>
          <cell r="DK39">
            <v>912.90000000000009</v>
          </cell>
          <cell r="DL39">
            <v>104715</v>
          </cell>
          <cell r="DM39">
            <v>101117.1</v>
          </cell>
          <cell r="DN39">
            <v>53807.4</v>
          </cell>
          <cell r="DO39">
            <v>30501.600000000002</v>
          </cell>
          <cell r="DP39">
            <v>48168.9</v>
          </cell>
          <cell r="DQ39">
            <v>0</v>
          </cell>
          <cell r="DR39">
            <v>113909.94360000001</v>
          </cell>
          <cell r="DS39">
            <v>78928.260000000009</v>
          </cell>
          <cell r="DT39">
            <v>32853.391500000012</v>
          </cell>
          <cell r="DU39">
            <v>308332.88790000003</v>
          </cell>
          <cell r="DV39">
            <v>265372.88790000003</v>
          </cell>
          <cell r="DW39">
            <v>230414.18789999999</v>
          </cell>
          <cell r="DX39">
            <v>184339.58790000001</v>
          </cell>
          <cell r="DY39">
            <v>298720.58789999998</v>
          </cell>
          <cell r="DZ39">
            <v>252270.08790000001</v>
          </cell>
          <cell r="EA39">
            <v>183587.7879</v>
          </cell>
          <cell r="EB39">
            <v>138264.98790000001</v>
          </cell>
          <cell r="EC39">
            <v>84779.787899999996</v>
          </cell>
          <cell r="ED39">
            <v>41819.787899999996</v>
          </cell>
          <cell r="EE39">
            <v>41819.787899999996</v>
          </cell>
          <cell r="EF39">
            <v>41819.787899999996</v>
          </cell>
          <cell r="EG39">
            <v>41819.787899999996</v>
          </cell>
          <cell r="EH39">
            <v>41819.787899999996</v>
          </cell>
          <cell r="EI39">
            <v>41819.787899999996</v>
          </cell>
          <cell r="EL39">
            <v>53285.659799999994</v>
          </cell>
          <cell r="EM39">
            <v>360.78</v>
          </cell>
          <cell r="EN39">
            <v>0</v>
          </cell>
          <cell r="EO39">
            <v>37321.5</v>
          </cell>
          <cell r="EP39">
            <v>30344.849700000002</v>
          </cell>
          <cell r="EQ39">
            <v>45135.762900000009</v>
          </cell>
          <cell r="ER39">
            <v>64680.898200000011</v>
          </cell>
          <cell r="ES39">
            <v>26294.9568</v>
          </cell>
          <cell r="ET39">
            <v>32868.696000000004</v>
          </cell>
          <cell r="EU39">
            <v>47190.056400000009</v>
          </cell>
          <cell r="EV39">
            <v>34981.683600000004</v>
          </cell>
          <cell r="EW39">
            <v>46074.868500000004</v>
          </cell>
          <cell r="EX39">
            <v>46720.503600000004</v>
          </cell>
          <cell r="EY39">
            <v>42960</v>
          </cell>
          <cell r="EZ39">
            <v>34958.700000000004</v>
          </cell>
          <cell r="FA39">
            <v>46074.600000000006</v>
          </cell>
          <cell r="FB39">
            <v>46719</v>
          </cell>
          <cell r="FC39">
            <v>46450.5</v>
          </cell>
          <cell r="FD39">
            <v>68682.3</v>
          </cell>
          <cell r="FE39">
            <v>45322.8</v>
          </cell>
          <cell r="FF39">
            <v>53485.200000000004</v>
          </cell>
          <cell r="FG39">
            <v>42960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9000</v>
          </cell>
          <cell r="FO39">
            <v>3000</v>
          </cell>
        </row>
        <row r="40">
          <cell r="A40" t="str">
            <v>000A1034</v>
          </cell>
          <cell r="B40" t="str">
            <v>PRUDENCE C S MIX TROPICAL L8P6</v>
          </cell>
          <cell r="C40" t="str">
            <v>PRUDENCE C&amp;T MIX TROPICAL 8'S FLOW PACK</v>
          </cell>
          <cell r="D40" t="str">
            <v>OTC</v>
          </cell>
          <cell r="E40" t="str">
            <v>Karex / NRS</v>
          </cell>
          <cell r="G40">
            <v>133</v>
          </cell>
          <cell r="H40">
            <v>133</v>
          </cell>
          <cell r="I40">
            <v>266</v>
          </cell>
          <cell r="J40">
            <v>45964</v>
          </cell>
          <cell r="K40">
            <v>11</v>
          </cell>
          <cell r="L40">
            <v>2025</v>
          </cell>
          <cell r="M40">
            <v>46097</v>
          </cell>
          <cell r="N40">
            <v>3</v>
          </cell>
          <cell r="O40">
            <v>2026</v>
          </cell>
          <cell r="P40">
            <v>0.95</v>
          </cell>
          <cell r="Q40" t="str">
            <v>B</v>
          </cell>
          <cell r="R40">
            <v>0</v>
          </cell>
          <cell r="S40">
            <v>58.06</v>
          </cell>
          <cell r="T40">
            <v>300</v>
          </cell>
          <cell r="U40">
            <v>1300</v>
          </cell>
          <cell r="V40">
            <v>2100</v>
          </cell>
          <cell r="W40">
            <v>2100</v>
          </cell>
          <cell r="X40" t="str">
            <v>box</v>
          </cell>
          <cell r="Y40">
            <v>8.27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1080</v>
          </cell>
          <cell r="AE40">
            <v>662</v>
          </cell>
          <cell r="AF40">
            <v>634</v>
          </cell>
          <cell r="AG40">
            <v>346</v>
          </cell>
          <cell r="AH40">
            <v>344</v>
          </cell>
          <cell r="AI40">
            <v>5366</v>
          </cell>
          <cell r="AJ40">
            <v>4714.5720000000001</v>
          </cell>
          <cell r="AK40">
            <v>4161.5140000000001</v>
          </cell>
          <cell r="AL40">
            <v>3514.4580000000001</v>
          </cell>
          <cell r="AM40">
            <v>2863.03</v>
          </cell>
          <cell r="AN40">
            <v>2176.6260000000002</v>
          </cell>
          <cell r="AO40">
            <v>3723.6260000000002</v>
          </cell>
          <cell r="AP40">
            <v>3076.6260000000002</v>
          </cell>
          <cell r="AQ40">
            <v>2425.6260000000002</v>
          </cell>
          <cell r="AR40">
            <v>3839.6260000000002</v>
          </cell>
          <cell r="AS40">
            <v>3145.6260000000002</v>
          </cell>
          <cell r="AT40">
            <v>2377.6260000000002</v>
          </cell>
          <cell r="AU40">
            <v>1661.6260000000002</v>
          </cell>
          <cell r="AV40">
            <v>945.6260000000002</v>
          </cell>
          <cell r="AW40">
            <v>945.6260000000002</v>
          </cell>
          <cell r="AX40">
            <v>945.6260000000002</v>
          </cell>
          <cell r="AY40">
            <v>945.6260000000002</v>
          </cell>
          <cell r="AZ40">
            <v>945.6260000000002</v>
          </cell>
          <cell r="BA40">
            <v>945.6260000000002</v>
          </cell>
          <cell r="BC40">
            <v>0</v>
          </cell>
          <cell r="BD40">
            <v>-0.09</v>
          </cell>
          <cell r="BE40">
            <v>0</v>
          </cell>
          <cell r="BF40">
            <v>700</v>
          </cell>
          <cell r="BG40">
            <v>487.61462499999999</v>
          </cell>
          <cell r="BH40">
            <v>727.93799999999999</v>
          </cell>
          <cell r="BI40">
            <v>920.30600000000004</v>
          </cell>
          <cell r="BJ40">
            <v>396.75900000000001</v>
          </cell>
          <cell r="BK40">
            <v>570.54600000000005</v>
          </cell>
          <cell r="BL40">
            <v>651.428</v>
          </cell>
          <cell r="BM40">
            <v>553.05799999999999</v>
          </cell>
          <cell r="BN40">
            <v>647.05600000000004</v>
          </cell>
          <cell r="BO40">
            <v>651.428</v>
          </cell>
          <cell r="BP40">
            <v>686.404</v>
          </cell>
          <cell r="BQ40">
            <v>553</v>
          </cell>
          <cell r="BR40">
            <v>647</v>
          </cell>
          <cell r="BS40">
            <v>651</v>
          </cell>
          <cell r="BT40">
            <v>686</v>
          </cell>
          <cell r="BU40">
            <v>694</v>
          </cell>
          <cell r="BV40">
            <v>768</v>
          </cell>
          <cell r="BW40">
            <v>716</v>
          </cell>
          <cell r="BX40">
            <v>716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60.408249204040303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2100</v>
          </cell>
          <cell r="CU40">
            <v>0</v>
          </cell>
          <cell r="CV40">
            <v>0</v>
          </cell>
          <cell r="CW40">
            <v>2100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I40">
            <v>58.07</v>
          </cell>
          <cell r="DJ40">
            <v>0</v>
          </cell>
          <cell r="DK40">
            <v>0</v>
          </cell>
          <cell r="DL40">
            <v>62715.6</v>
          </cell>
          <cell r="DM40">
            <v>38442.340000000004</v>
          </cell>
          <cell r="DN40">
            <v>36816.379999999997</v>
          </cell>
          <cell r="DO40">
            <v>20092.22</v>
          </cell>
          <cell r="DP40">
            <v>19976.080000000002</v>
          </cell>
          <cell r="DQ40">
            <v>311603.62</v>
          </cell>
          <cell r="DR40">
            <v>273775.19604000001</v>
          </cell>
          <cell r="DS40">
            <v>241659.11798000001</v>
          </cell>
          <cell r="DT40">
            <v>204084.57605999999</v>
          </cell>
          <cell r="DU40">
            <v>166256.15210000001</v>
          </cell>
          <cell r="DV40">
            <v>126396.67182000002</v>
          </cell>
          <cell r="DW40">
            <v>216230.96182000003</v>
          </cell>
          <cell r="DX40">
            <v>178659.67182000002</v>
          </cell>
          <cell r="DY40">
            <v>140856.10182000001</v>
          </cell>
          <cell r="DZ40">
            <v>222967.08182000002</v>
          </cell>
          <cell r="EA40">
            <v>182666.50182</v>
          </cell>
          <cell r="EB40">
            <v>138068.74182000002</v>
          </cell>
          <cell r="EC40">
            <v>96490.621820000015</v>
          </cell>
          <cell r="ED40">
            <v>54912.501820000012</v>
          </cell>
          <cell r="EE40">
            <v>54912.501820000012</v>
          </cell>
          <cell r="EF40">
            <v>54912.501820000012</v>
          </cell>
          <cell r="EG40">
            <v>54912.501820000012</v>
          </cell>
          <cell r="EH40">
            <v>54912.501820000012</v>
          </cell>
          <cell r="EI40">
            <v>54912.501820000012</v>
          </cell>
          <cell r="EL40">
            <v>0</v>
          </cell>
          <cell r="EM40">
            <v>-5.2253999999999996</v>
          </cell>
          <cell r="EN40">
            <v>0</v>
          </cell>
          <cell r="EO40">
            <v>40649</v>
          </cell>
          <cell r="EP40">
            <v>28315.781273749999</v>
          </cell>
          <cell r="EQ40">
            <v>42271.359660000002</v>
          </cell>
          <cell r="ER40">
            <v>53442.169420000006</v>
          </cell>
          <cell r="ES40">
            <v>23039.795130000002</v>
          </cell>
          <cell r="ET40">
            <v>33131.606220000001</v>
          </cell>
          <cell r="EU40">
            <v>37828.42396</v>
          </cell>
          <cell r="EV40">
            <v>32116.07806</v>
          </cell>
          <cell r="EW40">
            <v>37574.541920000003</v>
          </cell>
          <cell r="EX40">
            <v>37828.42396</v>
          </cell>
          <cell r="EY40">
            <v>39859.480280000003</v>
          </cell>
          <cell r="EZ40">
            <v>32112.71</v>
          </cell>
          <cell r="FA40">
            <v>37571.29</v>
          </cell>
          <cell r="FB40">
            <v>37803.57</v>
          </cell>
          <cell r="FC40">
            <v>39836.019999999997</v>
          </cell>
          <cell r="FD40">
            <v>40300.58</v>
          </cell>
          <cell r="FE40">
            <v>44597.760000000002</v>
          </cell>
          <cell r="FF40">
            <v>41578.120000000003</v>
          </cell>
          <cell r="FG40">
            <v>41578.120000000003</v>
          </cell>
          <cell r="FH40">
            <v>0</v>
          </cell>
          <cell r="FI40">
            <v>0</v>
          </cell>
          <cell r="FJ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2100</v>
          </cell>
          <cell r="FO40">
            <v>2100</v>
          </cell>
        </row>
        <row r="41">
          <cell r="A41" t="str">
            <v>000A1017</v>
          </cell>
          <cell r="B41" t="str">
            <v>PRUDENCE C S MORANGAO</v>
          </cell>
          <cell r="C41" t="str">
            <v>PRUDENCE C&amp;T STRAWBERRY 3'S FLOW PACK 58MM</v>
          </cell>
          <cell r="D41" t="str">
            <v>OTC</v>
          </cell>
          <cell r="E41" t="str">
            <v>Karex / NRS</v>
          </cell>
          <cell r="G41">
            <v>133</v>
          </cell>
          <cell r="H41">
            <v>133</v>
          </cell>
          <cell r="I41">
            <v>266</v>
          </cell>
          <cell r="J41">
            <v>45964</v>
          </cell>
          <cell r="K41">
            <v>11</v>
          </cell>
          <cell r="L41">
            <v>2025</v>
          </cell>
          <cell r="M41">
            <v>46097</v>
          </cell>
          <cell r="N41">
            <v>3</v>
          </cell>
          <cell r="O41">
            <v>2026</v>
          </cell>
          <cell r="P41">
            <v>0.9</v>
          </cell>
          <cell r="Q41" t="str">
            <v>C</v>
          </cell>
          <cell r="R41">
            <v>0</v>
          </cell>
          <cell r="S41">
            <v>58.5</v>
          </cell>
          <cell r="T41">
            <v>500</v>
          </cell>
          <cell r="U41">
            <v>500</v>
          </cell>
          <cell r="V41">
            <v>3000</v>
          </cell>
          <cell r="W41">
            <v>3000</v>
          </cell>
          <cell r="Y41">
            <v>8.56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419</v>
          </cell>
          <cell r="AE41">
            <v>276</v>
          </cell>
          <cell r="AF41">
            <v>347</v>
          </cell>
          <cell r="AG41">
            <v>203</v>
          </cell>
          <cell r="AH41">
            <v>226</v>
          </cell>
          <cell r="AI41">
            <v>2858</v>
          </cell>
          <cell r="AJ41">
            <v>2469.9850000000001</v>
          </cell>
          <cell r="AK41">
            <v>2147.5500000000002</v>
          </cell>
          <cell r="AL41">
            <v>1762.8140000000003</v>
          </cell>
          <cell r="AM41">
            <v>4339.8230000000003</v>
          </cell>
          <cell r="AN41">
            <v>3804.2530000000002</v>
          </cell>
          <cell r="AO41">
            <v>3482.2530000000002</v>
          </cell>
          <cell r="AP41">
            <v>3097.2530000000002</v>
          </cell>
          <cell r="AQ41">
            <v>2674.2530000000002</v>
          </cell>
          <cell r="AR41">
            <v>2138.2530000000002</v>
          </cell>
          <cell r="AS41">
            <v>1725.2530000000002</v>
          </cell>
          <cell r="AT41">
            <v>1700.2530000000002</v>
          </cell>
          <cell r="AU41">
            <v>1375.2530000000002</v>
          </cell>
          <cell r="AV41">
            <v>1025.2530000000002</v>
          </cell>
          <cell r="AW41">
            <v>1025.2530000000002</v>
          </cell>
          <cell r="AX41">
            <v>1025.2530000000002</v>
          </cell>
          <cell r="AY41">
            <v>1025.2530000000002</v>
          </cell>
          <cell r="AZ41">
            <v>1025.2530000000002</v>
          </cell>
          <cell r="BA41">
            <v>1025.2530000000002</v>
          </cell>
          <cell r="BC41">
            <v>0</v>
          </cell>
          <cell r="BD41">
            <v>0</v>
          </cell>
          <cell r="BE41">
            <v>0</v>
          </cell>
          <cell r="BF41">
            <v>300</v>
          </cell>
          <cell r="BG41">
            <v>247.018</v>
          </cell>
          <cell r="BH41">
            <v>407.68900000000002</v>
          </cell>
          <cell r="BI41">
            <v>589.12699999999995</v>
          </cell>
          <cell r="BJ41">
            <v>242.64600000000002</v>
          </cell>
          <cell r="BK41">
            <v>313.69099999999997</v>
          </cell>
          <cell r="BL41">
            <v>388.01499999999999</v>
          </cell>
          <cell r="BM41">
            <v>322.435</v>
          </cell>
          <cell r="BN41">
            <v>384.73599999999999</v>
          </cell>
          <cell r="BO41">
            <v>422.99099999999999</v>
          </cell>
          <cell r="BP41">
            <v>535.57000000000005</v>
          </cell>
          <cell r="BQ41">
            <v>322</v>
          </cell>
          <cell r="BR41">
            <v>385</v>
          </cell>
          <cell r="BS41">
            <v>423</v>
          </cell>
          <cell r="BT41">
            <v>536</v>
          </cell>
          <cell r="BU41">
            <v>413</v>
          </cell>
          <cell r="BV41">
            <v>25</v>
          </cell>
          <cell r="BW41">
            <v>325</v>
          </cell>
          <cell r="BX41">
            <v>350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125.55834902755615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3000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I41">
            <v>58.52</v>
          </cell>
          <cell r="DJ41">
            <v>0</v>
          </cell>
          <cell r="DK41">
            <v>0</v>
          </cell>
          <cell r="DL41">
            <v>24519.88</v>
          </cell>
          <cell r="DM41">
            <v>16151.52</v>
          </cell>
          <cell r="DN41">
            <v>20306.440000000002</v>
          </cell>
          <cell r="DO41">
            <v>11879.560000000001</v>
          </cell>
          <cell r="DP41">
            <v>13225.52</v>
          </cell>
          <cell r="DQ41">
            <v>167250.16</v>
          </cell>
          <cell r="DR41">
            <v>144543.52220000001</v>
          </cell>
          <cell r="DS41">
            <v>125674.62600000002</v>
          </cell>
          <cell r="DT41">
            <v>103159.87528000002</v>
          </cell>
          <cell r="DU41">
            <v>253966.44196000003</v>
          </cell>
          <cell r="DV41">
            <v>222624.88556000002</v>
          </cell>
          <cell r="DW41">
            <v>203781.44556000002</v>
          </cell>
          <cell r="DX41">
            <v>181251.24556000001</v>
          </cell>
          <cell r="DY41">
            <v>156497.28556000002</v>
          </cell>
          <cell r="DZ41">
            <v>125130.56556000002</v>
          </cell>
          <cell r="EA41">
            <v>100961.80556000001</v>
          </cell>
          <cell r="EB41">
            <v>99498.805560000008</v>
          </cell>
          <cell r="EC41">
            <v>80479.805560000008</v>
          </cell>
          <cell r="ED41">
            <v>59997.805560000015</v>
          </cell>
          <cell r="EE41">
            <v>59997.805560000015</v>
          </cell>
          <cell r="EF41">
            <v>59997.805560000015</v>
          </cell>
          <cell r="EG41">
            <v>59997.805560000015</v>
          </cell>
          <cell r="EH41">
            <v>59997.805560000015</v>
          </cell>
          <cell r="EI41">
            <v>59997.805560000015</v>
          </cell>
          <cell r="EL41">
            <v>0</v>
          </cell>
          <cell r="EM41">
            <v>0</v>
          </cell>
          <cell r="EN41">
            <v>0</v>
          </cell>
          <cell r="EO41">
            <v>17556</v>
          </cell>
          <cell r="EP41">
            <v>14455.49336</v>
          </cell>
          <cell r="EQ41">
            <v>23857.960280000003</v>
          </cell>
          <cell r="ER41">
            <v>34475.712039999999</v>
          </cell>
          <cell r="ES41">
            <v>14199.643920000002</v>
          </cell>
          <cell r="ET41">
            <v>18357.197319999999</v>
          </cell>
          <cell r="EU41">
            <v>22706.6378</v>
          </cell>
          <cell r="EV41">
            <v>18868.896200000003</v>
          </cell>
          <cell r="EW41">
            <v>22514.75072</v>
          </cell>
          <cell r="EX41">
            <v>24753.43332</v>
          </cell>
          <cell r="EY41">
            <v>31341.556400000005</v>
          </cell>
          <cell r="EZ41">
            <v>18843.440000000002</v>
          </cell>
          <cell r="FA41">
            <v>22530.2</v>
          </cell>
          <cell r="FB41">
            <v>24753.960000000003</v>
          </cell>
          <cell r="FC41">
            <v>31366.720000000001</v>
          </cell>
          <cell r="FD41">
            <v>24168.760000000002</v>
          </cell>
          <cell r="FE41">
            <v>1463</v>
          </cell>
          <cell r="FF41">
            <v>19019</v>
          </cell>
          <cell r="FG41">
            <v>20482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3000</v>
          </cell>
          <cell r="FO41">
            <v>0</v>
          </cell>
        </row>
        <row r="42">
          <cell r="A42" t="str">
            <v>000A1021</v>
          </cell>
          <cell r="B42" t="str">
            <v>PRUDENCE C S MORANGO C/6</v>
          </cell>
          <cell r="C42" t="str">
            <v>PRUDENCE C&amp;T STRAWBERRY 6'S FLOW PACK</v>
          </cell>
          <cell r="D42" t="str">
            <v>OTC</v>
          </cell>
          <cell r="E42" t="str">
            <v>Karex / NRS</v>
          </cell>
          <cell r="G42">
            <v>133</v>
          </cell>
          <cell r="H42">
            <v>133</v>
          </cell>
          <cell r="I42">
            <v>266</v>
          </cell>
          <cell r="J42">
            <v>45964</v>
          </cell>
          <cell r="K42">
            <v>11</v>
          </cell>
          <cell r="L42">
            <v>2025</v>
          </cell>
          <cell r="M42">
            <v>46097</v>
          </cell>
          <cell r="N42">
            <v>3</v>
          </cell>
          <cell r="O42">
            <v>2026</v>
          </cell>
          <cell r="P42">
            <v>0.95</v>
          </cell>
          <cell r="Q42" t="str">
            <v>B</v>
          </cell>
          <cell r="R42">
            <v>0</v>
          </cell>
          <cell r="S42">
            <v>43.43</v>
          </cell>
          <cell r="T42">
            <v>2700</v>
          </cell>
          <cell r="U42">
            <v>2700</v>
          </cell>
          <cell r="V42">
            <v>2640</v>
          </cell>
          <cell r="W42">
            <v>2640</v>
          </cell>
          <cell r="Y42">
            <v>6.02</v>
          </cell>
          <cell r="Z42">
            <v>2</v>
          </cell>
          <cell r="AA42">
            <v>0</v>
          </cell>
          <cell r="AB42">
            <v>2621</v>
          </cell>
          <cell r="AC42">
            <v>1256</v>
          </cell>
          <cell r="AD42">
            <v>967</v>
          </cell>
          <cell r="AE42">
            <v>1107</v>
          </cell>
          <cell r="AF42">
            <v>1532</v>
          </cell>
          <cell r="AG42">
            <v>610</v>
          </cell>
          <cell r="AH42">
            <v>645</v>
          </cell>
          <cell r="AI42">
            <v>3350</v>
          </cell>
          <cell r="AJ42">
            <v>1549</v>
          </cell>
          <cell r="AK42">
            <v>0</v>
          </cell>
          <cell r="AL42">
            <v>4540</v>
          </cell>
          <cell r="AM42">
            <v>8673</v>
          </cell>
          <cell r="AN42">
            <v>7523</v>
          </cell>
          <cell r="AO42">
            <v>6544</v>
          </cell>
          <cell r="AP42">
            <v>5392</v>
          </cell>
          <cell r="AQ42">
            <v>4814</v>
          </cell>
          <cell r="AR42">
            <v>4236</v>
          </cell>
          <cell r="AS42">
            <v>3615</v>
          </cell>
          <cell r="AT42">
            <v>3359</v>
          </cell>
          <cell r="AU42">
            <v>3025</v>
          </cell>
          <cell r="AV42">
            <v>2768</v>
          </cell>
          <cell r="AW42">
            <v>2768</v>
          </cell>
          <cell r="AX42">
            <v>2768</v>
          </cell>
          <cell r="AY42">
            <v>2768</v>
          </cell>
          <cell r="AZ42">
            <v>2768</v>
          </cell>
          <cell r="BA42">
            <v>2768</v>
          </cell>
          <cell r="BC42">
            <v>1.84</v>
          </cell>
          <cell r="BD42">
            <v>-0.17</v>
          </cell>
          <cell r="BE42">
            <v>1063.4270833333333</v>
          </cell>
          <cell r="BF42">
            <v>1063.4270833333333</v>
          </cell>
          <cell r="BG42">
            <v>485</v>
          </cell>
          <cell r="BH42">
            <v>571</v>
          </cell>
          <cell r="BI42">
            <v>1479</v>
          </cell>
          <cell r="BJ42">
            <v>709</v>
          </cell>
          <cell r="BK42">
            <v>1029</v>
          </cell>
          <cell r="BL42">
            <v>1801</v>
          </cell>
          <cell r="BM42">
            <v>2021</v>
          </cell>
          <cell r="BN42">
            <v>740</v>
          </cell>
          <cell r="BO42">
            <v>1147</v>
          </cell>
          <cell r="BP42">
            <v>1150</v>
          </cell>
          <cell r="BQ42">
            <v>979</v>
          </cell>
          <cell r="BR42">
            <v>1152</v>
          </cell>
          <cell r="BS42">
            <v>578</v>
          </cell>
          <cell r="BT42">
            <v>578</v>
          </cell>
          <cell r="BU42">
            <v>621</v>
          </cell>
          <cell r="BV42">
            <v>256</v>
          </cell>
          <cell r="BW42">
            <v>334</v>
          </cell>
          <cell r="BX42">
            <v>257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556.81213744875959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5280</v>
          </cell>
          <cell r="CR42">
            <v>5280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I42">
            <v>51.32</v>
          </cell>
          <cell r="DJ42">
            <v>134509.72</v>
          </cell>
          <cell r="DK42">
            <v>64457.919999999998</v>
          </cell>
          <cell r="DL42">
            <v>49626.44</v>
          </cell>
          <cell r="DM42">
            <v>56811.24</v>
          </cell>
          <cell r="DN42">
            <v>78622.240000000005</v>
          </cell>
          <cell r="DO42">
            <v>31305.200000000001</v>
          </cell>
          <cell r="DP42">
            <v>33101.4</v>
          </cell>
          <cell r="DQ42">
            <v>171922</v>
          </cell>
          <cell r="DR42">
            <v>79494.680000000008</v>
          </cell>
          <cell r="DS42">
            <v>0</v>
          </cell>
          <cell r="DT42">
            <v>232992.8</v>
          </cell>
          <cell r="DU42">
            <v>445098.36</v>
          </cell>
          <cell r="DV42">
            <v>386080.36</v>
          </cell>
          <cell r="DW42">
            <v>335838.08</v>
          </cell>
          <cell r="DX42">
            <v>276717.44</v>
          </cell>
          <cell r="DY42">
            <v>247054.48</v>
          </cell>
          <cell r="DZ42">
            <v>217391.52</v>
          </cell>
          <cell r="EA42">
            <v>185521.8</v>
          </cell>
          <cell r="EB42">
            <v>172383.88</v>
          </cell>
          <cell r="EC42">
            <v>155243</v>
          </cell>
          <cell r="ED42">
            <v>142053.76000000001</v>
          </cell>
          <cell r="EE42">
            <v>142053.76000000001</v>
          </cell>
          <cell r="EF42">
            <v>142053.76000000001</v>
          </cell>
          <cell r="EG42">
            <v>142053.76000000001</v>
          </cell>
          <cell r="EH42">
            <v>142053.76000000001</v>
          </cell>
          <cell r="EI42">
            <v>142053.76000000001</v>
          </cell>
          <cell r="EL42">
            <v>79.911200000000008</v>
          </cell>
          <cell r="EM42">
            <v>-7.3831000000000007</v>
          </cell>
          <cell r="EN42">
            <v>54575.077916666662</v>
          </cell>
          <cell r="EO42">
            <v>54575.077916666662</v>
          </cell>
          <cell r="EP42">
            <v>24890.2</v>
          </cell>
          <cell r="EQ42">
            <v>29303.72</v>
          </cell>
          <cell r="ER42">
            <v>75902.28</v>
          </cell>
          <cell r="ES42">
            <v>36385.879999999997</v>
          </cell>
          <cell r="ET42">
            <v>52808.28</v>
          </cell>
          <cell r="EU42">
            <v>92427.32</v>
          </cell>
          <cell r="EV42">
            <v>103717.72</v>
          </cell>
          <cell r="EW42">
            <v>37976.800000000003</v>
          </cell>
          <cell r="EX42">
            <v>58864.04</v>
          </cell>
          <cell r="EY42">
            <v>59018</v>
          </cell>
          <cell r="EZ42">
            <v>50242.28</v>
          </cell>
          <cell r="FA42">
            <v>59120.639999999999</v>
          </cell>
          <cell r="FB42">
            <v>29662.959999999999</v>
          </cell>
          <cell r="FC42">
            <v>29662.959999999999</v>
          </cell>
          <cell r="FD42">
            <v>31869.72</v>
          </cell>
          <cell r="FE42">
            <v>13137.92</v>
          </cell>
          <cell r="FF42">
            <v>17140.88</v>
          </cell>
          <cell r="FG42">
            <v>13189.24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10560</v>
          </cell>
          <cell r="FO42">
            <v>0</v>
          </cell>
        </row>
        <row r="43">
          <cell r="A43" t="str">
            <v>000A4028</v>
          </cell>
          <cell r="B43" t="str">
            <v>PRUDENCE PRESERVATIVOS LUBRIFICADOS 3S</v>
          </cell>
          <cell r="C43" t="str">
            <v>PRUDENCE PRESERVATIVOS LUBRIFICADOS 3S</v>
          </cell>
          <cell r="D43" t="str">
            <v>OTC</v>
          </cell>
          <cell r="E43" t="str">
            <v>Thai Nippon</v>
          </cell>
          <cell r="G43">
            <v>96</v>
          </cell>
          <cell r="H43">
            <v>137</v>
          </cell>
          <cell r="I43">
            <v>233</v>
          </cell>
          <cell r="J43">
            <v>45927</v>
          </cell>
          <cell r="K43">
            <v>9</v>
          </cell>
          <cell r="L43">
            <v>2025</v>
          </cell>
          <cell r="M43">
            <v>46064</v>
          </cell>
          <cell r="N43">
            <v>2</v>
          </cell>
          <cell r="O43">
            <v>2026</v>
          </cell>
          <cell r="P43">
            <v>0.95</v>
          </cell>
          <cell r="Q43" t="str">
            <v>B</v>
          </cell>
          <cell r="R43">
            <v>46.260324911819666</v>
          </cell>
          <cell r="S43">
            <v>96.8</v>
          </cell>
          <cell r="T43">
            <v>7500</v>
          </cell>
          <cell r="U43">
            <v>7600</v>
          </cell>
          <cell r="V43">
            <v>3400</v>
          </cell>
          <cell r="W43">
            <v>6800</v>
          </cell>
          <cell r="X43" t="str">
            <v>gross</v>
          </cell>
          <cell r="Y43">
            <v>5.95</v>
          </cell>
          <cell r="Z43">
            <v>4045</v>
          </cell>
          <cell r="AA43">
            <v>1998</v>
          </cell>
          <cell r="AB43">
            <v>1067</v>
          </cell>
          <cell r="AC43">
            <v>2903</v>
          </cell>
          <cell r="AD43">
            <v>1683</v>
          </cell>
          <cell r="AE43">
            <v>3291</v>
          </cell>
          <cell r="AF43">
            <v>3168</v>
          </cell>
          <cell r="AG43">
            <v>5680</v>
          </cell>
          <cell r="AH43">
            <v>12169</v>
          </cell>
          <cell r="AI43">
            <v>1481</v>
          </cell>
          <cell r="AJ43">
            <v>0</v>
          </cell>
          <cell r="AK43">
            <v>0</v>
          </cell>
          <cell r="AL43">
            <v>11878.06594</v>
          </cell>
          <cell r="AM43">
            <v>9919.0383199999997</v>
          </cell>
          <cell r="AN43">
            <v>25319.03832</v>
          </cell>
          <cell r="AO43">
            <v>20319.03832</v>
          </cell>
          <cell r="AP43">
            <v>22119.03832</v>
          </cell>
          <cell r="AQ43">
            <v>17119.03832</v>
          </cell>
          <cell r="AR43">
            <v>22319.03832</v>
          </cell>
          <cell r="AS43">
            <v>15819.03832</v>
          </cell>
          <cell r="AT43">
            <v>12319.03832</v>
          </cell>
          <cell r="AU43">
            <v>7319.0383199999997</v>
          </cell>
          <cell r="AV43">
            <v>2319.0383199999997</v>
          </cell>
          <cell r="AW43">
            <v>2319.0383199999997</v>
          </cell>
          <cell r="AX43">
            <v>2319.0383199999997</v>
          </cell>
          <cell r="AY43">
            <v>2319.0383199999997</v>
          </cell>
          <cell r="AZ43">
            <v>2319.0383199999997</v>
          </cell>
          <cell r="BA43">
            <v>2319.0383199999997</v>
          </cell>
          <cell r="BC43">
            <v>3909</v>
          </cell>
          <cell r="BD43">
            <v>1983</v>
          </cell>
          <cell r="BE43">
            <v>2000</v>
          </cell>
          <cell r="BF43">
            <v>2000</v>
          </cell>
          <cell r="BG43">
            <v>1229.772555</v>
          </cell>
          <cell r="BH43">
            <v>1969.1269399999999</v>
          </cell>
          <cell r="BI43">
            <v>2828.05006</v>
          </cell>
          <cell r="BJ43">
            <v>1070.52792</v>
          </cell>
          <cell r="BK43">
            <v>11608.91786</v>
          </cell>
          <cell r="BL43">
            <v>1937.6266800000001</v>
          </cell>
          <cell r="BM43">
            <v>1781.3276799999999</v>
          </cell>
          <cell r="BN43">
            <v>1721.93406</v>
          </cell>
          <cell r="BO43">
            <v>1959.0276199999998</v>
          </cell>
          <cell r="BP43">
            <v>5000</v>
          </cell>
          <cell r="BQ43">
            <v>5000</v>
          </cell>
          <cell r="BR43">
            <v>5000</v>
          </cell>
          <cell r="BS43">
            <v>5000</v>
          </cell>
          <cell r="BT43">
            <v>5000</v>
          </cell>
          <cell r="BU43">
            <v>6500</v>
          </cell>
          <cell r="BV43">
            <v>3500</v>
          </cell>
          <cell r="BW43">
            <v>5000</v>
          </cell>
          <cell r="BX43">
            <v>5000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1633.4712713373192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13600</v>
          </cell>
          <cell r="CR43">
            <v>0</v>
          </cell>
          <cell r="CS43">
            <v>20400</v>
          </cell>
          <cell r="CT43">
            <v>0</v>
          </cell>
          <cell r="CU43">
            <v>6800</v>
          </cell>
          <cell r="CV43">
            <v>0</v>
          </cell>
          <cell r="CW43">
            <v>10200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I43">
            <v>46.08</v>
          </cell>
          <cell r="DJ43">
            <v>49167.360000000001</v>
          </cell>
          <cell r="DK43">
            <v>133770.23999999999</v>
          </cell>
          <cell r="DL43">
            <v>77552.639999999999</v>
          </cell>
          <cell r="DM43">
            <v>151649.28</v>
          </cell>
          <cell r="DN43">
            <v>145981.44</v>
          </cell>
          <cell r="DO43">
            <v>261734.39999999999</v>
          </cell>
          <cell r="DP43">
            <v>560747.52000000002</v>
          </cell>
          <cell r="DQ43">
            <v>68244.479999999996</v>
          </cell>
          <cell r="DR43">
            <v>0</v>
          </cell>
          <cell r="DS43">
            <v>0</v>
          </cell>
          <cell r="DT43">
            <v>547341.27851520001</v>
          </cell>
          <cell r="DU43">
            <v>457069.28578559996</v>
          </cell>
          <cell r="DV43">
            <v>1166701.2857855998</v>
          </cell>
          <cell r="DW43">
            <v>936301.28578559996</v>
          </cell>
          <cell r="DX43">
            <v>1019245.2857856</v>
          </cell>
          <cell r="DY43">
            <v>788845.28578559996</v>
          </cell>
          <cell r="DZ43">
            <v>1028461.2857856</v>
          </cell>
          <cell r="EA43">
            <v>728941.28578559996</v>
          </cell>
          <cell r="EB43">
            <v>567661.28578559996</v>
          </cell>
          <cell r="EC43">
            <v>337261.28578559996</v>
          </cell>
          <cell r="ED43">
            <v>106861.28578559998</v>
          </cell>
          <cell r="EE43">
            <v>106861.28578559998</v>
          </cell>
          <cell r="EF43">
            <v>106861.28578559998</v>
          </cell>
          <cell r="EG43">
            <v>106861.28578559998</v>
          </cell>
          <cell r="EH43">
            <v>106861.28578559998</v>
          </cell>
          <cell r="EI43">
            <v>106861.28578559998</v>
          </cell>
          <cell r="EL43">
            <v>378391.2</v>
          </cell>
          <cell r="EM43">
            <v>191954.4</v>
          </cell>
          <cell r="EN43">
            <v>92160</v>
          </cell>
          <cell r="EO43">
            <v>92160</v>
          </cell>
          <cell r="EP43">
            <v>56667.919334400001</v>
          </cell>
          <cell r="EQ43">
            <v>90737.369395199989</v>
          </cell>
          <cell r="ER43">
            <v>130316.54676479999</v>
          </cell>
          <cell r="ES43">
            <v>49329.926553599995</v>
          </cell>
          <cell r="ET43">
            <v>534938.93498879997</v>
          </cell>
          <cell r="EU43">
            <v>89285.837414399997</v>
          </cell>
          <cell r="EV43">
            <v>82083.579494399994</v>
          </cell>
          <cell r="EW43">
            <v>79346.7214848</v>
          </cell>
          <cell r="EX43">
            <v>90271.992729599995</v>
          </cell>
          <cell r="EY43">
            <v>230400</v>
          </cell>
          <cell r="EZ43">
            <v>230400</v>
          </cell>
          <cell r="FA43">
            <v>230400</v>
          </cell>
          <cell r="FB43">
            <v>230400</v>
          </cell>
          <cell r="FC43">
            <v>230400</v>
          </cell>
          <cell r="FD43">
            <v>299520</v>
          </cell>
          <cell r="FE43">
            <v>161280</v>
          </cell>
          <cell r="FF43">
            <v>230400</v>
          </cell>
          <cell r="FG43">
            <v>230400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34000</v>
          </cell>
          <cell r="FO43">
            <v>17000</v>
          </cell>
        </row>
        <row r="44">
          <cell r="A44" t="str">
            <v>000A2007</v>
          </cell>
          <cell r="B44" t="str">
            <v>PRUDENCE SUPER SENSITIVE</v>
          </cell>
          <cell r="C44" t="str">
            <v>PRUDENCE SUPER SENSITIVE</v>
          </cell>
          <cell r="D44" t="str">
            <v>OTC</v>
          </cell>
          <cell r="E44" t="str">
            <v>Thai Nippon</v>
          </cell>
          <cell r="G44">
            <v>96</v>
          </cell>
          <cell r="H44">
            <v>137</v>
          </cell>
          <cell r="I44">
            <v>233</v>
          </cell>
          <cell r="J44">
            <v>45927</v>
          </cell>
          <cell r="K44">
            <v>9</v>
          </cell>
          <cell r="L44">
            <v>2025</v>
          </cell>
          <cell r="M44">
            <v>46064</v>
          </cell>
          <cell r="N44">
            <v>2</v>
          </cell>
          <cell r="O44">
            <v>2026</v>
          </cell>
          <cell r="P44">
            <v>0.95</v>
          </cell>
          <cell r="Q44" t="str">
            <v>B</v>
          </cell>
          <cell r="R44">
            <v>39.088834658909128</v>
          </cell>
          <cell r="S44">
            <v>85.22</v>
          </cell>
          <cell r="T44">
            <v>600</v>
          </cell>
          <cell r="U44">
            <v>1600</v>
          </cell>
          <cell r="V44">
            <v>3400</v>
          </cell>
          <cell r="W44">
            <v>3400</v>
          </cell>
          <cell r="X44" t="str">
            <v>gross</v>
          </cell>
          <cell r="Y44">
            <v>9.5</v>
          </cell>
          <cell r="Z44">
            <v>2095</v>
          </cell>
          <cell r="AA44">
            <v>1096</v>
          </cell>
          <cell r="AB44">
            <v>13</v>
          </cell>
          <cell r="AC44">
            <v>12</v>
          </cell>
          <cell r="AD44">
            <v>0</v>
          </cell>
          <cell r="AE44">
            <v>2064</v>
          </cell>
          <cell r="AF44">
            <v>755</v>
          </cell>
          <cell r="AG44">
            <v>518</v>
          </cell>
          <cell r="AH44">
            <v>440</v>
          </cell>
          <cell r="AI44">
            <v>2247</v>
          </cell>
          <cell r="AJ44">
            <v>1378.0650000000001</v>
          </cell>
          <cell r="AK44">
            <v>7394.384</v>
          </cell>
          <cell r="AL44">
            <v>6621.6329999999998</v>
          </cell>
          <cell r="AM44">
            <v>5672.9089999999997</v>
          </cell>
          <cell r="AN44">
            <v>4788.6719999999996</v>
          </cell>
          <cell r="AO44">
            <v>4004.6719999999996</v>
          </cell>
          <cell r="AP44">
            <v>6631.6719999999996</v>
          </cell>
          <cell r="AQ44">
            <v>5682.6719999999996</v>
          </cell>
          <cell r="AR44">
            <v>4798.6719999999996</v>
          </cell>
          <cell r="AS44">
            <v>3942.6719999999996</v>
          </cell>
          <cell r="AT44">
            <v>2704.6719999999996</v>
          </cell>
          <cell r="AU44">
            <v>1711.6719999999996</v>
          </cell>
          <cell r="AV44">
            <v>718.67199999999957</v>
          </cell>
          <cell r="AW44">
            <v>718.67199999999957</v>
          </cell>
          <cell r="AX44">
            <v>718.67199999999957</v>
          </cell>
          <cell r="AY44">
            <v>718.67199999999957</v>
          </cell>
          <cell r="AZ44">
            <v>718.67199999999957</v>
          </cell>
          <cell r="BA44">
            <v>718.67199999999957</v>
          </cell>
          <cell r="BC44">
            <v>1889.97</v>
          </cell>
          <cell r="BD44">
            <v>1092</v>
          </cell>
          <cell r="BE44">
            <v>751.91666666666663</v>
          </cell>
          <cell r="BF44">
            <v>751.91666666666663</v>
          </cell>
          <cell r="BG44">
            <v>527.91899999999998</v>
          </cell>
          <cell r="BH44">
            <v>912.65499999999997</v>
          </cell>
          <cell r="BI44">
            <v>1228.5319999999999</v>
          </cell>
          <cell r="BJ44">
            <v>479.827</v>
          </cell>
          <cell r="BK44">
            <v>712.63599999999997</v>
          </cell>
          <cell r="BL44">
            <v>868.93499999999995</v>
          </cell>
          <cell r="BM44">
            <v>783.68100000000004</v>
          </cell>
          <cell r="BN44">
            <v>772.75099999999998</v>
          </cell>
          <cell r="BO44">
            <v>948.72400000000005</v>
          </cell>
          <cell r="BP44">
            <v>884.23699999999997</v>
          </cell>
          <cell r="BQ44">
            <v>784</v>
          </cell>
          <cell r="BR44">
            <v>773</v>
          </cell>
          <cell r="BS44">
            <v>949</v>
          </cell>
          <cell r="BT44">
            <v>884</v>
          </cell>
          <cell r="BU44">
            <v>856</v>
          </cell>
          <cell r="BV44">
            <v>1238</v>
          </cell>
          <cell r="BW44">
            <v>993</v>
          </cell>
          <cell r="BX44">
            <v>993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128.76600982690817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6800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3400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I44">
            <v>81.12</v>
          </cell>
          <cell r="DJ44">
            <v>1054.56</v>
          </cell>
          <cell r="DK44">
            <v>973.44</v>
          </cell>
          <cell r="DL44">
            <v>0</v>
          </cell>
          <cell r="DM44">
            <v>167431.68000000002</v>
          </cell>
          <cell r="DN44">
            <v>61245.600000000006</v>
          </cell>
          <cell r="DO44">
            <v>42020.160000000003</v>
          </cell>
          <cell r="DP44">
            <v>35692.800000000003</v>
          </cell>
          <cell r="DQ44">
            <v>182276.64</v>
          </cell>
          <cell r="DR44">
            <v>111788.63280000001</v>
          </cell>
          <cell r="DS44">
            <v>599832.43008000008</v>
          </cell>
          <cell r="DT44">
            <v>537146.86895999999</v>
          </cell>
          <cell r="DU44">
            <v>460186.37807999999</v>
          </cell>
          <cell r="DV44">
            <v>388457.07263999997</v>
          </cell>
          <cell r="DW44">
            <v>324858.99264000001</v>
          </cell>
          <cell r="DX44">
            <v>537961.23263999994</v>
          </cell>
          <cell r="DY44">
            <v>460978.35264</v>
          </cell>
          <cell r="DZ44">
            <v>389268.27263999998</v>
          </cell>
          <cell r="EA44">
            <v>319829.55264000001</v>
          </cell>
          <cell r="EB44">
            <v>219402.99263999998</v>
          </cell>
          <cell r="EC44">
            <v>138850.83263999998</v>
          </cell>
          <cell r="ED44">
            <v>58298.672639999968</v>
          </cell>
          <cell r="EE44">
            <v>58298.672639999968</v>
          </cell>
          <cell r="EF44">
            <v>58298.672639999968</v>
          </cell>
          <cell r="EG44">
            <v>58298.672639999968</v>
          </cell>
          <cell r="EH44">
            <v>58298.672639999968</v>
          </cell>
          <cell r="EI44">
            <v>58298.672639999968</v>
          </cell>
          <cell r="EL44">
            <v>161063.24340000001</v>
          </cell>
          <cell r="EM44">
            <v>93060.24</v>
          </cell>
          <cell r="EN44">
            <v>60995.48</v>
          </cell>
          <cell r="EO44">
            <v>60995.48</v>
          </cell>
          <cell r="EP44">
            <v>42824.789280000005</v>
          </cell>
          <cell r="EQ44">
            <v>74034.573600000003</v>
          </cell>
          <cell r="ER44">
            <v>99658.515839999993</v>
          </cell>
          <cell r="ES44">
            <v>38923.56624</v>
          </cell>
          <cell r="ET44">
            <v>57809.032319999998</v>
          </cell>
          <cell r="EU44">
            <v>70488.007199999993</v>
          </cell>
          <cell r="EV44">
            <v>63572.202720000008</v>
          </cell>
          <cell r="EW44">
            <v>62685.561119999998</v>
          </cell>
          <cell r="EX44">
            <v>76960.490880000012</v>
          </cell>
          <cell r="EY44">
            <v>71729.305439999996</v>
          </cell>
          <cell r="EZ44">
            <v>63598.080000000002</v>
          </cell>
          <cell r="FA44">
            <v>62705.760000000002</v>
          </cell>
          <cell r="FB44">
            <v>76982.880000000005</v>
          </cell>
          <cell r="FC44">
            <v>71710.080000000002</v>
          </cell>
          <cell r="FD44">
            <v>69438.720000000001</v>
          </cell>
          <cell r="FE44">
            <v>100426.56000000001</v>
          </cell>
          <cell r="FF44">
            <v>80552.160000000003</v>
          </cell>
          <cell r="FG44">
            <v>80552.160000000003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6800</v>
          </cell>
          <cell r="FO44">
            <v>3400</v>
          </cell>
        </row>
        <row r="45">
          <cell r="A45" t="str">
            <v>000A2018</v>
          </cell>
          <cell r="B45" t="str">
            <v xml:space="preserve">PRUDENCE SUPER SENSITIVE INTENSE 3 </v>
          </cell>
          <cell r="C45" t="str">
            <v xml:space="preserve">PRUDENCE SUPER SENSITIVE INTENSE 3 </v>
          </cell>
          <cell r="D45" t="str">
            <v>OTC</v>
          </cell>
          <cell r="E45" t="str">
            <v>Thai Nippon</v>
          </cell>
          <cell r="G45">
            <v>96</v>
          </cell>
          <cell r="H45">
            <v>137</v>
          </cell>
          <cell r="I45">
            <v>233</v>
          </cell>
          <cell r="J45">
            <v>45927</v>
          </cell>
          <cell r="K45">
            <v>9</v>
          </cell>
          <cell r="L45">
            <v>2025</v>
          </cell>
          <cell r="M45">
            <v>46064</v>
          </cell>
          <cell r="N45">
            <v>2</v>
          </cell>
          <cell r="O45">
            <v>2026</v>
          </cell>
          <cell r="P45">
            <v>0.95</v>
          </cell>
          <cell r="Q45" t="str">
            <v>B</v>
          </cell>
          <cell r="R45">
            <v>54.252239744269694</v>
          </cell>
          <cell r="S45">
            <v>123.78</v>
          </cell>
          <cell r="T45">
            <v>300</v>
          </cell>
          <cell r="U45">
            <v>1000</v>
          </cell>
          <cell r="V45">
            <v>3400</v>
          </cell>
          <cell r="W45">
            <v>3400</v>
          </cell>
          <cell r="X45" t="str">
            <v>gross</v>
          </cell>
          <cell r="Y45">
            <v>18.05</v>
          </cell>
          <cell r="Z45">
            <v>856</v>
          </cell>
          <cell r="AA45">
            <v>1516</v>
          </cell>
          <cell r="AB45">
            <v>127</v>
          </cell>
          <cell r="AC45">
            <v>0</v>
          </cell>
          <cell r="AD45">
            <v>0</v>
          </cell>
          <cell r="AE45">
            <v>1171</v>
          </cell>
          <cell r="AF45">
            <v>596</v>
          </cell>
          <cell r="AG45">
            <v>257</v>
          </cell>
          <cell r="AH45">
            <v>368</v>
          </cell>
          <cell r="AI45">
            <v>6572</v>
          </cell>
          <cell r="AJ45">
            <v>6080.15</v>
          </cell>
          <cell r="AK45">
            <v>5588.2999999999993</v>
          </cell>
          <cell r="AL45">
            <v>5096.4499999999989</v>
          </cell>
          <cell r="AM45">
            <v>4604.5999999999985</v>
          </cell>
          <cell r="AN45">
            <v>4112.7499999999982</v>
          </cell>
          <cell r="AO45">
            <v>3612.7499999999982</v>
          </cell>
          <cell r="AP45">
            <v>3112.7499999999982</v>
          </cell>
          <cell r="AQ45">
            <v>2612.7499999999982</v>
          </cell>
          <cell r="AR45">
            <v>2112.7499999999982</v>
          </cell>
          <cell r="AS45">
            <v>1462.7499999999982</v>
          </cell>
          <cell r="AT45">
            <v>1112.7499999999982</v>
          </cell>
          <cell r="AU45">
            <v>612.74999999999818</v>
          </cell>
          <cell r="AV45">
            <v>112.74999999999818</v>
          </cell>
          <cell r="AW45">
            <v>112.74999999999818</v>
          </cell>
          <cell r="AX45">
            <v>112.74999999999818</v>
          </cell>
          <cell r="AY45">
            <v>112.74999999999818</v>
          </cell>
          <cell r="AZ45">
            <v>112.74999999999818</v>
          </cell>
          <cell r="BA45">
            <v>112.74999999999818</v>
          </cell>
          <cell r="BC45">
            <v>854.83</v>
          </cell>
          <cell r="BD45">
            <v>1515</v>
          </cell>
          <cell r="BE45">
            <v>500</v>
          </cell>
          <cell r="BF45">
            <v>500</v>
          </cell>
          <cell r="BG45">
            <v>491.85</v>
          </cell>
          <cell r="BH45">
            <v>491.85</v>
          </cell>
          <cell r="BI45">
            <v>786.96</v>
          </cell>
          <cell r="BJ45">
            <v>196.74</v>
          </cell>
          <cell r="BK45">
            <v>491.85</v>
          </cell>
          <cell r="BL45">
            <v>491.85</v>
          </cell>
          <cell r="BM45">
            <v>491.85</v>
          </cell>
          <cell r="BN45">
            <v>491.85</v>
          </cell>
          <cell r="BO45">
            <v>491.85</v>
          </cell>
          <cell r="BP45">
            <v>491.85</v>
          </cell>
          <cell r="BQ45">
            <v>500</v>
          </cell>
          <cell r="BR45">
            <v>500</v>
          </cell>
          <cell r="BS45">
            <v>500</v>
          </cell>
          <cell r="BT45">
            <v>500</v>
          </cell>
          <cell r="BU45">
            <v>650</v>
          </cell>
          <cell r="BV45">
            <v>350</v>
          </cell>
          <cell r="BW45">
            <v>500</v>
          </cell>
          <cell r="BX45">
            <v>500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61.376146916016168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I45">
            <v>123.77</v>
          </cell>
          <cell r="DJ45">
            <v>15718.789999999999</v>
          </cell>
          <cell r="DK45">
            <v>0</v>
          </cell>
          <cell r="DL45">
            <v>0</v>
          </cell>
          <cell r="DM45">
            <v>144934.66999999998</v>
          </cell>
          <cell r="DN45">
            <v>73766.92</v>
          </cell>
          <cell r="DO45">
            <v>31808.89</v>
          </cell>
          <cell r="DP45">
            <v>45547.360000000001</v>
          </cell>
          <cell r="DQ45">
            <v>813416.44</v>
          </cell>
          <cell r="DR45">
            <v>752540.16549999989</v>
          </cell>
          <cell r="DS45">
            <v>691663.89099999995</v>
          </cell>
          <cell r="DT45">
            <v>630787.61649999989</v>
          </cell>
          <cell r="DU45">
            <v>569911.34199999983</v>
          </cell>
          <cell r="DV45">
            <v>509035.06749999977</v>
          </cell>
          <cell r="DW45">
            <v>447150.06749999977</v>
          </cell>
          <cell r="DX45">
            <v>385265.06749999977</v>
          </cell>
          <cell r="DY45">
            <v>323380.06749999977</v>
          </cell>
          <cell r="DZ45">
            <v>261495.06749999977</v>
          </cell>
          <cell r="EA45">
            <v>181044.56749999977</v>
          </cell>
          <cell r="EB45">
            <v>137725.06749999977</v>
          </cell>
          <cell r="EC45">
            <v>75840.067499999772</v>
          </cell>
          <cell r="ED45">
            <v>13955.067499999774</v>
          </cell>
          <cell r="EE45">
            <v>13955.067499999774</v>
          </cell>
          <cell r="EF45">
            <v>13955.067499999774</v>
          </cell>
          <cell r="EG45">
            <v>13955.067499999774</v>
          </cell>
          <cell r="EH45">
            <v>13955.067499999774</v>
          </cell>
          <cell r="EI45">
            <v>13955.067499999774</v>
          </cell>
          <cell r="EL45">
            <v>105810.85740000001</v>
          </cell>
          <cell r="EM45">
            <v>187526.7</v>
          </cell>
          <cell r="EN45">
            <v>61885</v>
          </cell>
          <cell r="EO45">
            <v>61885</v>
          </cell>
          <cell r="EP45">
            <v>60876.2745</v>
          </cell>
          <cell r="EQ45">
            <v>60876.2745</v>
          </cell>
          <cell r="ER45">
            <v>97402.039199999999</v>
          </cell>
          <cell r="ES45">
            <v>24350.5098</v>
          </cell>
          <cell r="ET45">
            <v>60876.2745</v>
          </cell>
          <cell r="EU45">
            <v>60876.2745</v>
          </cell>
          <cell r="EV45">
            <v>60876.2745</v>
          </cell>
          <cell r="EW45">
            <v>60876.2745</v>
          </cell>
          <cell r="EX45">
            <v>60876.2745</v>
          </cell>
          <cell r="EY45">
            <v>60876.2745</v>
          </cell>
          <cell r="EZ45">
            <v>61885</v>
          </cell>
          <cell r="FA45">
            <v>61885</v>
          </cell>
          <cell r="FB45">
            <v>61885</v>
          </cell>
          <cell r="FC45">
            <v>61885</v>
          </cell>
          <cell r="FD45">
            <v>80450.5</v>
          </cell>
          <cell r="FE45">
            <v>43319.5</v>
          </cell>
          <cell r="FF45">
            <v>61885</v>
          </cell>
          <cell r="FG45">
            <v>61885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</row>
        <row r="46">
          <cell r="A46" t="str">
            <v>000A2019</v>
          </cell>
          <cell r="B46" t="str">
            <v>PRUDENCE SUPER SENSITIVE INTENSE 6</v>
          </cell>
          <cell r="C46" t="str">
            <v>PRUDENCE SUPER SENSITIVE INTENSE 6</v>
          </cell>
          <cell r="D46" t="str">
            <v>OTC</v>
          </cell>
          <cell r="E46" t="str">
            <v>Thai Nippon</v>
          </cell>
          <cell r="G46">
            <v>96</v>
          </cell>
          <cell r="H46">
            <v>137</v>
          </cell>
          <cell r="I46">
            <v>233</v>
          </cell>
          <cell r="J46">
            <v>45927</v>
          </cell>
          <cell r="K46">
            <v>9</v>
          </cell>
          <cell r="L46">
            <v>2025</v>
          </cell>
          <cell r="M46">
            <v>46064</v>
          </cell>
          <cell r="N46">
            <v>2</v>
          </cell>
          <cell r="O46">
            <v>2026</v>
          </cell>
          <cell r="P46">
            <v>0.95</v>
          </cell>
          <cell r="Q46" t="str">
            <v>B</v>
          </cell>
          <cell r="R46">
            <v>1.4608019472853717</v>
          </cell>
          <cell r="S46">
            <v>114.17</v>
          </cell>
          <cell r="T46">
            <v>400</v>
          </cell>
          <cell r="U46">
            <v>1500</v>
          </cell>
          <cell r="V46">
            <v>3400</v>
          </cell>
          <cell r="W46">
            <v>3400</v>
          </cell>
          <cell r="X46" t="str">
            <v>gross</v>
          </cell>
          <cell r="Y46">
            <v>16.05</v>
          </cell>
          <cell r="Z46">
            <v>871</v>
          </cell>
          <cell r="AA46">
            <v>13</v>
          </cell>
          <cell r="AB46">
            <v>2</v>
          </cell>
          <cell r="AC46">
            <v>1034</v>
          </cell>
          <cell r="AD46">
            <v>308</v>
          </cell>
          <cell r="AE46">
            <v>341</v>
          </cell>
          <cell r="AF46">
            <v>584</v>
          </cell>
          <cell r="AG46">
            <v>318</v>
          </cell>
          <cell r="AH46">
            <v>316</v>
          </cell>
          <cell r="AI46">
            <v>6035</v>
          </cell>
          <cell r="AJ46">
            <v>5269.9</v>
          </cell>
          <cell r="AK46">
            <v>4504.7999999999993</v>
          </cell>
          <cell r="AL46">
            <v>3739.6999999999994</v>
          </cell>
          <cell r="AM46">
            <v>2974.5999999999995</v>
          </cell>
          <cell r="AN46">
            <v>5609.4999999999991</v>
          </cell>
          <cell r="AO46">
            <v>4909.4999999999991</v>
          </cell>
          <cell r="AP46">
            <v>4209.4999999999991</v>
          </cell>
          <cell r="AQ46">
            <v>3509.4999999999991</v>
          </cell>
          <cell r="AR46">
            <v>2809.4999999999991</v>
          </cell>
          <cell r="AS46">
            <v>1899.4999999999991</v>
          </cell>
          <cell r="AT46">
            <v>1409.4999999999991</v>
          </cell>
          <cell r="AU46">
            <v>709.49999999999909</v>
          </cell>
          <cell r="AV46">
            <v>9.4999999999990905</v>
          </cell>
          <cell r="AW46">
            <v>9.4999999999990905</v>
          </cell>
          <cell r="AX46">
            <v>9.4999999999990905</v>
          </cell>
          <cell r="AY46">
            <v>9.4999999999990905</v>
          </cell>
          <cell r="AZ46">
            <v>9.4999999999990905</v>
          </cell>
          <cell r="BA46">
            <v>9.4999999999990905</v>
          </cell>
          <cell r="BC46">
            <v>868.33</v>
          </cell>
          <cell r="BD46">
            <v>1</v>
          </cell>
          <cell r="BE46">
            <v>0</v>
          </cell>
          <cell r="BF46">
            <v>800</v>
          </cell>
          <cell r="BG46">
            <v>0</v>
          </cell>
          <cell r="BH46">
            <v>765.1</v>
          </cell>
          <cell r="BI46">
            <v>1098.4649999999999</v>
          </cell>
          <cell r="BJ46">
            <v>229.53</v>
          </cell>
          <cell r="BK46">
            <v>765.1</v>
          </cell>
          <cell r="BL46">
            <v>765.1</v>
          </cell>
          <cell r="BM46">
            <v>765.1</v>
          </cell>
          <cell r="BN46">
            <v>765.1</v>
          </cell>
          <cell r="BO46">
            <v>765.1</v>
          </cell>
          <cell r="BP46">
            <v>765.1</v>
          </cell>
          <cell r="BQ46">
            <v>700</v>
          </cell>
          <cell r="BR46">
            <v>700</v>
          </cell>
          <cell r="BS46">
            <v>700</v>
          </cell>
          <cell r="BT46">
            <v>700</v>
          </cell>
          <cell r="BU46">
            <v>910</v>
          </cell>
          <cell r="BV46">
            <v>490</v>
          </cell>
          <cell r="BW46">
            <v>700</v>
          </cell>
          <cell r="BX46">
            <v>700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91.851343108139872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3400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I46">
            <v>114.16</v>
          </cell>
          <cell r="DJ46">
            <v>228.32</v>
          </cell>
          <cell r="DK46">
            <v>118041.44</v>
          </cell>
          <cell r="DL46">
            <v>35161.279999999999</v>
          </cell>
          <cell r="DM46">
            <v>38928.559999999998</v>
          </cell>
          <cell r="DN46">
            <v>66669.440000000002</v>
          </cell>
          <cell r="DO46">
            <v>36302.879999999997</v>
          </cell>
          <cell r="DP46">
            <v>36074.559999999998</v>
          </cell>
          <cell r="DQ46">
            <v>688955.6</v>
          </cell>
          <cell r="DR46">
            <v>601611.78399999999</v>
          </cell>
          <cell r="DS46">
            <v>514267.96799999988</v>
          </cell>
          <cell r="DT46">
            <v>426924.15199999994</v>
          </cell>
          <cell r="DU46">
            <v>339580.33599999995</v>
          </cell>
          <cell r="DV46">
            <v>640380.5199999999</v>
          </cell>
          <cell r="DW46">
            <v>560468.5199999999</v>
          </cell>
          <cell r="DX46">
            <v>480556.5199999999</v>
          </cell>
          <cell r="DY46">
            <v>400644.5199999999</v>
          </cell>
          <cell r="DZ46">
            <v>320732.5199999999</v>
          </cell>
          <cell r="EA46">
            <v>216846.9199999999</v>
          </cell>
          <cell r="EB46">
            <v>160908.5199999999</v>
          </cell>
          <cell r="EC46">
            <v>80996.519999999888</v>
          </cell>
          <cell r="ED46">
            <v>1084.5199999998961</v>
          </cell>
          <cell r="EE46">
            <v>1084.5199999998961</v>
          </cell>
          <cell r="EF46">
            <v>1084.5199999998961</v>
          </cell>
          <cell r="EG46">
            <v>1084.5199999998961</v>
          </cell>
          <cell r="EH46">
            <v>1084.5199999998961</v>
          </cell>
          <cell r="EI46">
            <v>1084.5199999998961</v>
          </cell>
          <cell r="EL46">
            <v>99137.236100000009</v>
          </cell>
          <cell r="EM46">
            <v>114.17</v>
          </cell>
          <cell r="EN46">
            <v>0</v>
          </cell>
          <cell r="EO46">
            <v>91328</v>
          </cell>
          <cell r="EP46">
            <v>0</v>
          </cell>
          <cell r="EQ46">
            <v>87343.816000000006</v>
          </cell>
          <cell r="ER46">
            <v>125400.76439999999</v>
          </cell>
          <cell r="ES46">
            <v>26203.144799999998</v>
          </cell>
          <cell r="ET46">
            <v>87343.816000000006</v>
          </cell>
          <cell r="EU46">
            <v>87343.816000000006</v>
          </cell>
          <cell r="EV46">
            <v>87343.816000000006</v>
          </cell>
          <cell r="EW46">
            <v>87343.816000000006</v>
          </cell>
          <cell r="EX46">
            <v>87343.816000000006</v>
          </cell>
          <cell r="EY46">
            <v>87343.816000000006</v>
          </cell>
          <cell r="EZ46">
            <v>79912</v>
          </cell>
          <cell r="FA46">
            <v>79912</v>
          </cell>
          <cell r="FB46">
            <v>79912</v>
          </cell>
          <cell r="FC46">
            <v>79912</v>
          </cell>
          <cell r="FD46">
            <v>103885.59999999999</v>
          </cell>
          <cell r="FE46">
            <v>55938.400000000001</v>
          </cell>
          <cell r="FF46">
            <v>79912</v>
          </cell>
          <cell r="FG46">
            <v>79912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3400</v>
          </cell>
          <cell r="FO46">
            <v>0</v>
          </cell>
        </row>
        <row r="47">
          <cell r="A47" t="str">
            <v>000A1038</v>
          </cell>
          <cell r="B47" t="str">
            <v>PRUDENCE C S MORANGO L8P6</v>
          </cell>
          <cell r="C47" t="str">
            <v>PRUDENCE C&amp;T STRAWBERRY 8'S FLOW PACK</v>
          </cell>
          <cell r="D47" t="str">
            <v>OTC</v>
          </cell>
          <cell r="E47" t="str">
            <v>Karex / NRS</v>
          </cell>
          <cell r="G47">
            <v>133</v>
          </cell>
          <cell r="H47">
            <v>133</v>
          </cell>
          <cell r="I47">
            <v>266</v>
          </cell>
          <cell r="J47">
            <v>45964</v>
          </cell>
          <cell r="K47">
            <v>11</v>
          </cell>
          <cell r="L47">
            <v>2025</v>
          </cell>
          <cell r="M47">
            <v>46097</v>
          </cell>
          <cell r="N47">
            <v>3</v>
          </cell>
          <cell r="O47">
            <v>2026</v>
          </cell>
          <cell r="P47">
            <v>0.95</v>
          </cell>
          <cell r="Q47" t="e">
            <v>#N/A</v>
          </cell>
          <cell r="R47">
            <v>0</v>
          </cell>
          <cell r="S47">
            <v>43.43</v>
          </cell>
          <cell r="T47">
            <v>6900</v>
          </cell>
          <cell r="U47">
            <v>6900</v>
          </cell>
          <cell r="V47">
            <v>2640</v>
          </cell>
          <cell r="W47">
            <v>7920</v>
          </cell>
          <cell r="X47" t="str">
            <v>box</v>
          </cell>
          <cell r="Y47">
            <v>9.3000000000000007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8400</v>
          </cell>
          <cell r="AP47">
            <v>8400</v>
          </cell>
          <cell r="AQ47">
            <v>5996</v>
          </cell>
          <cell r="AR47">
            <v>3472</v>
          </cell>
          <cell r="AS47">
            <v>399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C47">
            <v>5280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2404</v>
          </cell>
          <cell r="BT47">
            <v>2524</v>
          </cell>
          <cell r="BU47">
            <v>3073</v>
          </cell>
          <cell r="BV47">
            <v>2750</v>
          </cell>
          <cell r="BW47">
            <v>2685</v>
          </cell>
          <cell r="BX47">
            <v>2808</v>
          </cell>
          <cell r="BY47">
            <v>3024</v>
          </cell>
          <cell r="BZ47">
            <v>2771</v>
          </cell>
          <cell r="CA47">
            <v>2991</v>
          </cell>
          <cell r="CB47">
            <v>2472</v>
          </cell>
          <cell r="CC47">
            <v>3256</v>
          </cell>
          <cell r="CD47">
            <v>3424</v>
          </cell>
          <cell r="CE47">
            <v>1412.8047526925895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8400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L47">
            <v>229310.4</v>
          </cell>
          <cell r="EM47">
            <v>0</v>
          </cell>
          <cell r="EN47">
            <v>0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8400</v>
          </cell>
          <cell r="FO47">
            <v>0</v>
          </cell>
        </row>
        <row r="48">
          <cell r="A48" t="str">
            <v>000A1028</v>
          </cell>
          <cell r="B48" t="str">
            <v>PRUDENCE C S MIX/FLOWPACK 12</v>
          </cell>
          <cell r="C48" t="str">
            <v xml:space="preserve">PRUDENCE COLOR &amp; TASTE 12'S FLOW PACK </v>
          </cell>
          <cell r="D48" t="str">
            <v>OTC</v>
          </cell>
          <cell r="E48" t="str">
            <v>Karex / NRS</v>
          </cell>
          <cell r="G48">
            <v>133</v>
          </cell>
          <cell r="H48">
            <v>133</v>
          </cell>
          <cell r="I48">
            <v>266</v>
          </cell>
          <cell r="J48">
            <v>45964</v>
          </cell>
          <cell r="K48">
            <v>11</v>
          </cell>
          <cell r="L48">
            <v>2025</v>
          </cell>
          <cell r="M48">
            <v>46097</v>
          </cell>
          <cell r="N48">
            <v>3</v>
          </cell>
          <cell r="O48">
            <v>2026</v>
          </cell>
          <cell r="P48">
            <v>0.9</v>
          </cell>
          <cell r="Q48" t="str">
            <v>C</v>
          </cell>
          <cell r="R48">
            <v>40.547095283760676</v>
          </cell>
          <cell r="S48">
            <v>39.93</v>
          </cell>
          <cell r="T48">
            <v>500</v>
          </cell>
          <cell r="U48">
            <v>500</v>
          </cell>
          <cell r="V48">
            <v>3000</v>
          </cell>
          <cell r="W48">
            <v>3000</v>
          </cell>
          <cell r="Y48">
            <v>5.79</v>
          </cell>
          <cell r="Z48">
            <v>1313</v>
          </cell>
          <cell r="AA48">
            <v>1319</v>
          </cell>
          <cell r="AB48">
            <v>1240</v>
          </cell>
          <cell r="AC48">
            <v>1009</v>
          </cell>
          <cell r="AD48">
            <v>893</v>
          </cell>
          <cell r="AE48">
            <v>599</v>
          </cell>
          <cell r="AF48">
            <v>1084</v>
          </cell>
          <cell r="AG48">
            <v>424</v>
          </cell>
          <cell r="AH48">
            <v>326</v>
          </cell>
          <cell r="AI48">
            <v>944</v>
          </cell>
          <cell r="AJ48">
            <v>350</v>
          </cell>
          <cell r="AK48">
            <v>2872</v>
          </cell>
          <cell r="AL48">
            <v>2698</v>
          </cell>
          <cell r="AM48">
            <v>2315</v>
          </cell>
          <cell r="AN48">
            <v>1765</v>
          </cell>
          <cell r="AO48">
            <v>1215</v>
          </cell>
          <cell r="AP48">
            <v>665</v>
          </cell>
          <cell r="AQ48">
            <v>3115</v>
          </cell>
          <cell r="AR48">
            <v>2565</v>
          </cell>
          <cell r="AS48">
            <v>1964</v>
          </cell>
          <cell r="AT48">
            <v>1288</v>
          </cell>
          <cell r="AU48">
            <v>665</v>
          </cell>
          <cell r="AV48">
            <v>42</v>
          </cell>
          <cell r="AW48">
            <v>42</v>
          </cell>
          <cell r="AX48">
            <v>42</v>
          </cell>
          <cell r="AY48">
            <v>42</v>
          </cell>
          <cell r="AZ48">
            <v>42</v>
          </cell>
          <cell r="BA48">
            <v>42</v>
          </cell>
          <cell r="BC48">
            <v>1313</v>
          </cell>
          <cell r="BD48">
            <v>1284</v>
          </cell>
          <cell r="BE48">
            <v>530.92708333333337</v>
          </cell>
          <cell r="BF48">
            <v>530.92708333333337</v>
          </cell>
          <cell r="BG48">
            <v>188</v>
          </cell>
          <cell r="BH48">
            <v>538</v>
          </cell>
          <cell r="BI48">
            <v>695</v>
          </cell>
          <cell r="BJ48">
            <v>678</v>
          </cell>
          <cell r="BK48">
            <v>263</v>
          </cell>
          <cell r="BL48">
            <v>594</v>
          </cell>
          <cell r="BM48">
            <v>478</v>
          </cell>
          <cell r="BN48">
            <v>174</v>
          </cell>
          <cell r="BO48">
            <v>383</v>
          </cell>
          <cell r="BP48">
            <v>550</v>
          </cell>
          <cell r="BQ48">
            <v>550</v>
          </cell>
          <cell r="BR48">
            <v>550</v>
          </cell>
          <cell r="BS48">
            <v>550</v>
          </cell>
          <cell r="BT48">
            <v>550</v>
          </cell>
          <cell r="BU48">
            <v>601</v>
          </cell>
          <cell r="BV48">
            <v>676</v>
          </cell>
          <cell r="BW48">
            <v>623</v>
          </cell>
          <cell r="BX48">
            <v>623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129.35381809753531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3000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3000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I48">
            <v>61.81</v>
          </cell>
          <cell r="DJ48">
            <v>76644.400000000009</v>
          </cell>
          <cell r="DK48">
            <v>62366.29</v>
          </cell>
          <cell r="DL48">
            <v>55196.33</v>
          </cell>
          <cell r="DM48">
            <v>37024.19</v>
          </cell>
          <cell r="DN48">
            <v>67002.040000000008</v>
          </cell>
          <cell r="DO48">
            <v>26207.440000000002</v>
          </cell>
          <cell r="DP48">
            <v>20150.060000000001</v>
          </cell>
          <cell r="DQ48">
            <v>58348.639999999999</v>
          </cell>
          <cell r="DR48">
            <v>21633.5</v>
          </cell>
          <cell r="DS48">
            <v>177518.32</v>
          </cell>
          <cell r="DT48">
            <v>166763.38</v>
          </cell>
          <cell r="DU48">
            <v>143090.15</v>
          </cell>
          <cell r="DV48">
            <v>109094.65000000001</v>
          </cell>
          <cell r="DW48">
            <v>75099.150000000009</v>
          </cell>
          <cell r="DX48">
            <v>41103.65</v>
          </cell>
          <cell r="DY48">
            <v>192538.15</v>
          </cell>
          <cell r="DZ48">
            <v>158542.65</v>
          </cell>
          <cell r="EA48">
            <v>121394.84000000001</v>
          </cell>
          <cell r="EB48">
            <v>79611.28</v>
          </cell>
          <cell r="EC48">
            <v>41103.65</v>
          </cell>
          <cell r="ED48">
            <v>2596.02</v>
          </cell>
          <cell r="EE48">
            <v>2596.02</v>
          </cell>
          <cell r="EF48">
            <v>2596.02</v>
          </cell>
          <cell r="EG48">
            <v>2596.02</v>
          </cell>
          <cell r="EH48">
            <v>2596.02</v>
          </cell>
          <cell r="EI48">
            <v>2596.02</v>
          </cell>
          <cell r="EL48">
            <v>52428.09</v>
          </cell>
          <cell r="EM48">
            <v>51270.12</v>
          </cell>
          <cell r="EN48">
            <v>32816.60302083334</v>
          </cell>
          <cell r="EO48">
            <v>32816.60302083334</v>
          </cell>
          <cell r="EP48">
            <v>11620.28</v>
          </cell>
          <cell r="EQ48">
            <v>33253.78</v>
          </cell>
          <cell r="ER48">
            <v>42957.950000000004</v>
          </cell>
          <cell r="ES48">
            <v>41907.18</v>
          </cell>
          <cell r="ET48">
            <v>16256.03</v>
          </cell>
          <cell r="EU48">
            <v>36715.14</v>
          </cell>
          <cell r="EV48">
            <v>29545.18</v>
          </cell>
          <cell r="EW48">
            <v>10754.94</v>
          </cell>
          <cell r="EX48">
            <v>23673.23</v>
          </cell>
          <cell r="EY48">
            <v>33995.5</v>
          </cell>
          <cell r="EZ48">
            <v>33995.5</v>
          </cell>
          <cell r="FA48">
            <v>33995.5</v>
          </cell>
          <cell r="FB48">
            <v>33995.5</v>
          </cell>
          <cell r="FC48">
            <v>33995.5</v>
          </cell>
          <cell r="FD48">
            <v>37147.810000000005</v>
          </cell>
          <cell r="FE48">
            <v>41783.560000000005</v>
          </cell>
          <cell r="FF48">
            <v>38507.630000000005</v>
          </cell>
          <cell r="FG48">
            <v>38507.630000000005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3000</v>
          </cell>
          <cell r="FO48">
            <v>3000</v>
          </cell>
        </row>
        <row r="49">
          <cell r="A49" t="str">
            <v>000A1025</v>
          </cell>
          <cell r="B49" t="str">
            <v>PRUDENCE C S CAIPIRINHA</v>
          </cell>
          <cell r="C49" t="str">
            <v>PRUDENCE COLOR &amp; TASTE CAIPIRINHA 3'S FLOW PACK - DISPLAY BOX</v>
          </cell>
          <cell r="D49" t="str">
            <v>OTC</v>
          </cell>
          <cell r="E49" t="str">
            <v>Karex / NRS</v>
          </cell>
          <cell r="G49">
            <v>133</v>
          </cell>
          <cell r="H49">
            <v>133</v>
          </cell>
          <cell r="I49">
            <v>266</v>
          </cell>
          <cell r="J49">
            <v>45964</v>
          </cell>
          <cell r="K49">
            <v>11</v>
          </cell>
          <cell r="L49">
            <v>2025</v>
          </cell>
          <cell r="M49">
            <v>46097</v>
          </cell>
          <cell r="N49">
            <v>3</v>
          </cell>
          <cell r="O49">
            <v>2026</v>
          </cell>
          <cell r="P49">
            <v>0.95</v>
          </cell>
          <cell r="Q49" t="str">
            <v>B</v>
          </cell>
          <cell r="R49">
            <v>0</v>
          </cell>
          <cell r="S49">
            <v>50.06</v>
          </cell>
          <cell r="T49">
            <v>600</v>
          </cell>
          <cell r="U49">
            <v>1200</v>
          </cell>
          <cell r="V49">
            <v>3000</v>
          </cell>
          <cell r="W49">
            <v>3000</v>
          </cell>
          <cell r="Y49">
            <v>9.52</v>
          </cell>
          <cell r="Z49">
            <v>2</v>
          </cell>
          <cell r="AA49">
            <v>0</v>
          </cell>
          <cell r="AB49">
            <v>0</v>
          </cell>
          <cell r="AC49">
            <v>2011</v>
          </cell>
          <cell r="AD49">
            <v>559</v>
          </cell>
          <cell r="AE49">
            <v>821</v>
          </cell>
          <cell r="AF49">
            <v>1180</v>
          </cell>
          <cell r="AG49">
            <v>534</v>
          </cell>
          <cell r="AH49">
            <v>827</v>
          </cell>
          <cell r="AI49">
            <v>56</v>
          </cell>
          <cell r="AJ49">
            <v>0</v>
          </cell>
          <cell r="AK49">
            <v>0</v>
          </cell>
          <cell r="AL49">
            <v>2437.105</v>
          </cell>
          <cell r="AM49">
            <v>4725.5619999999999</v>
          </cell>
          <cell r="AN49">
            <v>3905.8119999999999</v>
          </cell>
          <cell r="AO49">
            <v>3392.8119999999999</v>
          </cell>
          <cell r="AP49">
            <v>2818.8119999999999</v>
          </cell>
          <cell r="AQ49">
            <v>2243.8119999999999</v>
          </cell>
          <cell r="AR49">
            <v>1652.8119999999999</v>
          </cell>
          <cell r="AS49">
            <v>4031.8119999999999</v>
          </cell>
          <cell r="AT49">
            <v>3678.8119999999999</v>
          </cell>
          <cell r="AU49">
            <v>3080.8119999999999</v>
          </cell>
          <cell r="AV49">
            <v>2280.8119999999999</v>
          </cell>
          <cell r="AW49">
            <v>2280.8119999999999</v>
          </cell>
          <cell r="AX49">
            <v>2280.8119999999999</v>
          </cell>
          <cell r="AY49">
            <v>2280.8119999999999</v>
          </cell>
          <cell r="AZ49">
            <v>2280.8119999999999</v>
          </cell>
          <cell r="BA49">
            <v>2280.8119999999999</v>
          </cell>
          <cell r="BC49">
            <v>2</v>
          </cell>
          <cell r="BD49">
            <v>0</v>
          </cell>
          <cell r="BE49">
            <v>561.83333333333337</v>
          </cell>
          <cell r="BF49">
            <v>561.83333333333337</v>
          </cell>
          <cell r="BG49">
            <v>424.084</v>
          </cell>
          <cell r="BH49">
            <v>656.89300000000003</v>
          </cell>
          <cell r="BI49">
            <v>924.678</v>
          </cell>
          <cell r="BJ49">
            <v>333.36500000000001</v>
          </cell>
          <cell r="BK49">
            <v>501.68700000000001</v>
          </cell>
          <cell r="BL49">
            <v>615.35900000000004</v>
          </cell>
          <cell r="BM49">
            <v>531.19799999999998</v>
          </cell>
          <cell r="BN49">
            <v>562.89499999999998</v>
          </cell>
          <cell r="BO49">
            <v>711.54300000000001</v>
          </cell>
          <cell r="BP49">
            <v>819.75</v>
          </cell>
          <cell r="BQ49">
            <v>513</v>
          </cell>
          <cell r="BR49">
            <v>574</v>
          </cell>
          <cell r="BS49">
            <v>575</v>
          </cell>
          <cell r="BT49">
            <v>591</v>
          </cell>
          <cell r="BU49">
            <v>621</v>
          </cell>
          <cell r="BV49">
            <v>353</v>
          </cell>
          <cell r="BW49">
            <v>598</v>
          </cell>
          <cell r="BX49">
            <v>800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121.50130512494135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3000</v>
          </cell>
          <cell r="CR49">
            <v>3000</v>
          </cell>
          <cell r="CS49">
            <v>0</v>
          </cell>
          <cell r="CT49">
            <v>0</v>
          </cell>
          <cell r="CV49">
            <v>0</v>
          </cell>
          <cell r="CW49">
            <v>0</v>
          </cell>
          <cell r="CX49">
            <v>3000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I49">
            <v>50.06</v>
          </cell>
          <cell r="DJ49">
            <v>0</v>
          </cell>
          <cell r="DK49">
            <v>100670.66</v>
          </cell>
          <cell r="DL49">
            <v>27983.54</v>
          </cell>
          <cell r="DM49">
            <v>41099.26</v>
          </cell>
          <cell r="DN49">
            <v>59070.8</v>
          </cell>
          <cell r="DO49">
            <v>26732.04</v>
          </cell>
          <cell r="DP49">
            <v>41399.620000000003</v>
          </cell>
          <cell r="DQ49">
            <v>2803.36</v>
          </cell>
          <cell r="DR49">
            <v>0</v>
          </cell>
          <cell r="DS49">
            <v>0</v>
          </cell>
          <cell r="DT49">
            <v>122001.47630000001</v>
          </cell>
          <cell r="DU49">
            <v>236561.63372000001</v>
          </cell>
          <cell r="DV49">
            <v>195524.94872000001</v>
          </cell>
          <cell r="DW49">
            <v>169844.16872000002</v>
          </cell>
          <cell r="DX49">
            <v>141109.72872000001</v>
          </cell>
          <cell r="DY49">
            <v>112325.22872</v>
          </cell>
          <cell r="DZ49">
            <v>82739.768719999993</v>
          </cell>
          <cell r="EA49">
            <v>201832.50872000001</v>
          </cell>
          <cell r="EB49">
            <v>184161.32871999999</v>
          </cell>
          <cell r="EC49">
            <v>154225.44872000001</v>
          </cell>
          <cell r="ED49">
            <v>114177.44872</v>
          </cell>
          <cell r="EE49">
            <v>114177.44872</v>
          </cell>
          <cell r="EF49">
            <v>114177.44872</v>
          </cell>
          <cell r="EG49">
            <v>114177.44872</v>
          </cell>
          <cell r="EH49">
            <v>114177.44872</v>
          </cell>
          <cell r="EI49">
            <v>114177.44872</v>
          </cell>
          <cell r="EL49">
            <v>100.12</v>
          </cell>
          <cell r="EM49">
            <v>0</v>
          </cell>
          <cell r="EN49">
            <v>28125.376666666671</v>
          </cell>
          <cell r="EO49">
            <v>28125.376666666671</v>
          </cell>
          <cell r="EP49">
            <v>21229.645039999999</v>
          </cell>
          <cell r="EQ49">
            <v>32884.063580000002</v>
          </cell>
          <cell r="ER49">
            <v>46289.380680000002</v>
          </cell>
          <cell r="ES49">
            <v>16688.251900000003</v>
          </cell>
          <cell r="ET49">
            <v>25114.451220000003</v>
          </cell>
          <cell r="EU49">
            <v>30804.871540000004</v>
          </cell>
          <cell r="EV49">
            <v>26591.77188</v>
          </cell>
          <cell r="EW49">
            <v>28178.523700000002</v>
          </cell>
          <cell r="EX49">
            <v>35619.842580000004</v>
          </cell>
          <cell r="EY49">
            <v>41036.685000000005</v>
          </cell>
          <cell r="EZ49">
            <v>25680.780000000002</v>
          </cell>
          <cell r="FA49">
            <v>28734.440000000002</v>
          </cell>
          <cell r="FB49">
            <v>28784.5</v>
          </cell>
          <cell r="FC49">
            <v>29585.460000000003</v>
          </cell>
          <cell r="FD49">
            <v>31087.260000000002</v>
          </cell>
          <cell r="FE49">
            <v>17671.18</v>
          </cell>
          <cell r="FF49">
            <v>29935.88</v>
          </cell>
          <cell r="FG49">
            <v>40048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6000</v>
          </cell>
          <cell r="FO49">
            <v>3000</v>
          </cell>
        </row>
        <row r="50">
          <cell r="A50" t="str">
            <v>000A4012</v>
          </cell>
          <cell r="B50" t="str">
            <v>PRUCENCE EXTRA GDE ULTRA SENSIVEL C/3</v>
          </cell>
          <cell r="C50" t="str">
            <v>PRUDENCE EXTRA GRANDE ULTRA SENSIVEL 3'S FLOW PACK</v>
          </cell>
          <cell r="D50" t="str">
            <v>OTC</v>
          </cell>
          <cell r="E50" t="str">
            <v>Karex / NRS</v>
          </cell>
          <cell r="G50">
            <v>133</v>
          </cell>
          <cell r="H50">
            <v>133</v>
          </cell>
          <cell r="I50">
            <v>266</v>
          </cell>
          <cell r="J50">
            <v>45964</v>
          </cell>
          <cell r="K50">
            <v>11</v>
          </cell>
          <cell r="L50">
            <v>2025</v>
          </cell>
          <cell r="M50">
            <v>46097</v>
          </cell>
          <cell r="N50">
            <v>3</v>
          </cell>
          <cell r="O50">
            <v>2026</v>
          </cell>
          <cell r="P50">
            <v>0.9</v>
          </cell>
          <cell r="Q50" t="str">
            <v>C</v>
          </cell>
          <cell r="R50">
            <v>0</v>
          </cell>
          <cell r="S50">
            <v>56.64</v>
          </cell>
          <cell r="T50">
            <v>100</v>
          </cell>
          <cell r="U50">
            <v>330</v>
          </cell>
          <cell r="V50">
            <v>2200</v>
          </cell>
          <cell r="W50">
            <v>2200</v>
          </cell>
          <cell r="Y50">
            <v>8.36</v>
          </cell>
          <cell r="Z50">
            <v>2</v>
          </cell>
          <cell r="AA50">
            <v>0</v>
          </cell>
          <cell r="AB50">
            <v>0</v>
          </cell>
          <cell r="AC50">
            <v>1259</v>
          </cell>
          <cell r="AD50">
            <v>510</v>
          </cell>
          <cell r="AE50">
            <v>490</v>
          </cell>
          <cell r="AF50">
            <v>994</v>
          </cell>
          <cell r="AG50">
            <v>385</v>
          </cell>
          <cell r="AH50">
            <v>541</v>
          </cell>
          <cell r="AI50">
            <v>2422</v>
          </cell>
          <cell r="AJ50">
            <v>2084.2629999999999</v>
          </cell>
          <cell r="AK50">
            <v>1772.7579999999998</v>
          </cell>
          <cell r="AL50">
            <v>1450.3229999999999</v>
          </cell>
          <cell r="AM50">
            <v>1079.7959999999998</v>
          </cell>
          <cell r="AN50">
            <v>707.08299999999986</v>
          </cell>
          <cell r="AO50">
            <v>395.08299999999986</v>
          </cell>
          <cell r="AP50">
            <v>73.082999999999856</v>
          </cell>
          <cell r="AQ50">
            <v>1902.0829999999996</v>
          </cell>
          <cell r="AR50">
            <v>1529.0829999999996</v>
          </cell>
          <cell r="AS50">
            <v>1161.0829999999996</v>
          </cell>
          <cell r="AT50">
            <v>808.08299999999963</v>
          </cell>
          <cell r="AU50">
            <v>443.08299999999963</v>
          </cell>
          <cell r="AV50">
            <v>78.082999999999629</v>
          </cell>
          <cell r="AW50">
            <v>78.082999999999629</v>
          </cell>
          <cell r="AX50">
            <v>78.082999999999629</v>
          </cell>
          <cell r="AY50">
            <v>78.082999999999629</v>
          </cell>
          <cell r="AZ50">
            <v>78.082999999999629</v>
          </cell>
          <cell r="BA50">
            <v>78.082999999999629</v>
          </cell>
          <cell r="BC50">
            <v>1.98</v>
          </cell>
          <cell r="BD50">
            <v>-0.02</v>
          </cell>
          <cell r="BE50">
            <v>305.75</v>
          </cell>
          <cell r="BF50">
            <v>305.75</v>
          </cell>
          <cell r="BG50">
            <v>213.13499999999999</v>
          </cell>
          <cell r="BH50">
            <v>361.78300000000002</v>
          </cell>
          <cell r="BI50">
            <v>490.75700000000001</v>
          </cell>
          <cell r="BJ50">
            <v>191.27500000000001</v>
          </cell>
          <cell r="BK50">
            <v>315.87700000000001</v>
          </cell>
          <cell r="BL50">
            <v>337.73700000000002</v>
          </cell>
          <cell r="BM50">
            <v>311.505</v>
          </cell>
          <cell r="BN50">
            <v>322.435</v>
          </cell>
          <cell r="BO50">
            <v>370.52699999999999</v>
          </cell>
          <cell r="BP50">
            <v>372.71300000000002</v>
          </cell>
          <cell r="BQ50">
            <v>312</v>
          </cell>
          <cell r="BR50">
            <v>322</v>
          </cell>
          <cell r="BS50">
            <v>371</v>
          </cell>
          <cell r="BT50">
            <v>373</v>
          </cell>
          <cell r="BU50">
            <v>368</v>
          </cell>
          <cell r="BV50">
            <v>353</v>
          </cell>
          <cell r="BW50">
            <v>365</v>
          </cell>
          <cell r="BX50">
            <v>365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24.677025652961561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2200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I50">
            <v>56.64</v>
          </cell>
          <cell r="DJ50">
            <v>0</v>
          </cell>
          <cell r="DK50">
            <v>71309.759999999995</v>
          </cell>
          <cell r="DL50">
            <v>28886.400000000001</v>
          </cell>
          <cell r="DM50">
            <v>27753.599999999999</v>
          </cell>
          <cell r="DN50">
            <v>56300.160000000003</v>
          </cell>
          <cell r="DO50">
            <v>21806.400000000001</v>
          </cell>
          <cell r="DP50">
            <v>30642.240000000002</v>
          </cell>
          <cell r="DQ50">
            <v>137182.07999999999</v>
          </cell>
          <cell r="DR50">
            <v>118052.65631999999</v>
          </cell>
          <cell r="DS50">
            <v>100409.01311999999</v>
          </cell>
          <cell r="DT50">
            <v>82146.294719999991</v>
          </cell>
          <cell r="DU50">
            <v>61159.645439999993</v>
          </cell>
          <cell r="DV50">
            <v>40049.181119999994</v>
          </cell>
          <cell r="DW50">
            <v>22377.501119999994</v>
          </cell>
          <cell r="DX50">
            <v>4139.4211199999918</v>
          </cell>
          <cell r="DY50">
            <v>107733.98111999998</v>
          </cell>
          <cell r="DZ50">
            <v>86607.261119999981</v>
          </cell>
          <cell r="EA50">
            <v>65763.741119999977</v>
          </cell>
          <cell r="EB50">
            <v>45769.821119999979</v>
          </cell>
          <cell r="EC50">
            <v>25096.22111999998</v>
          </cell>
          <cell r="ED50">
            <v>4422.6211199999789</v>
          </cell>
          <cell r="EE50">
            <v>4422.6211199999789</v>
          </cell>
          <cell r="EF50">
            <v>4422.6211199999789</v>
          </cell>
          <cell r="EG50">
            <v>4422.6211199999789</v>
          </cell>
          <cell r="EH50">
            <v>4422.6211199999789</v>
          </cell>
          <cell r="EI50">
            <v>4422.6211199999789</v>
          </cell>
          <cell r="EL50">
            <v>112.1472</v>
          </cell>
          <cell r="EM50">
            <v>-1.1328</v>
          </cell>
          <cell r="EN50">
            <v>17317.68</v>
          </cell>
          <cell r="EO50">
            <v>17317.68</v>
          </cell>
          <cell r="EP50">
            <v>12071.966399999999</v>
          </cell>
          <cell r="EQ50">
            <v>20491.38912</v>
          </cell>
          <cell r="ER50">
            <v>27796.476480000001</v>
          </cell>
          <cell r="ES50">
            <v>10833.816000000001</v>
          </cell>
          <cell r="ET50">
            <v>17891.273280000001</v>
          </cell>
          <cell r="EU50">
            <v>19129.42368</v>
          </cell>
          <cell r="EV50">
            <v>17643.643199999999</v>
          </cell>
          <cell r="EW50">
            <v>18262.718400000002</v>
          </cell>
          <cell r="EX50">
            <v>20986.649279999998</v>
          </cell>
          <cell r="EY50">
            <v>21110.464320000003</v>
          </cell>
          <cell r="EZ50">
            <v>17671.68</v>
          </cell>
          <cell r="FA50">
            <v>18238.080000000002</v>
          </cell>
          <cell r="FB50">
            <v>21013.439999999999</v>
          </cell>
          <cell r="FC50">
            <v>21126.720000000001</v>
          </cell>
          <cell r="FD50">
            <v>20843.52</v>
          </cell>
          <cell r="FE50">
            <v>19993.920000000002</v>
          </cell>
          <cell r="FF50">
            <v>20673.599999999999</v>
          </cell>
          <cell r="FG50">
            <v>20673.599999999999</v>
          </cell>
          <cell r="FH50">
            <v>0</v>
          </cell>
          <cell r="FI50">
            <v>0</v>
          </cell>
          <cell r="FJ50">
            <v>0</v>
          </cell>
          <cell r="FK50">
            <v>0</v>
          </cell>
          <cell r="FL50">
            <v>0</v>
          </cell>
          <cell r="FM50">
            <v>0</v>
          </cell>
          <cell r="FN50">
            <v>0</v>
          </cell>
          <cell r="FO50">
            <v>2200</v>
          </cell>
        </row>
        <row r="51">
          <cell r="A51" t="str">
            <v>000A3050</v>
          </cell>
          <cell r="B51" t="str">
            <v>PRUDENCE NEON</v>
          </cell>
          <cell r="C51" t="str">
            <v>PRUDENCE NEON 3'S FLOW PACK</v>
          </cell>
          <cell r="D51" t="str">
            <v>OTC</v>
          </cell>
          <cell r="E51" t="str">
            <v>Karex / NRS</v>
          </cell>
          <cell r="G51">
            <v>133</v>
          </cell>
          <cell r="H51">
            <v>133</v>
          </cell>
          <cell r="I51">
            <v>266</v>
          </cell>
          <cell r="J51">
            <v>45964</v>
          </cell>
          <cell r="K51">
            <v>11</v>
          </cell>
          <cell r="L51">
            <v>2025</v>
          </cell>
          <cell r="M51">
            <v>46097</v>
          </cell>
          <cell r="N51">
            <v>3</v>
          </cell>
          <cell r="O51">
            <v>2026</v>
          </cell>
          <cell r="P51">
            <v>0.9</v>
          </cell>
          <cell r="Q51" t="str">
            <v>C</v>
          </cell>
          <cell r="R51">
            <v>0</v>
          </cell>
          <cell r="S51">
            <v>123.65</v>
          </cell>
          <cell r="T51">
            <v>200</v>
          </cell>
          <cell r="U51">
            <v>200</v>
          </cell>
          <cell r="V51">
            <v>2000</v>
          </cell>
          <cell r="W51">
            <v>2000</v>
          </cell>
          <cell r="Y51">
            <v>18.75</v>
          </cell>
          <cell r="Z51">
            <v>4</v>
          </cell>
          <cell r="AA51">
            <v>0</v>
          </cell>
          <cell r="AB51">
            <v>4</v>
          </cell>
          <cell r="AC51">
            <v>0</v>
          </cell>
          <cell r="AD51">
            <v>444</v>
          </cell>
          <cell r="AE51">
            <v>190</v>
          </cell>
          <cell r="AF51">
            <v>369</v>
          </cell>
          <cell r="AG51">
            <v>146</v>
          </cell>
          <cell r="AH51">
            <v>181</v>
          </cell>
          <cell r="AI51">
            <v>2641</v>
          </cell>
          <cell r="AJ51">
            <v>2466.12</v>
          </cell>
          <cell r="AK51">
            <v>2302.17</v>
          </cell>
          <cell r="AL51">
            <v>2126.1970000000001</v>
          </cell>
          <cell r="AM51">
            <v>1930.5500000000002</v>
          </cell>
          <cell r="AN51">
            <v>1643.0910000000001</v>
          </cell>
          <cell r="AO51">
            <v>1479.0910000000001</v>
          </cell>
          <cell r="AP51">
            <v>1303.0910000000001</v>
          </cell>
          <cell r="AQ51">
            <v>1107.0910000000001</v>
          </cell>
          <cell r="AR51">
            <v>820.09100000000012</v>
          </cell>
          <cell r="AS51">
            <v>635.09100000000012</v>
          </cell>
          <cell r="AT51">
            <v>330.09100000000012</v>
          </cell>
          <cell r="AU51">
            <v>71.091000000000122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C51">
            <v>4</v>
          </cell>
          <cell r="BD51">
            <v>-0.03</v>
          </cell>
          <cell r="BE51">
            <v>0</v>
          </cell>
          <cell r="BF51">
            <v>250</v>
          </cell>
          <cell r="BG51">
            <v>116.95099999999999</v>
          </cell>
          <cell r="BH51">
            <v>181.43799999999999</v>
          </cell>
          <cell r="BI51">
            <v>250.297</v>
          </cell>
          <cell r="BJ51">
            <v>96.183999999999997</v>
          </cell>
          <cell r="BK51">
            <v>134.43899999999999</v>
          </cell>
          <cell r="BL51">
            <v>174.88</v>
          </cell>
          <cell r="BM51">
            <v>163.95</v>
          </cell>
          <cell r="BN51">
            <v>175.97300000000001</v>
          </cell>
          <cell r="BO51">
            <v>195.64699999999999</v>
          </cell>
          <cell r="BP51">
            <v>287.459</v>
          </cell>
          <cell r="BQ51">
            <v>164</v>
          </cell>
          <cell r="BR51">
            <v>176</v>
          </cell>
          <cell r="BS51">
            <v>196</v>
          </cell>
          <cell r="BT51">
            <v>287</v>
          </cell>
          <cell r="BU51">
            <v>185</v>
          </cell>
          <cell r="BV51">
            <v>305</v>
          </cell>
          <cell r="BW51">
            <v>259</v>
          </cell>
          <cell r="BX51">
            <v>259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53.083441552801958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I51">
            <v>123.65</v>
          </cell>
          <cell r="DJ51">
            <v>494.6</v>
          </cell>
          <cell r="DK51">
            <v>0</v>
          </cell>
          <cell r="DL51">
            <v>54900.600000000006</v>
          </cell>
          <cell r="DM51">
            <v>23493.5</v>
          </cell>
          <cell r="DN51">
            <v>45626.85</v>
          </cell>
          <cell r="DO51">
            <v>18052.900000000001</v>
          </cell>
          <cell r="DP51">
            <v>22380.65</v>
          </cell>
          <cell r="DQ51">
            <v>326559.65000000002</v>
          </cell>
          <cell r="DR51">
            <v>304935.73800000001</v>
          </cell>
          <cell r="DS51">
            <v>284663.32050000003</v>
          </cell>
          <cell r="DT51">
            <v>262904.25905000005</v>
          </cell>
          <cell r="DU51">
            <v>238712.50750000004</v>
          </cell>
          <cell r="DV51">
            <v>203168.20215000003</v>
          </cell>
          <cell r="DW51">
            <v>182889.60215000002</v>
          </cell>
          <cell r="DX51">
            <v>161127.20215000003</v>
          </cell>
          <cell r="DY51">
            <v>136891.80215000003</v>
          </cell>
          <cell r="DZ51">
            <v>101404.25215000001</v>
          </cell>
          <cell r="EA51">
            <v>78529.002150000015</v>
          </cell>
          <cell r="EB51">
            <v>40815.752150000015</v>
          </cell>
          <cell r="EC51">
            <v>8790.4021500000163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L51">
            <v>494.6</v>
          </cell>
          <cell r="EM51">
            <v>-3.7095000000000002</v>
          </cell>
          <cell r="EN51">
            <v>0</v>
          </cell>
          <cell r="EO51">
            <v>30912.5</v>
          </cell>
          <cell r="EP51">
            <v>14460.99115</v>
          </cell>
          <cell r="EQ51">
            <v>22434.808699999998</v>
          </cell>
          <cell r="ER51">
            <v>30949.224050000001</v>
          </cell>
          <cell r="ES51">
            <v>11893.151600000001</v>
          </cell>
          <cell r="ET51">
            <v>16623.38235</v>
          </cell>
          <cell r="EU51">
            <v>21623.912</v>
          </cell>
          <cell r="EV51">
            <v>20272.4175</v>
          </cell>
          <cell r="EW51">
            <v>21759.061450000001</v>
          </cell>
          <cell r="EX51">
            <v>24191.751550000001</v>
          </cell>
          <cell r="EY51">
            <v>35544.305350000002</v>
          </cell>
          <cell r="EZ51">
            <v>20278.600000000002</v>
          </cell>
          <cell r="FA51">
            <v>21762.400000000001</v>
          </cell>
          <cell r="FB51">
            <v>24235.4</v>
          </cell>
          <cell r="FC51">
            <v>35487.550000000003</v>
          </cell>
          <cell r="FD51">
            <v>22875.25</v>
          </cell>
          <cell r="FE51">
            <v>37713.25</v>
          </cell>
          <cell r="FF51">
            <v>32025.350000000002</v>
          </cell>
          <cell r="FG51">
            <v>32025.350000000002</v>
          </cell>
          <cell r="FH51">
            <v>0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</row>
        <row r="52">
          <cell r="A52" t="str">
            <v>000A2011</v>
          </cell>
          <cell r="B52" t="str">
            <v>PRUDENCE SENSACOES SENSITIVE RETARDANTE 3</v>
          </cell>
          <cell r="C52" t="str">
            <v>PRUDENCE SENSITIVE RETARDANTE 3’s FLOW PACK - DISPLAY BOX</v>
          </cell>
          <cell r="D52" t="str">
            <v>OTC</v>
          </cell>
          <cell r="E52" t="str">
            <v>Karex / NRS</v>
          </cell>
          <cell r="G52">
            <v>133</v>
          </cell>
          <cell r="H52">
            <v>133</v>
          </cell>
          <cell r="I52">
            <v>266</v>
          </cell>
          <cell r="J52">
            <v>45964</v>
          </cell>
          <cell r="K52">
            <v>11</v>
          </cell>
          <cell r="L52">
            <v>2025</v>
          </cell>
          <cell r="M52">
            <v>46097</v>
          </cell>
          <cell r="N52">
            <v>3</v>
          </cell>
          <cell r="O52">
            <v>2026</v>
          </cell>
          <cell r="P52">
            <v>0.9</v>
          </cell>
          <cell r="Q52" t="str">
            <v>C</v>
          </cell>
          <cell r="R52">
            <v>39.191249288885679</v>
          </cell>
          <cell r="S52">
            <v>54.46</v>
          </cell>
          <cell r="T52">
            <v>800</v>
          </cell>
          <cell r="U52">
            <v>800</v>
          </cell>
          <cell r="V52">
            <v>3000</v>
          </cell>
          <cell r="W52">
            <v>3000</v>
          </cell>
          <cell r="Y52">
            <v>7.73</v>
          </cell>
          <cell r="Z52">
            <v>0</v>
          </cell>
          <cell r="AA52">
            <v>760</v>
          </cell>
          <cell r="AB52">
            <v>769</v>
          </cell>
          <cell r="AC52">
            <v>408</v>
          </cell>
          <cell r="AD52">
            <v>661</v>
          </cell>
          <cell r="AE52">
            <v>409</v>
          </cell>
          <cell r="AF52">
            <v>877</v>
          </cell>
          <cell r="AG52">
            <v>382</v>
          </cell>
          <cell r="AH52">
            <v>182</v>
          </cell>
          <cell r="AI52">
            <v>1550</v>
          </cell>
          <cell r="AJ52">
            <v>1394</v>
          </cell>
          <cell r="AK52">
            <v>421</v>
          </cell>
          <cell r="AL52">
            <v>232</v>
          </cell>
          <cell r="AM52">
            <v>135</v>
          </cell>
          <cell r="AN52">
            <v>2585</v>
          </cell>
          <cell r="AO52">
            <v>2218</v>
          </cell>
          <cell r="AP52">
            <v>1828</v>
          </cell>
          <cell r="AQ52">
            <v>1382</v>
          </cell>
          <cell r="AR52">
            <v>935</v>
          </cell>
          <cell r="AS52">
            <v>3502</v>
          </cell>
          <cell r="AT52">
            <v>3124</v>
          </cell>
          <cell r="AU52">
            <v>2705</v>
          </cell>
          <cell r="AV52">
            <v>2286</v>
          </cell>
          <cell r="AW52">
            <v>2286</v>
          </cell>
          <cell r="AX52">
            <v>2286</v>
          </cell>
          <cell r="AY52">
            <v>2286</v>
          </cell>
          <cell r="AZ52">
            <v>2286</v>
          </cell>
          <cell r="BA52">
            <v>2286</v>
          </cell>
          <cell r="BC52">
            <v>0</v>
          </cell>
          <cell r="BD52">
            <v>759.94</v>
          </cell>
          <cell r="BE52">
            <v>278.41666666666669</v>
          </cell>
          <cell r="BF52">
            <v>278.41666666666669</v>
          </cell>
          <cell r="BG52">
            <v>51</v>
          </cell>
          <cell r="BH52">
            <v>163</v>
          </cell>
          <cell r="BI52">
            <v>641</v>
          </cell>
          <cell r="BJ52">
            <v>379</v>
          </cell>
          <cell r="BK52">
            <v>113</v>
          </cell>
          <cell r="BL52">
            <v>156</v>
          </cell>
          <cell r="BM52">
            <v>973</v>
          </cell>
          <cell r="BN52">
            <v>189</v>
          </cell>
          <cell r="BO52">
            <v>97</v>
          </cell>
          <cell r="BP52">
            <v>550</v>
          </cell>
          <cell r="BQ52">
            <v>367</v>
          </cell>
          <cell r="BR52">
            <v>390</v>
          </cell>
          <cell r="BS52">
            <v>446</v>
          </cell>
          <cell r="BT52">
            <v>447</v>
          </cell>
          <cell r="BU52">
            <v>433</v>
          </cell>
          <cell r="BV52">
            <v>378</v>
          </cell>
          <cell r="BW52">
            <v>419</v>
          </cell>
          <cell r="BX52">
            <v>419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214.90093125998837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3000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3000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I52">
            <v>96.37</v>
          </cell>
          <cell r="DJ52">
            <v>74108.53</v>
          </cell>
          <cell r="DK52">
            <v>39318.959999999999</v>
          </cell>
          <cell r="DL52">
            <v>63700.57</v>
          </cell>
          <cell r="DM52">
            <v>39415.33</v>
          </cell>
          <cell r="DN52">
            <v>84516.49</v>
          </cell>
          <cell r="DO52">
            <v>36813.340000000004</v>
          </cell>
          <cell r="DP52">
            <v>17539.34</v>
          </cell>
          <cell r="DQ52">
            <v>149373.5</v>
          </cell>
          <cell r="DR52">
            <v>134339.78</v>
          </cell>
          <cell r="DS52">
            <v>40571.770000000004</v>
          </cell>
          <cell r="DT52">
            <v>22357.84</v>
          </cell>
          <cell r="DU52">
            <v>13009.95</v>
          </cell>
          <cell r="DV52">
            <v>249116.45</v>
          </cell>
          <cell r="DW52">
            <v>213748.66</v>
          </cell>
          <cell r="DX52">
            <v>176164.36000000002</v>
          </cell>
          <cell r="DY52">
            <v>133183.34</v>
          </cell>
          <cell r="DZ52">
            <v>90105.95</v>
          </cell>
          <cell r="EA52">
            <v>337487.74</v>
          </cell>
          <cell r="EB52">
            <v>301059.88</v>
          </cell>
          <cell r="EC52">
            <v>260680.85</v>
          </cell>
          <cell r="ED52">
            <v>220301.82</v>
          </cell>
          <cell r="EE52">
            <v>220301.82</v>
          </cell>
          <cell r="EF52">
            <v>220301.82</v>
          </cell>
          <cell r="EG52">
            <v>220301.82</v>
          </cell>
          <cell r="EH52">
            <v>220301.82</v>
          </cell>
          <cell r="EI52">
            <v>220301.82</v>
          </cell>
          <cell r="EL52">
            <v>0</v>
          </cell>
          <cell r="EM52">
            <v>41386.332400000007</v>
          </cell>
          <cell r="EN52">
            <v>26831.014166666671</v>
          </cell>
          <cell r="EO52">
            <v>26831.014166666671</v>
          </cell>
          <cell r="EP52">
            <v>4914.87</v>
          </cell>
          <cell r="EQ52">
            <v>15708.310000000001</v>
          </cell>
          <cell r="ER52">
            <v>61773.170000000006</v>
          </cell>
          <cell r="ES52">
            <v>36524.230000000003</v>
          </cell>
          <cell r="ET52">
            <v>10889.810000000001</v>
          </cell>
          <cell r="EU52">
            <v>15033.720000000001</v>
          </cell>
          <cell r="EV52">
            <v>93768.010000000009</v>
          </cell>
          <cell r="EW52">
            <v>18213.93</v>
          </cell>
          <cell r="EX52">
            <v>9347.8900000000012</v>
          </cell>
          <cell r="EY52">
            <v>53003.5</v>
          </cell>
          <cell r="EZ52">
            <v>35367.79</v>
          </cell>
          <cell r="FA52">
            <v>37584.300000000003</v>
          </cell>
          <cell r="FB52">
            <v>42981.020000000004</v>
          </cell>
          <cell r="FC52">
            <v>43077.39</v>
          </cell>
          <cell r="FD52">
            <v>41728.21</v>
          </cell>
          <cell r="FE52">
            <v>36427.86</v>
          </cell>
          <cell r="FF52">
            <v>40379.03</v>
          </cell>
          <cell r="FG52">
            <v>40379.03</v>
          </cell>
          <cell r="FH52">
            <v>0</v>
          </cell>
          <cell r="FI52">
            <v>0</v>
          </cell>
          <cell r="FJ52">
            <v>0</v>
          </cell>
          <cell r="FK52">
            <v>0</v>
          </cell>
          <cell r="FL52">
            <v>0</v>
          </cell>
          <cell r="FM52">
            <v>0</v>
          </cell>
          <cell r="FN52">
            <v>3000</v>
          </cell>
          <cell r="FO52">
            <v>3000</v>
          </cell>
        </row>
        <row r="53">
          <cell r="A53" t="str">
            <v>000H1003</v>
          </cell>
          <cell r="B53" t="str">
            <v>PRUDENCE SOFTCUP</v>
          </cell>
          <cell r="C53" t="str">
            <v>PRUDENCE SOFTCUP</v>
          </cell>
          <cell r="D53" t="str">
            <v>Ethical</v>
          </cell>
          <cell r="E53" t="str">
            <v>The Flex</v>
          </cell>
          <cell r="G53" t="str">
            <v>TBC</v>
          </cell>
          <cell r="H53" t="str">
            <v>TBC</v>
          </cell>
          <cell r="I53">
            <v>0</v>
          </cell>
          <cell r="M53">
            <v>45831</v>
          </cell>
          <cell r="N53">
            <v>6</v>
          </cell>
          <cell r="O53">
            <v>2025</v>
          </cell>
          <cell r="P53">
            <v>0.95</v>
          </cell>
          <cell r="Q53" t="str">
            <v>B</v>
          </cell>
          <cell r="R53">
            <v>0</v>
          </cell>
          <cell r="S53">
            <v>55.98</v>
          </cell>
          <cell r="T53">
            <v>0</v>
          </cell>
          <cell r="U53">
            <v>2100</v>
          </cell>
          <cell r="V53">
            <v>137100</v>
          </cell>
          <cell r="W53">
            <v>137100</v>
          </cell>
          <cell r="Y53">
            <v>0.26450000000000001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C53">
            <v>0</v>
          </cell>
          <cell r="BD53">
            <v>-2.84</v>
          </cell>
          <cell r="BE53">
            <v>0</v>
          </cell>
          <cell r="BF53">
            <v>0</v>
          </cell>
          <cell r="BG53">
            <v>683.26162499999998</v>
          </cell>
          <cell r="BH53">
            <v>1049.28</v>
          </cell>
          <cell r="BI53">
            <v>1414.3420000000001</v>
          </cell>
          <cell r="BJ53">
            <v>688.59</v>
          </cell>
          <cell r="BK53">
            <v>811.00599999999997</v>
          </cell>
          <cell r="BL53">
            <v>950.91</v>
          </cell>
          <cell r="BM53">
            <v>866.74900000000002</v>
          </cell>
          <cell r="BN53">
            <v>909.37599999999998</v>
          </cell>
          <cell r="BO53">
            <v>958.56100000000004</v>
          </cell>
          <cell r="BP53">
            <v>882.05100000000004</v>
          </cell>
          <cell r="BQ53">
            <v>972.77</v>
          </cell>
          <cell r="BR53">
            <v>1882.146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592.41618376855661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I53">
            <v>55.98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>
            <v>0</v>
          </cell>
          <cell r="EH53">
            <v>0</v>
          </cell>
          <cell r="EI53">
            <v>0</v>
          </cell>
          <cell r="EL53">
            <v>0</v>
          </cell>
          <cell r="EM53">
            <v>-158.98319999999998</v>
          </cell>
          <cell r="EN53">
            <v>0</v>
          </cell>
          <cell r="EO53">
            <v>0</v>
          </cell>
          <cell r="EP53">
            <v>38248.985767499995</v>
          </cell>
          <cell r="EQ53">
            <v>58738.694399999993</v>
          </cell>
          <cell r="ER53">
            <v>79174.865160000001</v>
          </cell>
          <cell r="ES53">
            <v>38547.268199999999</v>
          </cell>
          <cell r="ET53">
            <v>45400.115879999998</v>
          </cell>
          <cell r="EU53">
            <v>53231.941799999993</v>
          </cell>
          <cell r="EV53">
            <v>48520.609019999996</v>
          </cell>
          <cell r="EW53">
            <v>50906.868479999997</v>
          </cell>
          <cell r="EX53">
            <v>53660.244780000001</v>
          </cell>
          <cell r="EY53">
            <v>49377.214979999997</v>
          </cell>
          <cell r="EZ53">
            <v>54455.664599999996</v>
          </cell>
          <cell r="FA53">
            <v>105362.53307999999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</row>
        <row r="54">
          <cell r="A54" t="str">
            <v>000A4005</v>
          </cell>
          <cell r="B54" t="str">
            <v>PRUDENCE ULTRA RESISTENTE</v>
          </cell>
          <cell r="C54" t="str">
            <v>PRUDENCE ULTRA RESISTENTE 3'S FLOW PACK</v>
          </cell>
          <cell r="D54" t="str">
            <v>OTC</v>
          </cell>
          <cell r="E54" t="str">
            <v>Karex / NRS</v>
          </cell>
          <cell r="G54">
            <v>133</v>
          </cell>
          <cell r="H54">
            <v>133</v>
          </cell>
          <cell r="I54">
            <v>266</v>
          </cell>
          <cell r="J54">
            <v>45964</v>
          </cell>
          <cell r="K54">
            <v>11</v>
          </cell>
          <cell r="L54">
            <v>2025</v>
          </cell>
          <cell r="M54">
            <v>46097</v>
          </cell>
          <cell r="N54">
            <v>3</v>
          </cell>
          <cell r="O54">
            <v>2026</v>
          </cell>
          <cell r="P54">
            <v>0.9</v>
          </cell>
          <cell r="Q54" t="str">
            <v>C</v>
          </cell>
          <cell r="R54">
            <v>0</v>
          </cell>
          <cell r="S54">
            <v>53.25</v>
          </cell>
          <cell r="T54">
            <v>500</v>
          </cell>
          <cell r="U54">
            <v>500</v>
          </cell>
          <cell r="V54">
            <v>2200</v>
          </cell>
          <cell r="W54">
            <v>2200</v>
          </cell>
          <cell r="Y54">
            <v>7.83</v>
          </cell>
          <cell r="Z54">
            <v>0</v>
          </cell>
          <cell r="AA54">
            <v>0</v>
          </cell>
          <cell r="AB54">
            <v>0</v>
          </cell>
          <cell r="AC54">
            <v>632</v>
          </cell>
          <cell r="AD54">
            <v>291</v>
          </cell>
          <cell r="AE54">
            <v>221</v>
          </cell>
          <cell r="AF54">
            <v>622</v>
          </cell>
          <cell r="AG54">
            <v>158</v>
          </cell>
          <cell r="AH54">
            <v>322</v>
          </cell>
          <cell r="AI54">
            <v>726</v>
          </cell>
          <cell r="AJ54">
            <v>548.93399999999997</v>
          </cell>
          <cell r="AK54">
            <v>383.89099999999996</v>
          </cell>
          <cell r="AL54">
            <v>218.84799999999996</v>
          </cell>
          <cell r="AM54">
            <v>26.479999999999961</v>
          </cell>
          <cell r="AN54">
            <v>0</v>
          </cell>
          <cell r="AO54">
            <v>0</v>
          </cell>
          <cell r="AP54">
            <v>1413</v>
          </cell>
          <cell r="AQ54">
            <v>1221</v>
          </cell>
          <cell r="AR54">
            <v>1028</v>
          </cell>
          <cell r="AS54">
            <v>847</v>
          </cell>
          <cell r="AT54">
            <v>752</v>
          </cell>
          <cell r="AU54">
            <v>596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C54">
            <v>-0.09</v>
          </cell>
          <cell r="BD54">
            <v>0</v>
          </cell>
          <cell r="BE54">
            <v>150.25</v>
          </cell>
          <cell r="BF54">
            <v>150.25</v>
          </cell>
          <cell r="BG54">
            <v>98.37</v>
          </cell>
          <cell r="BH54">
            <v>177.066</v>
          </cell>
          <cell r="BI54">
            <v>248.11099999999999</v>
          </cell>
          <cell r="BJ54">
            <v>62.301000000000002</v>
          </cell>
          <cell r="BK54">
            <v>131.16</v>
          </cell>
          <cell r="BL54">
            <v>177.066</v>
          </cell>
          <cell r="BM54">
            <v>165.04300000000001</v>
          </cell>
          <cell r="BN54">
            <v>165.04300000000001</v>
          </cell>
          <cell r="BO54">
            <v>192.36799999999999</v>
          </cell>
          <cell r="BP54">
            <v>193.46100000000001</v>
          </cell>
          <cell r="BQ54">
            <v>165</v>
          </cell>
          <cell r="BR54">
            <v>165</v>
          </cell>
          <cell r="BS54">
            <v>192</v>
          </cell>
          <cell r="BT54">
            <v>193</v>
          </cell>
          <cell r="BU54">
            <v>181</v>
          </cell>
          <cell r="BV54">
            <v>95</v>
          </cell>
          <cell r="BW54">
            <v>156</v>
          </cell>
          <cell r="BX54">
            <v>600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122.07681938409071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1578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I54">
            <v>63.73</v>
          </cell>
          <cell r="DJ54">
            <v>0</v>
          </cell>
          <cell r="DK54">
            <v>40277.360000000001</v>
          </cell>
          <cell r="DL54">
            <v>18545.43</v>
          </cell>
          <cell r="DM54">
            <v>14084.33</v>
          </cell>
          <cell r="DN54">
            <v>39640.06</v>
          </cell>
          <cell r="DO54">
            <v>10069.34</v>
          </cell>
          <cell r="DP54">
            <v>20521.059999999998</v>
          </cell>
          <cell r="DQ54">
            <v>46267.979999999996</v>
          </cell>
          <cell r="DR54">
            <v>34983.563819999996</v>
          </cell>
          <cell r="DS54">
            <v>24465.373429999996</v>
          </cell>
          <cell r="DT54">
            <v>13947.183039999996</v>
          </cell>
          <cell r="DU54">
            <v>1687.5703999999976</v>
          </cell>
          <cell r="DV54">
            <v>0</v>
          </cell>
          <cell r="DW54">
            <v>0</v>
          </cell>
          <cell r="DX54">
            <v>90050.489999999991</v>
          </cell>
          <cell r="DY54">
            <v>77814.33</v>
          </cell>
          <cell r="DZ54">
            <v>65514.439999999995</v>
          </cell>
          <cell r="EA54">
            <v>53979.31</v>
          </cell>
          <cell r="EB54">
            <v>47924.959999999999</v>
          </cell>
          <cell r="EC54">
            <v>37983.08</v>
          </cell>
          <cell r="ED54">
            <v>0</v>
          </cell>
          <cell r="EE54">
            <v>0</v>
          </cell>
          <cell r="EF54">
            <v>0</v>
          </cell>
          <cell r="EG54">
            <v>0</v>
          </cell>
          <cell r="EH54">
            <v>0</v>
          </cell>
          <cell r="EI54">
            <v>0</v>
          </cell>
          <cell r="EL54">
            <v>-4.7924999999999995</v>
          </cell>
          <cell r="EM54">
            <v>0</v>
          </cell>
          <cell r="EN54">
            <v>9575.432499999999</v>
          </cell>
          <cell r="EO54">
            <v>9575.432499999999</v>
          </cell>
          <cell r="EP54">
            <v>6269.1201000000001</v>
          </cell>
          <cell r="EQ54">
            <v>11284.41618</v>
          </cell>
          <cell r="ER54">
            <v>15812.114029999999</v>
          </cell>
          <cell r="ES54">
            <v>3970.4427299999998</v>
          </cell>
          <cell r="ET54">
            <v>8358.8267999999989</v>
          </cell>
          <cell r="EU54">
            <v>11284.41618</v>
          </cell>
          <cell r="EV54">
            <v>10518.19039</v>
          </cell>
          <cell r="EW54">
            <v>10518.19039</v>
          </cell>
          <cell r="EX54">
            <v>12259.612639999999</v>
          </cell>
          <cell r="EY54">
            <v>12329.26953</v>
          </cell>
          <cell r="EZ54">
            <v>10515.449999999999</v>
          </cell>
          <cell r="FA54">
            <v>10515.449999999999</v>
          </cell>
          <cell r="FB54">
            <v>12236.16</v>
          </cell>
          <cell r="FC54">
            <v>12299.89</v>
          </cell>
          <cell r="FD54">
            <v>11535.13</v>
          </cell>
          <cell r="FE54">
            <v>6054.3499999999995</v>
          </cell>
          <cell r="FF54">
            <v>9941.8799999999992</v>
          </cell>
          <cell r="FG54">
            <v>38238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1578</v>
          </cell>
          <cell r="FO54">
            <v>0</v>
          </cell>
        </row>
        <row r="55">
          <cell r="A55" t="str">
            <v>00012</v>
          </cell>
          <cell r="B55" t="str">
            <v>SUTRA</v>
          </cell>
          <cell r="C55" t="str">
            <v>SUTRA CLASSIC 3'S FLOW PACK</v>
          </cell>
          <cell r="D55" t="str">
            <v>OTC</v>
          </cell>
          <cell r="E55" t="str">
            <v>Karex / NRS</v>
          </cell>
          <cell r="G55">
            <v>133</v>
          </cell>
          <cell r="H55">
            <v>133</v>
          </cell>
          <cell r="I55">
            <v>266</v>
          </cell>
          <cell r="J55">
            <v>45964</v>
          </cell>
          <cell r="K55">
            <v>11</v>
          </cell>
          <cell r="L55">
            <v>2025</v>
          </cell>
          <cell r="M55">
            <v>46097</v>
          </cell>
          <cell r="N55">
            <v>3</v>
          </cell>
          <cell r="O55">
            <v>2026</v>
          </cell>
          <cell r="P55">
            <v>0.9</v>
          </cell>
          <cell r="Q55" t="str">
            <v>C</v>
          </cell>
          <cell r="R55">
            <v>0</v>
          </cell>
          <cell r="S55">
            <v>34.17</v>
          </cell>
          <cell r="T55">
            <v>2600</v>
          </cell>
          <cell r="U55">
            <v>2600</v>
          </cell>
          <cell r="V55">
            <v>3000</v>
          </cell>
          <cell r="W55">
            <v>3000</v>
          </cell>
          <cell r="Y55">
            <v>5.46</v>
          </cell>
          <cell r="Z55">
            <v>0</v>
          </cell>
          <cell r="AA55">
            <v>0</v>
          </cell>
          <cell r="AB55">
            <v>0</v>
          </cell>
          <cell r="AC55">
            <v>2898</v>
          </cell>
          <cell r="AD55">
            <v>488</v>
          </cell>
          <cell r="AE55">
            <v>2663</v>
          </cell>
          <cell r="AF55">
            <v>0</v>
          </cell>
          <cell r="AG55">
            <v>1560</v>
          </cell>
          <cell r="AH55">
            <v>764</v>
          </cell>
          <cell r="AI55">
            <v>3626</v>
          </cell>
          <cell r="AJ55">
            <v>2384.3519999999999</v>
          </cell>
          <cell r="AK55">
            <v>1868.4559999999999</v>
          </cell>
          <cell r="AL55">
            <v>4207.1909999999998</v>
          </cell>
          <cell r="AM55">
            <v>2883.5679999999998</v>
          </cell>
          <cell r="AN55">
            <v>12933.567999999999</v>
          </cell>
          <cell r="AO55">
            <v>13633.567999999999</v>
          </cell>
          <cell r="AP55">
            <v>14333.567999999999</v>
          </cell>
          <cell r="AQ55">
            <v>12033.567999999999</v>
          </cell>
          <cell r="AR55">
            <v>9733.5679999999993</v>
          </cell>
          <cell r="AS55">
            <v>10433.567999999999</v>
          </cell>
          <cell r="AT55">
            <v>8133.5679999999993</v>
          </cell>
          <cell r="AU55">
            <v>5833.5679999999993</v>
          </cell>
          <cell r="AV55">
            <v>3533.5679999999993</v>
          </cell>
          <cell r="AW55">
            <v>3533.5679999999993</v>
          </cell>
          <cell r="AX55">
            <v>3533.5679999999993</v>
          </cell>
          <cell r="AY55">
            <v>3533.5679999999993</v>
          </cell>
          <cell r="AZ55">
            <v>3533.5679999999993</v>
          </cell>
          <cell r="BA55">
            <v>3533.5679999999993</v>
          </cell>
          <cell r="BC55">
            <v>0</v>
          </cell>
          <cell r="BD55">
            <v>0</v>
          </cell>
          <cell r="BE55">
            <v>219</v>
          </cell>
          <cell r="BF55">
            <v>0</v>
          </cell>
          <cell r="BG55">
            <v>432.82799999999997</v>
          </cell>
          <cell r="BH55">
            <v>1120.325</v>
          </cell>
          <cell r="BI55">
            <v>1813.287</v>
          </cell>
          <cell r="BJ55">
            <v>639.40499999999997</v>
          </cell>
          <cell r="BK55">
            <v>714.822</v>
          </cell>
          <cell r="BL55">
            <v>1241.6479999999999</v>
          </cell>
          <cell r="BM55">
            <v>515.89599999999996</v>
          </cell>
          <cell r="BN55">
            <v>661.26499999999999</v>
          </cell>
          <cell r="BO55">
            <v>1323.623</v>
          </cell>
          <cell r="BP55">
            <v>1950</v>
          </cell>
          <cell r="BQ55">
            <v>2300</v>
          </cell>
          <cell r="BR55">
            <v>2300</v>
          </cell>
          <cell r="BS55">
            <v>2300</v>
          </cell>
          <cell r="BT55">
            <v>2300</v>
          </cell>
          <cell r="BU55">
            <v>2300</v>
          </cell>
          <cell r="BV55">
            <v>2300</v>
          </cell>
          <cell r="BW55">
            <v>2300</v>
          </cell>
          <cell r="BX55">
            <v>2300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675.15126620052069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3000</v>
          </cell>
          <cell r="CR55">
            <v>0</v>
          </cell>
          <cell r="CS55">
            <v>12000</v>
          </cell>
          <cell r="CT55">
            <v>3000</v>
          </cell>
          <cell r="CU55">
            <v>3000</v>
          </cell>
          <cell r="CV55">
            <v>0</v>
          </cell>
          <cell r="CW55">
            <v>0</v>
          </cell>
          <cell r="CX55">
            <v>3000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I55">
            <v>34.24</v>
          </cell>
          <cell r="DJ55">
            <v>0</v>
          </cell>
          <cell r="DK55">
            <v>99227.520000000004</v>
          </cell>
          <cell r="DL55">
            <v>16709.120000000003</v>
          </cell>
          <cell r="DM55">
            <v>91181.12000000001</v>
          </cell>
          <cell r="DN55">
            <v>0</v>
          </cell>
          <cell r="DO55">
            <v>53414.400000000001</v>
          </cell>
          <cell r="DP55">
            <v>26159.360000000001</v>
          </cell>
          <cell r="DQ55">
            <v>124154.24000000001</v>
          </cell>
          <cell r="DR55">
            <v>81640.212480000002</v>
          </cell>
          <cell r="DS55">
            <v>63975.933440000001</v>
          </cell>
          <cell r="DT55">
            <v>144054.21984000001</v>
          </cell>
          <cell r="DU55">
            <v>98733.368319999994</v>
          </cell>
          <cell r="DV55">
            <v>442845.36832000001</v>
          </cell>
          <cell r="DW55">
            <v>466813.36832000001</v>
          </cell>
          <cell r="DX55">
            <v>490781.36832000001</v>
          </cell>
          <cell r="DY55">
            <v>412029.36832000001</v>
          </cell>
          <cell r="DZ55">
            <v>333277.36832000001</v>
          </cell>
          <cell r="EA55">
            <v>357245.36832000001</v>
          </cell>
          <cell r="EB55">
            <v>278493.36832000001</v>
          </cell>
          <cell r="EC55">
            <v>199741.36831999998</v>
          </cell>
          <cell r="ED55">
            <v>120989.36831999998</v>
          </cell>
          <cell r="EE55">
            <v>120989.36831999998</v>
          </cell>
          <cell r="EF55">
            <v>120989.36831999998</v>
          </cell>
          <cell r="EG55">
            <v>120989.36831999998</v>
          </cell>
          <cell r="EH55">
            <v>120989.36831999998</v>
          </cell>
          <cell r="EI55">
            <v>120989.36831999998</v>
          </cell>
          <cell r="EL55">
            <v>0</v>
          </cell>
          <cell r="EM55">
            <v>0</v>
          </cell>
          <cell r="EN55">
            <v>7498.56</v>
          </cell>
          <cell r="EO55">
            <v>0</v>
          </cell>
          <cell r="EP55">
            <v>14820.030720000001</v>
          </cell>
          <cell r="EQ55">
            <v>38359.928000000007</v>
          </cell>
          <cell r="ER55">
            <v>62086.946880000003</v>
          </cell>
          <cell r="ES55">
            <v>21893.227200000001</v>
          </cell>
          <cell r="ET55">
            <v>24475.505280000001</v>
          </cell>
          <cell r="EU55">
            <v>42514.027519999996</v>
          </cell>
          <cell r="EV55">
            <v>17664.279040000001</v>
          </cell>
          <cell r="EW55">
            <v>22641.713599999999</v>
          </cell>
          <cell r="EX55">
            <v>45320.851520000004</v>
          </cell>
          <cell r="EY55">
            <v>66768</v>
          </cell>
          <cell r="EZ55">
            <v>78752</v>
          </cell>
          <cell r="FA55">
            <v>78752</v>
          </cell>
          <cell r="FB55">
            <v>78752</v>
          </cell>
          <cell r="FC55">
            <v>78752</v>
          </cell>
          <cell r="FD55">
            <v>78752</v>
          </cell>
          <cell r="FE55">
            <v>78752</v>
          </cell>
          <cell r="FF55">
            <v>78752</v>
          </cell>
          <cell r="FG55">
            <v>78752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21000</v>
          </cell>
          <cell r="FO55">
            <v>3000</v>
          </cell>
        </row>
        <row r="56">
          <cell r="A56" t="str">
            <v>00017</v>
          </cell>
          <cell r="B56" t="str">
            <v>SUTRA SENSITIVE</v>
          </cell>
          <cell r="C56" t="str">
            <v>SUTRA SENSITIVE 3'S FLOW PACK</v>
          </cell>
          <cell r="D56" t="str">
            <v>OTC</v>
          </cell>
          <cell r="E56" t="str">
            <v>Karex / NRS</v>
          </cell>
          <cell r="G56">
            <v>133</v>
          </cell>
          <cell r="H56">
            <v>133</v>
          </cell>
          <cell r="I56">
            <v>266</v>
          </cell>
          <cell r="J56">
            <v>45964</v>
          </cell>
          <cell r="K56">
            <v>11</v>
          </cell>
          <cell r="L56">
            <v>2025</v>
          </cell>
          <cell r="M56">
            <v>46097</v>
          </cell>
          <cell r="N56">
            <v>3</v>
          </cell>
          <cell r="O56">
            <v>2026</v>
          </cell>
          <cell r="P56">
            <v>0.9</v>
          </cell>
          <cell r="Q56" t="str">
            <v>C</v>
          </cell>
          <cell r="R56">
            <v>0</v>
          </cell>
          <cell r="S56">
            <v>33.26</v>
          </cell>
          <cell r="T56">
            <v>1000</v>
          </cell>
          <cell r="U56">
            <v>1000</v>
          </cell>
          <cell r="V56">
            <v>3000</v>
          </cell>
          <cell r="W56">
            <v>3000</v>
          </cell>
          <cell r="Y56">
            <v>5.61</v>
          </cell>
          <cell r="Z56">
            <v>0</v>
          </cell>
          <cell r="AA56">
            <v>0</v>
          </cell>
          <cell r="AB56">
            <v>1986</v>
          </cell>
          <cell r="AC56">
            <v>976</v>
          </cell>
          <cell r="AD56">
            <v>246</v>
          </cell>
          <cell r="AE56">
            <v>682</v>
          </cell>
          <cell r="AF56">
            <v>1571</v>
          </cell>
          <cell r="AG56">
            <v>515</v>
          </cell>
          <cell r="AH56">
            <v>6</v>
          </cell>
          <cell r="AI56">
            <v>0</v>
          </cell>
          <cell r="AJ56">
            <v>0</v>
          </cell>
          <cell r="AK56">
            <v>2574</v>
          </cell>
          <cell r="AL56">
            <v>4966</v>
          </cell>
          <cell r="AM56">
            <v>4488</v>
          </cell>
          <cell r="AN56">
            <v>6588</v>
          </cell>
          <cell r="AO56">
            <v>8588</v>
          </cell>
          <cell r="AP56">
            <v>7588</v>
          </cell>
          <cell r="AQ56">
            <v>6588</v>
          </cell>
          <cell r="AR56">
            <v>5588</v>
          </cell>
          <cell r="AS56">
            <v>4288</v>
          </cell>
          <cell r="AT56">
            <v>3588</v>
          </cell>
          <cell r="AU56">
            <v>2588</v>
          </cell>
          <cell r="AV56">
            <v>1588</v>
          </cell>
          <cell r="AW56">
            <v>1588</v>
          </cell>
          <cell r="AX56">
            <v>1588</v>
          </cell>
          <cell r="AY56">
            <v>1588</v>
          </cell>
          <cell r="AZ56">
            <v>1588</v>
          </cell>
          <cell r="BA56">
            <v>1588</v>
          </cell>
          <cell r="BC56">
            <v>0</v>
          </cell>
          <cell r="BD56">
            <v>0</v>
          </cell>
          <cell r="BE56">
            <v>663</v>
          </cell>
          <cell r="BF56">
            <v>348</v>
          </cell>
          <cell r="BG56">
            <v>473</v>
          </cell>
          <cell r="BH56">
            <v>908</v>
          </cell>
          <cell r="BI56">
            <v>1428</v>
          </cell>
          <cell r="BJ56">
            <v>1368</v>
          </cell>
          <cell r="BK56">
            <v>828</v>
          </cell>
          <cell r="BL56">
            <v>1133</v>
          </cell>
          <cell r="BM56">
            <v>426</v>
          </cell>
          <cell r="BN56">
            <v>608</v>
          </cell>
          <cell r="BO56">
            <v>478</v>
          </cell>
          <cell r="BP56">
            <v>900</v>
          </cell>
          <cell r="BQ56">
            <v>1000</v>
          </cell>
          <cell r="BR56">
            <v>1000</v>
          </cell>
          <cell r="BS56">
            <v>1000</v>
          </cell>
          <cell r="BT56">
            <v>1000</v>
          </cell>
          <cell r="BU56">
            <v>1300</v>
          </cell>
          <cell r="BV56">
            <v>700</v>
          </cell>
          <cell r="BW56">
            <v>1000</v>
          </cell>
          <cell r="BX56">
            <v>1000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258.27390548874723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3000</v>
          </cell>
          <cell r="CQ56">
            <v>3000</v>
          </cell>
          <cell r="CR56">
            <v>0</v>
          </cell>
          <cell r="CS56">
            <v>3000</v>
          </cell>
          <cell r="CT56">
            <v>3000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I56">
            <v>40.409999999999997</v>
          </cell>
          <cell r="DJ56">
            <v>80254.259999999995</v>
          </cell>
          <cell r="DK56">
            <v>39440.159999999996</v>
          </cell>
          <cell r="DL56">
            <v>9940.8599999999988</v>
          </cell>
          <cell r="DM56">
            <v>27559.62</v>
          </cell>
          <cell r="DN56">
            <v>63484.109999999993</v>
          </cell>
          <cell r="DO56">
            <v>20811.149999999998</v>
          </cell>
          <cell r="DP56">
            <v>242.45999999999998</v>
          </cell>
          <cell r="DQ56">
            <v>0</v>
          </cell>
          <cell r="DR56">
            <v>0</v>
          </cell>
          <cell r="DS56">
            <v>104015.34</v>
          </cell>
          <cell r="DT56">
            <v>200676.05999999997</v>
          </cell>
          <cell r="DU56">
            <v>181360.08</v>
          </cell>
          <cell r="DV56">
            <v>266221.07999999996</v>
          </cell>
          <cell r="DW56">
            <v>347041.07999999996</v>
          </cell>
          <cell r="DX56">
            <v>306631.07999999996</v>
          </cell>
          <cell r="DY56">
            <v>266221.07999999996</v>
          </cell>
          <cell r="DZ56">
            <v>225811.08</v>
          </cell>
          <cell r="EA56">
            <v>173278.07999999999</v>
          </cell>
          <cell r="EB56">
            <v>144991.07999999999</v>
          </cell>
          <cell r="EC56">
            <v>104581.07999999999</v>
          </cell>
          <cell r="ED56">
            <v>64171.079999999994</v>
          </cell>
          <cell r="EE56">
            <v>64171.079999999994</v>
          </cell>
          <cell r="EF56">
            <v>64171.079999999994</v>
          </cell>
          <cell r="EG56">
            <v>64171.079999999994</v>
          </cell>
          <cell r="EH56">
            <v>64171.079999999994</v>
          </cell>
          <cell r="EI56">
            <v>64171.079999999994</v>
          </cell>
          <cell r="EL56">
            <v>0</v>
          </cell>
          <cell r="EM56">
            <v>0</v>
          </cell>
          <cell r="EN56">
            <v>26791.829999999998</v>
          </cell>
          <cell r="EO56">
            <v>14062.679999999998</v>
          </cell>
          <cell r="EP56">
            <v>19113.929999999997</v>
          </cell>
          <cell r="EQ56">
            <v>36692.28</v>
          </cell>
          <cell r="ER56">
            <v>57705.479999999996</v>
          </cell>
          <cell r="ES56">
            <v>55280.88</v>
          </cell>
          <cell r="ET56">
            <v>33459.479999999996</v>
          </cell>
          <cell r="EU56">
            <v>45784.53</v>
          </cell>
          <cell r="EV56">
            <v>17214.66</v>
          </cell>
          <cell r="EW56">
            <v>24569.279999999999</v>
          </cell>
          <cell r="EX56">
            <v>19315.98</v>
          </cell>
          <cell r="EY56">
            <v>36369</v>
          </cell>
          <cell r="EZ56">
            <v>40410</v>
          </cell>
          <cell r="FA56">
            <v>40410</v>
          </cell>
          <cell r="FB56">
            <v>40410</v>
          </cell>
          <cell r="FC56">
            <v>40410</v>
          </cell>
          <cell r="FD56">
            <v>52532.999999999993</v>
          </cell>
          <cell r="FE56">
            <v>28286.999999999996</v>
          </cell>
          <cell r="FF56">
            <v>40410</v>
          </cell>
          <cell r="FG56">
            <v>40410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12000</v>
          </cell>
          <cell r="FO56">
            <v>0</v>
          </cell>
        </row>
        <row r="57">
          <cell r="A57" t="str">
            <v>000A3014</v>
          </cell>
          <cell r="B57" t="str">
            <v>PRUDENCE EXTRA TEXTURIZADO C/6</v>
          </cell>
          <cell r="C57" t="str">
            <v>PRUDENCE EXTRA TEXTURIZADO C/6</v>
          </cell>
          <cell r="D57" t="str">
            <v>OTC</v>
          </cell>
          <cell r="E57" t="str">
            <v>Thai Nippon</v>
          </cell>
          <cell r="G57">
            <v>96</v>
          </cell>
          <cell r="H57">
            <v>137</v>
          </cell>
          <cell r="I57">
            <v>233</v>
          </cell>
          <cell r="J57">
            <v>45927</v>
          </cell>
          <cell r="K57">
            <v>9</v>
          </cell>
          <cell r="L57">
            <v>2025</v>
          </cell>
          <cell r="M57">
            <v>46064</v>
          </cell>
          <cell r="N57">
            <v>2</v>
          </cell>
          <cell r="O57">
            <v>2026</v>
          </cell>
          <cell r="P57">
            <v>0.9</v>
          </cell>
          <cell r="Q57" t="str">
            <v>C</v>
          </cell>
          <cell r="R57">
            <v>49.122232896637854</v>
          </cell>
          <cell r="S57">
            <v>82.76</v>
          </cell>
          <cell r="T57">
            <v>800</v>
          </cell>
          <cell r="U57">
            <v>800</v>
          </cell>
          <cell r="V57">
            <v>3400</v>
          </cell>
          <cell r="W57">
            <v>3400</v>
          </cell>
          <cell r="X57" t="str">
            <v>gross</v>
          </cell>
          <cell r="Y57">
            <v>6.55</v>
          </cell>
          <cell r="Z57">
            <v>481</v>
          </cell>
          <cell r="AA57">
            <v>772</v>
          </cell>
          <cell r="AB57">
            <v>418</v>
          </cell>
          <cell r="AC57">
            <v>72</v>
          </cell>
          <cell r="AD57">
            <v>1</v>
          </cell>
          <cell r="AE57">
            <v>711</v>
          </cell>
          <cell r="AF57">
            <v>417</v>
          </cell>
          <cell r="AG57">
            <v>283</v>
          </cell>
          <cell r="AH57">
            <v>364</v>
          </cell>
          <cell r="AI57">
            <v>4211</v>
          </cell>
          <cell r="AJ57">
            <v>3922</v>
          </cell>
          <cell r="AK57">
            <v>3621</v>
          </cell>
          <cell r="AL57">
            <v>3209</v>
          </cell>
          <cell r="AM57">
            <v>2977</v>
          </cell>
          <cell r="AN57">
            <v>2627</v>
          </cell>
          <cell r="AO57">
            <v>2015</v>
          </cell>
          <cell r="AP57">
            <v>4740</v>
          </cell>
          <cell r="AQ57">
            <v>4026</v>
          </cell>
          <cell r="AR57">
            <v>3253</v>
          </cell>
          <cell r="AS57">
            <v>2502</v>
          </cell>
          <cell r="AT57">
            <v>2442</v>
          </cell>
          <cell r="AU57">
            <v>1914</v>
          </cell>
          <cell r="AV57">
            <v>1386</v>
          </cell>
          <cell r="AW57">
            <v>1386</v>
          </cell>
          <cell r="AX57">
            <v>1386</v>
          </cell>
          <cell r="AY57">
            <v>1386</v>
          </cell>
          <cell r="AZ57">
            <v>1386</v>
          </cell>
          <cell r="BA57">
            <v>1386</v>
          </cell>
          <cell r="BC57">
            <v>478.92</v>
          </cell>
          <cell r="BD57">
            <v>762.94</v>
          </cell>
          <cell r="BE57">
            <v>297</v>
          </cell>
          <cell r="BF57">
            <v>297</v>
          </cell>
          <cell r="BG57">
            <v>78</v>
          </cell>
          <cell r="BH57">
            <v>53</v>
          </cell>
          <cell r="BI57">
            <v>413</v>
          </cell>
          <cell r="BJ57">
            <v>60</v>
          </cell>
          <cell r="BK57">
            <v>235</v>
          </cell>
          <cell r="BL57">
            <v>289</v>
          </cell>
          <cell r="BM57">
            <v>301</v>
          </cell>
          <cell r="BN57">
            <v>412</v>
          </cell>
          <cell r="BO57">
            <v>232</v>
          </cell>
          <cell r="BP57">
            <v>350</v>
          </cell>
          <cell r="BQ57">
            <v>612</v>
          </cell>
          <cell r="BR57">
            <v>675</v>
          </cell>
          <cell r="BS57">
            <v>714</v>
          </cell>
          <cell r="BT57">
            <v>773</v>
          </cell>
          <cell r="BU57">
            <v>751</v>
          </cell>
          <cell r="BV57">
            <v>60</v>
          </cell>
          <cell r="BW57">
            <v>528</v>
          </cell>
          <cell r="BX57">
            <v>528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223.98580541105957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3400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I57">
            <v>90.77</v>
          </cell>
          <cell r="DJ57">
            <v>37941.86</v>
          </cell>
          <cell r="DK57">
            <v>6535.44</v>
          </cell>
          <cell r="DL57">
            <v>90.77</v>
          </cell>
          <cell r="DM57">
            <v>64537.469999999994</v>
          </cell>
          <cell r="DN57">
            <v>37851.089999999997</v>
          </cell>
          <cell r="DO57">
            <v>25687.91</v>
          </cell>
          <cell r="DP57">
            <v>33040.28</v>
          </cell>
          <cell r="DQ57">
            <v>382232.47</v>
          </cell>
          <cell r="DR57">
            <v>355999.94</v>
          </cell>
          <cell r="DS57">
            <v>328678.17</v>
          </cell>
          <cell r="DT57">
            <v>291280.93</v>
          </cell>
          <cell r="DU57">
            <v>270222.28999999998</v>
          </cell>
          <cell r="DV57">
            <v>238452.78999999998</v>
          </cell>
          <cell r="DW57">
            <v>182901.55</v>
          </cell>
          <cell r="DX57">
            <v>430249.8</v>
          </cell>
          <cell r="DY57">
            <v>365440.01999999996</v>
          </cell>
          <cell r="DZ57">
            <v>295274.81</v>
          </cell>
          <cell r="EA57">
            <v>227106.53999999998</v>
          </cell>
          <cell r="EB57">
            <v>221660.34</v>
          </cell>
          <cell r="EC57">
            <v>173733.78</v>
          </cell>
          <cell r="ED57">
            <v>125807.22</v>
          </cell>
          <cell r="EE57">
            <v>125807.22</v>
          </cell>
          <cell r="EF57">
            <v>125807.22</v>
          </cell>
          <cell r="EG57">
            <v>125807.22</v>
          </cell>
          <cell r="EH57">
            <v>125807.22</v>
          </cell>
          <cell r="EI57">
            <v>125807.22</v>
          </cell>
          <cell r="EL57">
            <v>39635.419200000004</v>
          </cell>
          <cell r="EM57">
            <v>63140.914400000009</v>
          </cell>
          <cell r="EN57">
            <v>26958.69</v>
          </cell>
          <cell r="EO57">
            <v>26958.69</v>
          </cell>
          <cell r="EP57">
            <v>7080.0599999999995</v>
          </cell>
          <cell r="EQ57">
            <v>4810.8099999999995</v>
          </cell>
          <cell r="ER57">
            <v>37488.009999999995</v>
          </cell>
          <cell r="ES57">
            <v>5446.2</v>
          </cell>
          <cell r="ET57">
            <v>21330.95</v>
          </cell>
          <cell r="EU57">
            <v>26232.53</v>
          </cell>
          <cell r="EV57">
            <v>27321.77</v>
          </cell>
          <cell r="EW57">
            <v>37397.24</v>
          </cell>
          <cell r="EX57">
            <v>21058.639999999999</v>
          </cell>
          <cell r="EY57">
            <v>31769.5</v>
          </cell>
          <cell r="EZ57">
            <v>55551.24</v>
          </cell>
          <cell r="FA57">
            <v>61269.75</v>
          </cell>
          <cell r="FB57">
            <v>64809.78</v>
          </cell>
          <cell r="FC57">
            <v>70165.209999999992</v>
          </cell>
          <cell r="FD57">
            <v>68168.27</v>
          </cell>
          <cell r="FE57">
            <v>5446.2</v>
          </cell>
          <cell r="FF57">
            <v>47926.559999999998</v>
          </cell>
          <cell r="FG57">
            <v>47926.559999999998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3400</v>
          </cell>
        </row>
        <row r="58">
          <cell r="A58" t="str">
            <v>00013</v>
          </cell>
          <cell r="B58" t="str">
            <v>SUTRA MORANGO</v>
          </cell>
          <cell r="C58" t="str">
            <v>SUTRA STRAWBERRY 3'S FLOW PACK</v>
          </cell>
          <cell r="D58" t="str">
            <v>OTC</v>
          </cell>
          <cell r="E58" t="str">
            <v>Karex / NRS</v>
          </cell>
          <cell r="G58">
            <v>133</v>
          </cell>
          <cell r="H58">
            <v>133</v>
          </cell>
          <cell r="I58">
            <v>266</v>
          </cell>
          <cell r="J58">
            <v>45964</v>
          </cell>
          <cell r="K58">
            <v>11</v>
          </cell>
          <cell r="L58">
            <v>2025</v>
          </cell>
          <cell r="M58">
            <v>46097</v>
          </cell>
          <cell r="N58">
            <v>3</v>
          </cell>
          <cell r="O58">
            <v>2026</v>
          </cell>
          <cell r="P58">
            <v>0.9</v>
          </cell>
          <cell r="Q58" t="str">
            <v>C</v>
          </cell>
          <cell r="R58">
            <v>0</v>
          </cell>
          <cell r="S58">
            <v>34.590000000000003</v>
          </cell>
          <cell r="T58">
            <v>4000</v>
          </cell>
          <cell r="U58">
            <v>4000</v>
          </cell>
          <cell r="V58">
            <v>3000</v>
          </cell>
          <cell r="W58">
            <v>3000</v>
          </cell>
          <cell r="Y58">
            <v>5.61</v>
          </cell>
          <cell r="Z58">
            <v>0</v>
          </cell>
          <cell r="AA58">
            <v>0</v>
          </cell>
          <cell r="AB58">
            <v>0</v>
          </cell>
          <cell r="AC58">
            <v>3753</v>
          </cell>
          <cell r="AD58">
            <v>379</v>
          </cell>
          <cell r="AE58">
            <v>1166</v>
          </cell>
          <cell r="AF58">
            <v>1726</v>
          </cell>
          <cell r="AG58">
            <v>958</v>
          </cell>
          <cell r="AH58">
            <v>717</v>
          </cell>
          <cell r="AI58">
            <v>234</v>
          </cell>
          <cell r="AJ58">
            <v>0</v>
          </cell>
          <cell r="AK58">
            <v>0</v>
          </cell>
          <cell r="AL58">
            <v>5291.7359999999999</v>
          </cell>
          <cell r="AM58">
            <v>4082.8779999999997</v>
          </cell>
          <cell r="AN58">
            <v>7832.8780000000006</v>
          </cell>
          <cell r="AO58">
            <v>13832.878000000001</v>
          </cell>
          <cell r="AP58">
            <v>13832.878000000001</v>
          </cell>
          <cell r="AQ58">
            <v>13832.878000000001</v>
          </cell>
          <cell r="AR58">
            <v>13832.878000000001</v>
          </cell>
          <cell r="AS58">
            <v>12932.878000000001</v>
          </cell>
          <cell r="AT58">
            <v>10832.878000000001</v>
          </cell>
          <cell r="AU58">
            <v>7832.8780000000006</v>
          </cell>
          <cell r="AV58">
            <v>4832.8780000000006</v>
          </cell>
          <cell r="AW58">
            <v>4832.8780000000006</v>
          </cell>
          <cell r="AX58">
            <v>4832.8780000000006</v>
          </cell>
          <cell r="AY58">
            <v>4832.8780000000006</v>
          </cell>
          <cell r="AZ58">
            <v>4832.8780000000006</v>
          </cell>
          <cell r="BA58">
            <v>4832.8780000000006</v>
          </cell>
          <cell r="BC58">
            <v>0</v>
          </cell>
          <cell r="BD58">
            <v>0</v>
          </cell>
          <cell r="BE58">
            <v>853.16666666666663</v>
          </cell>
          <cell r="BF58">
            <v>853.16666666666663</v>
          </cell>
          <cell r="BG58">
            <v>506.05899999999997</v>
          </cell>
          <cell r="BH58">
            <v>908.28300000000002</v>
          </cell>
          <cell r="BI58">
            <v>1428.5509999999999</v>
          </cell>
          <cell r="BJ58">
            <v>631.75400000000002</v>
          </cell>
          <cell r="BK58">
            <v>722.47299999999996</v>
          </cell>
          <cell r="BL58">
            <v>1118.1389999999999</v>
          </cell>
          <cell r="BM58">
            <v>643.77700000000004</v>
          </cell>
          <cell r="BN58">
            <v>708.26400000000001</v>
          </cell>
          <cell r="BO58">
            <v>1208.8579999999999</v>
          </cell>
          <cell r="BP58">
            <v>2250</v>
          </cell>
          <cell r="BQ58">
            <v>3000</v>
          </cell>
          <cell r="BR58">
            <v>3000</v>
          </cell>
          <cell r="BS58">
            <v>3000</v>
          </cell>
          <cell r="BT58">
            <v>3000</v>
          </cell>
          <cell r="BU58">
            <v>3900</v>
          </cell>
          <cell r="BV58">
            <v>2100</v>
          </cell>
          <cell r="BW58">
            <v>3000</v>
          </cell>
          <cell r="BX58">
            <v>3000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1056.9815334618656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6000</v>
          </cell>
          <cell r="CR58">
            <v>0</v>
          </cell>
          <cell r="CS58">
            <v>6000</v>
          </cell>
          <cell r="CT58">
            <v>9000</v>
          </cell>
          <cell r="CU58">
            <v>3000</v>
          </cell>
          <cell r="CV58">
            <v>3000</v>
          </cell>
          <cell r="CW58">
            <v>3000</v>
          </cell>
          <cell r="CX58">
            <v>3000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I58">
            <v>34.590000000000003</v>
          </cell>
          <cell r="DJ58">
            <v>0</v>
          </cell>
          <cell r="DK58">
            <v>129816.27000000002</v>
          </cell>
          <cell r="DL58">
            <v>13109.61</v>
          </cell>
          <cell r="DM58">
            <v>40331.94</v>
          </cell>
          <cell r="DN58">
            <v>59702.340000000004</v>
          </cell>
          <cell r="DO58">
            <v>33137.22</v>
          </cell>
          <cell r="DP58">
            <v>24801.030000000002</v>
          </cell>
          <cell r="DQ58">
            <v>8094.06</v>
          </cell>
          <cell r="DR58">
            <v>0</v>
          </cell>
          <cell r="DS58">
            <v>0</v>
          </cell>
          <cell r="DT58">
            <v>183041.14824000001</v>
          </cell>
          <cell r="DU58">
            <v>141226.75002000001</v>
          </cell>
          <cell r="DV58">
            <v>270939.25002000004</v>
          </cell>
          <cell r="DW58">
            <v>478479.25002000009</v>
          </cell>
          <cell r="DX58">
            <v>478479.25002000009</v>
          </cell>
          <cell r="DY58">
            <v>478479.25002000009</v>
          </cell>
          <cell r="DZ58">
            <v>478479.25002000009</v>
          </cell>
          <cell r="EA58">
            <v>447348.25002000009</v>
          </cell>
          <cell r="EB58">
            <v>374709.25002000004</v>
          </cell>
          <cell r="EC58">
            <v>270939.25002000004</v>
          </cell>
          <cell r="ED58">
            <v>167169.25002000004</v>
          </cell>
          <cell r="EE58">
            <v>167169.25002000004</v>
          </cell>
          <cell r="EF58">
            <v>167169.25002000004</v>
          </cell>
          <cell r="EG58">
            <v>167169.25002000004</v>
          </cell>
          <cell r="EH58">
            <v>167169.25002000004</v>
          </cell>
          <cell r="EI58">
            <v>167169.25002000004</v>
          </cell>
          <cell r="EL58">
            <v>0</v>
          </cell>
          <cell r="EM58">
            <v>0</v>
          </cell>
          <cell r="EN58">
            <v>29511.035</v>
          </cell>
          <cell r="EO58">
            <v>29511.035</v>
          </cell>
          <cell r="EP58">
            <v>17504.580809999999</v>
          </cell>
          <cell r="EQ58">
            <v>31417.508970000003</v>
          </cell>
          <cell r="ER58">
            <v>49413.579089999999</v>
          </cell>
          <cell r="ES58">
            <v>21852.370860000003</v>
          </cell>
          <cell r="ET58">
            <v>24990.341070000002</v>
          </cell>
          <cell r="EU58">
            <v>38676.428010000003</v>
          </cell>
          <cell r="EV58">
            <v>22268.246430000003</v>
          </cell>
          <cell r="EW58">
            <v>24498.851760000001</v>
          </cell>
          <cell r="EX58">
            <v>41814.398220000003</v>
          </cell>
          <cell r="EY58">
            <v>77827.500000000015</v>
          </cell>
          <cell r="EZ58">
            <v>103770.00000000001</v>
          </cell>
          <cell r="FA58">
            <v>103770.00000000001</v>
          </cell>
          <cell r="FB58">
            <v>103770.00000000001</v>
          </cell>
          <cell r="FC58">
            <v>103770.00000000001</v>
          </cell>
          <cell r="FD58">
            <v>134901</v>
          </cell>
          <cell r="FE58">
            <v>72639</v>
          </cell>
          <cell r="FF58">
            <v>103770.00000000001</v>
          </cell>
          <cell r="FG58">
            <v>103770.00000000001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24000</v>
          </cell>
          <cell r="FO58">
            <v>9000</v>
          </cell>
        </row>
        <row r="59">
          <cell r="A59" t="str">
            <v>000A3018</v>
          </cell>
          <cell r="B59" t="str">
            <v>PRUDENCE SENSACOES TEXTURIZADO RETARDANTE C/6</v>
          </cell>
          <cell r="C59" t="str">
            <v>PRUDENCE SENSACOES TEXTURIZADO RETARDANTE C/6</v>
          </cell>
          <cell r="D59" t="str">
            <v>OTC</v>
          </cell>
          <cell r="E59" t="str">
            <v>Thai Nippon</v>
          </cell>
          <cell r="G59">
            <v>96</v>
          </cell>
          <cell r="H59">
            <v>137</v>
          </cell>
          <cell r="I59">
            <v>233</v>
          </cell>
          <cell r="J59">
            <v>45927</v>
          </cell>
          <cell r="K59">
            <v>9</v>
          </cell>
          <cell r="L59">
            <v>2025</v>
          </cell>
          <cell r="M59">
            <v>46064</v>
          </cell>
          <cell r="N59">
            <v>2</v>
          </cell>
          <cell r="O59">
            <v>2026</v>
          </cell>
          <cell r="P59">
            <v>0.9</v>
          </cell>
          <cell r="Q59" t="str">
            <v>C</v>
          </cell>
          <cell r="R59">
            <v>37.270208366691961</v>
          </cell>
          <cell r="S59">
            <v>81.62</v>
          </cell>
          <cell r="T59">
            <v>100</v>
          </cell>
          <cell r="U59">
            <v>380</v>
          </cell>
          <cell r="V59">
            <v>3400</v>
          </cell>
          <cell r="W59">
            <v>3400</v>
          </cell>
          <cell r="X59" t="str">
            <v>gross</v>
          </cell>
          <cell r="Y59">
            <v>7.3</v>
          </cell>
          <cell r="Z59">
            <v>541</v>
          </cell>
          <cell r="AA59">
            <v>481</v>
          </cell>
          <cell r="AB59">
            <v>217</v>
          </cell>
          <cell r="AC59">
            <v>277</v>
          </cell>
          <cell r="AD59">
            <v>305</v>
          </cell>
          <cell r="AE59">
            <v>204</v>
          </cell>
          <cell r="AF59">
            <v>236</v>
          </cell>
          <cell r="AG59">
            <v>160</v>
          </cell>
          <cell r="AH59">
            <v>181</v>
          </cell>
          <cell r="AI59">
            <v>5519</v>
          </cell>
          <cell r="AJ59">
            <v>5093.8230000000003</v>
          </cell>
          <cell r="AK59">
            <v>4773.5740000000005</v>
          </cell>
          <cell r="AL59">
            <v>4423.8140000000003</v>
          </cell>
          <cell r="AM59">
            <v>4059.8450000000003</v>
          </cell>
          <cell r="AN59">
            <v>3653.2490000000003</v>
          </cell>
          <cell r="AO59">
            <v>3333.2490000000003</v>
          </cell>
          <cell r="AP59">
            <v>2983.2490000000003</v>
          </cell>
          <cell r="AQ59">
            <v>2619.2490000000003</v>
          </cell>
          <cell r="AR59">
            <v>2212.2490000000003</v>
          </cell>
          <cell r="AS59">
            <v>1875.2490000000003</v>
          </cell>
          <cell r="AT59">
            <v>1444.2490000000003</v>
          </cell>
          <cell r="AU59">
            <v>1052.2490000000003</v>
          </cell>
          <cell r="AV59">
            <v>660.24900000000025</v>
          </cell>
          <cell r="AW59">
            <v>660.24900000000025</v>
          </cell>
          <cell r="AX59">
            <v>660.24900000000025</v>
          </cell>
          <cell r="AY59">
            <v>660.24900000000025</v>
          </cell>
          <cell r="AZ59">
            <v>660.24900000000025</v>
          </cell>
          <cell r="BA59">
            <v>660.24900000000025</v>
          </cell>
          <cell r="BC59">
            <v>528.91</v>
          </cell>
          <cell r="BD59">
            <v>480</v>
          </cell>
          <cell r="BE59">
            <v>271</v>
          </cell>
          <cell r="BF59">
            <v>271</v>
          </cell>
          <cell r="BG59">
            <v>256.85500000000002</v>
          </cell>
          <cell r="BH59">
            <v>358.50400000000002</v>
          </cell>
          <cell r="BI59">
            <v>618.63800000000003</v>
          </cell>
          <cell r="BJ59">
            <v>281.99400000000003</v>
          </cell>
          <cell r="BK59">
            <v>325.714</v>
          </cell>
          <cell r="BL59">
            <v>425.17700000000002</v>
          </cell>
          <cell r="BM59">
            <v>320.24900000000002</v>
          </cell>
          <cell r="BN59">
            <v>349.76</v>
          </cell>
          <cell r="BO59">
            <v>363.96899999999999</v>
          </cell>
          <cell r="BP59">
            <v>406.596</v>
          </cell>
          <cell r="BQ59">
            <v>320</v>
          </cell>
          <cell r="BR59">
            <v>350</v>
          </cell>
          <cell r="BS59">
            <v>364</v>
          </cell>
          <cell r="BT59">
            <v>407</v>
          </cell>
          <cell r="BU59">
            <v>337</v>
          </cell>
          <cell r="BV59">
            <v>431</v>
          </cell>
          <cell r="BW59">
            <v>392</v>
          </cell>
          <cell r="BX59">
            <v>392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37.865046664572546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I59">
            <v>102.63</v>
          </cell>
          <cell r="DJ59">
            <v>22270.71</v>
          </cell>
          <cell r="DK59">
            <v>28428.51</v>
          </cell>
          <cell r="DL59">
            <v>31302.149999999998</v>
          </cell>
          <cell r="DM59">
            <v>20936.52</v>
          </cell>
          <cell r="DN59">
            <v>24220.68</v>
          </cell>
          <cell r="DO59">
            <v>16420.8</v>
          </cell>
          <cell r="DP59">
            <v>18576.03</v>
          </cell>
          <cell r="DQ59">
            <v>566414.97</v>
          </cell>
          <cell r="DR59">
            <v>522779.05449000001</v>
          </cell>
          <cell r="DS59">
            <v>489911.89962000004</v>
          </cell>
          <cell r="DT59">
            <v>454016.03081999999</v>
          </cell>
          <cell r="DU59">
            <v>416661.89234999998</v>
          </cell>
          <cell r="DV59">
            <v>374932.94487000001</v>
          </cell>
          <cell r="DW59">
            <v>342091.34487000003</v>
          </cell>
          <cell r="DX59">
            <v>306170.84487000003</v>
          </cell>
          <cell r="DY59">
            <v>268813.52487000002</v>
          </cell>
          <cell r="DZ59">
            <v>227043.11487000002</v>
          </cell>
          <cell r="EA59">
            <v>192456.80487000002</v>
          </cell>
          <cell r="EB59">
            <v>148223.27487000002</v>
          </cell>
          <cell r="EC59">
            <v>107992.31487000002</v>
          </cell>
          <cell r="ED59">
            <v>67761.354870000025</v>
          </cell>
          <cell r="EE59">
            <v>67761.354870000025</v>
          </cell>
          <cell r="EF59">
            <v>67761.354870000025</v>
          </cell>
          <cell r="EG59">
            <v>67761.354870000025</v>
          </cell>
          <cell r="EH59">
            <v>67761.354870000025</v>
          </cell>
          <cell r="EI59">
            <v>67761.354870000025</v>
          </cell>
          <cell r="EL59">
            <v>43169.6342</v>
          </cell>
          <cell r="EM59">
            <v>39177.600000000006</v>
          </cell>
          <cell r="EN59">
            <v>27812.73</v>
          </cell>
          <cell r="EO59">
            <v>27812.73</v>
          </cell>
          <cell r="EP59">
            <v>26361.02865</v>
          </cell>
          <cell r="EQ59">
            <v>36793.265520000001</v>
          </cell>
          <cell r="ER59">
            <v>63490.817940000001</v>
          </cell>
          <cell r="ES59">
            <v>28941.044220000003</v>
          </cell>
          <cell r="ET59">
            <v>33428.027819999996</v>
          </cell>
          <cell r="EU59">
            <v>43635.915509999999</v>
          </cell>
          <cell r="EV59">
            <v>32867.154869999998</v>
          </cell>
          <cell r="EW59">
            <v>35895.868799999997</v>
          </cell>
          <cell r="EX59">
            <v>37354.138469999998</v>
          </cell>
          <cell r="EY59">
            <v>41728.947479999995</v>
          </cell>
          <cell r="EZ59">
            <v>32841.599999999999</v>
          </cell>
          <cell r="FA59">
            <v>35920.5</v>
          </cell>
          <cell r="FB59">
            <v>37357.32</v>
          </cell>
          <cell r="FC59">
            <v>41770.409999999996</v>
          </cell>
          <cell r="FD59">
            <v>34586.31</v>
          </cell>
          <cell r="FE59">
            <v>44233.53</v>
          </cell>
          <cell r="FF59">
            <v>40230.959999999999</v>
          </cell>
          <cell r="FG59">
            <v>40230.959999999999</v>
          </cell>
          <cell r="FH59">
            <v>0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</row>
        <row r="60">
          <cell r="A60" t="str">
            <v>000A5037</v>
          </cell>
          <cell r="B60" t="str">
            <v>GEL PRUDENCE CHICLETE 100 G</v>
          </cell>
          <cell r="C60" t="str">
            <v>PRUDENCE GEL CHICLETE 100 G</v>
          </cell>
          <cell r="D60" t="str">
            <v>OTC</v>
          </cell>
          <cell r="E60" t="str">
            <v>Karex / NRS</v>
          </cell>
          <cell r="G60">
            <v>133</v>
          </cell>
          <cell r="H60">
            <v>133</v>
          </cell>
          <cell r="I60">
            <v>266</v>
          </cell>
          <cell r="J60">
            <v>45964</v>
          </cell>
          <cell r="K60">
            <v>11</v>
          </cell>
          <cell r="L60">
            <v>2025</v>
          </cell>
          <cell r="M60">
            <v>46097</v>
          </cell>
          <cell r="N60">
            <v>3</v>
          </cell>
          <cell r="O60">
            <v>2026</v>
          </cell>
          <cell r="P60">
            <v>0.95</v>
          </cell>
          <cell r="Q60" t="str">
            <v>B</v>
          </cell>
          <cell r="R60">
            <v>0</v>
          </cell>
          <cell r="S60">
            <v>109.07</v>
          </cell>
          <cell r="T60">
            <v>2700</v>
          </cell>
          <cell r="U60">
            <v>2700</v>
          </cell>
          <cell r="V60">
            <v>1340</v>
          </cell>
          <cell r="W60">
            <v>2680</v>
          </cell>
          <cell r="Y60">
            <v>15.72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1735.1</v>
          </cell>
          <cell r="AM60">
            <v>637.29999999999995</v>
          </cell>
          <cell r="AN60">
            <v>0</v>
          </cell>
          <cell r="AO60">
            <v>0</v>
          </cell>
          <cell r="AP60">
            <v>0</v>
          </cell>
          <cell r="AQ60">
            <v>2680</v>
          </cell>
          <cell r="AR60">
            <v>2680</v>
          </cell>
          <cell r="AS60">
            <v>2680</v>
          </cell>
          <cell r="AT60">
            <v>1617</v>
          </cell>
          <cell r="AU60">
            <v>1617</v>
          </cell>
          <cell r="AV60">
            <v>1617</v>
          </cell>
          <cell r="AW60">
            <v>1617</v>
          </cell>
          <cell r="AX60">
            <v>1617</v>
          </cell>
          <cell r="AY60">
            <v>1617</v>
          </cell>
          <cell r="AZ60">
            <v>1617</v>
          </cell>
          <cell r="BA60">
            <v>1617</v>
          </cell>
          <cell r="BC60">
            <v>-0.09</v>
          </cell>
          <cell r="BD60">
            <v>-0.17</v>
          </cell>
          <cell r="BE60">
            <v>0</v>
          </cell>
          <cell r="BF60">
            <v>0</v>
          </cell>
          <cell r="BG60">
            <v>382.89120833333345</v>
          </cell>
          <cell r="BH60">
            <v>641.16337083333303</v>
          </cell>
          <cell r="BI60">
            <v>676.01929999999982</v>
          </cell>
          <cell r="BJ60">
            <v>346.59120833333327</v>
          </cell>
          <cell r="BK60">
            <v>434.71009999999984</v>
          </cell>
          <cell r="BL60">
            <v>567.04720416666657</v>
          </cell>
          <cell r="BM60">
            <v>1419</v>
          </cell>
          <cell r="BN60">
            <v>944.9</v>
          </cell>
          <cell r="BO60">
            <v>1097.8</v>
          </cell>
          <cell r="BP60">
            <v>995.5</v>
          </cell>
          <cell r="BQ60">
            <v>1108.8</v>
          </cell>
          <cell r="BR60">
            <v>1078</v>
          </cell>
          <cell r="BS60">
            <v>0</v>
          </cell>
          <cell r="BT60">
            <v>0</v>
          </cell>
          <cell r="BU60">
            <v>0</v>
          </cell>
          <cell r="BV60">
            <v>1063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553.73521162179316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2680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2680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I60">
            <v>109.07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189247.35699999999</v>
          </cell>
          <cell r="DU60">
            <v>69510.310999999987</v>
          </cell>
          <cell r="DV60">
            <v>0</v>
          </cell>
          <cell r="DW60">
            <v>0</v>
          </cell>
          <cell r="DX60">
            <v>0</v>
          </cell>
          <cell r="DY60">
            <v>292307.59999999998</v>
          </cell>
          <cell r="DZ60">
            <v>292307.59999999998</v>
          </cell>
          <cell r="EA60">
            <v>292307.59999999998</v>
          </cell>
          <cell r="EB60">
            <v>176366.19</v>
          </cell>
          <cell r="EC60">
            <v>176366.19</v>
          </cell>
          <cell r="ED60">
            <v>176366.19</v>
          </cell>
          <cell r="EE60">
            <v>176366.19</v>
          </cell>
          <cell r="EF60">
            <v>176366.19</v>
          </cell>
          <cell r="EG60">
            <v>176366.19</v>
          </cell>
          <cell r="EH60">
            <v>176366.19</v>
          </cell>
          <cell r="EI60">
            <v>176366.19</v>
          </cell>
          <cell r="EL60">
            <v>-9.8162999999999982</v>
          </cell>
          <cell r="EM60">
            <v>-18.541900000000002</v>
          </cell>
          <cell r="EN60">
            <v>0</v>
          </cell>
          <cell r="EO60">
            <v>0</v>
          </cell>
          <cell r="EP60">
            <v>41761.944092916674</v>
          </cell>
          <cell r="EQ60">
            <v>69931.688856791632</v>
          </cell>
          <cell r="ER60">
            <v>73733.425050999969</v>
          </cell>
          <cell r="ES60">
            <v>37802.703092916658</v>
          </cell>
          <cell r="ET60">
            <v>47413.830606999982</v>
          </cell>
          <cell r="EU60">
            <v>61847.838558458323</v>
          </cell>
          <cell r="EV60">
            <v>154770.32999999999</v>
          </cell>
          <cell r="EW60">
            <v>103060.24299999999</v>
          </cell>
          <cell r="EX60">
            <v>119737.04599999999</v>
          </cell>
          <cell r="EY60">
            <v>108579.185</v>
          </cell>
          <cell r="EZ60">
            <v>120936.81599999999</v>
          </cell>
          <cell r="FA60">
            <v>117577.45999999999</v>
          </cell>
          <cell r="FB60">
            <v>0</v>
          </cell>
          <cell r="FC60">
            <v>0</v>
          </cell>
          <cell r="FD60">
            <v>0</v>
          </cell>
          <cell r="FE60">
            <v>115941.40999999999</v>
          </cell>
          <cell r="FF60">
            <v>0</v>
          </cell>
          <cell r="FG60">
            <v>0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2680</v>
          </cell>
          <cell r="FO60">
            <v>2680</v>
          </cell>
        </row>
        <row r="61">
          <cell r="A61" t="str">
            <v>000A2015</v>
          </cell>
          <cell r="B61" t="str">
            <v>PRUDENCE SUPER SENSITIVE L12P10</v>
          </cell>
          <cell r="C61" t="str">
            <v>PRUDENCE SUPER SENSITIVE L12P10</v>
          </cell>
          <cell r="D61" t="str">
            <v>OTC</v>
          </cell>
          <cell r="E61" t="str">
            <v>Thai Nippon</v>
          </cell>
          <cell r="G61">
            <v>96</v>
          </cell>
          <cell r="H61">
            <v>137</v>
          </cell>
          <cell r="I61">
            <v>233</v>
          </cell>
          <cell r="J61">
            <v>45927</v>
          </cell>
          <cell r="K61">
            <v>9</v>
          </cell>
          <cell r="L61">
            <v>2025</v>
          </cell>
          <cell r="M61">
            <v>46064</v>
          </cell>
          <cell r="N61">
            <v>2</v>
          </cell>
          <cell r="O61">
            <v>2026</v>
          </cell>
          <cell r="P61">
            <v>0.9</v>
          </cell>
          <cell r="Q61" t="str">
            <v>C</v>
          </cell>
          <cell r="R61">
            <v>57.694723058040879</v>
          </cell>
          <cell r="S61">
            <v>78.849999999999994</v>
          </cell>
          <cell r="T61">
            <v>1200</v>
          </cell>
          <cell r="U61">
            <v>1200</v>
          </cell>
          <cell r="V61">
            <v>3400</v>
          </cell>
          <cell r="W61">
            <v>3400</v>
          </cell>
          <cell r="X61" t="str">
            <v>gross</v>
          </cell>
          <cell r="Y61">
            <v>8.6999999999999993</v>
          </cell>
          <cell r="Z61">
            <v>1231</v>
          </cell>
          <cell r="AA61">
            <v>1318</v>
          </cell>
          <cell r="AB61">
            <v>895</v>
          </cell>
          <cell r="AC61">
            <v>724</v>
          </cell>
          <cell r="AD61">
            <v>607</v>
          </cell>
          <cell r="AE61">
            <v>865</v>
          </cell>
          <cell r="AF61">
            <v>1485</v>
          </cell>
          <cell r="AG61">
            <v>298</v>
          </cell>
          <cell r="AH61">
            <v>568</v>
          </cell>
          <cell r="AI61">
            <v>250</v>
          </cell>
          <cell r="AJ61">
            <v>0</v>
          </cell>
          <cell r="AK61">
            <v>0</v>
          </cell>
          <cell r="AL61">
            <v>2860.058</v>
          </cell>
          <cell r="AM61">
            <v>2308.0929999999998</v>
          </cell>
          <cell r="AN61">
            <v>5278.5439999999999</v>
          </cell>
          <cell r="AO61">
            <v>4278.5439999999999</v>
          </cell>
          <cell r="AP61">
            <v>3278.5439999999999</v>
          </cell>
          <cell r="AQ61">
            <v>2278.5439999999999</v>
          </cell>
          <cell r="AR61">
            <v>4678.5439999999999</v>
          </cell>
          <cell r="AS61">
            <v>3178.5439999999999</v>
          </cell>
          <cell r="AT61">
            <v>2678.5439999999999</v>
          </cell>
          <cell r="AU61">
            <v>1678.5439999999999</v>
          </cell>
          <cell r="AV61">
            <v>678.54399999999987</v>
          </cell>
          <cell r="AW61">
            <v>678.54399999999987</v>
          </cell>
          <cell r="AX61">
            <v>678.54399999999987</v>
          </cell>
          <cell r="AY61">
            <v>678.54399999999987</v>
          </cell>
          <cell r="AZ61">
            <v>678.54399999999987</v>
          </cell>
          <cell r="BA61">
            <v>678.54399999999987</v>
          </cell>
          <cell r="BC61">
            <v>1178</v>
          </cell>
          <cell r="BD61">
            <v>1317.75</v>
          </cell>
          <cell r="BE61">
            <v>394.16666666666669</v>
          </cell>
          <cell r="BF61">
            <v>394.16666666666669</v>
          </cell>
          <cell r="BG61">
            <v>230.62299999999999</v>
          </cell>
          <cell r="BH61">
            <v>426.27</v>
          </cell>
          <cell r="BI61">
            <v>539.94200000000001</v>
          </cell>
          <cell r="BJ61">
            <v>285.27300000000002</v>
          </cell>
          <cell r="BK61">
            <v>372.71300000000002</v>
          </cell>
          <cell r="BL61">
            <v>499.50099999999998</v>
          </cell>
          <cell r="BM61">
            <v>366.15499999999997</v>
          </cell>
          <cell r="BN61">
            <v>539.94200000000001</v>
          </cell>
          <cell r="BO61">
            <v>551.96500000000003</v>
          </cell>
          <cell r="BP61">
            <v>429.54899999999998</v>
          </cell>
          <cell r="BQ61">
            <v>1000</v>
          </cell>
          <cell r="BR61">
            <v>1000</v>
          </cell>
          <cell r="BS61">
            <v>1000</v>
          </cell>
          <cell r="BT61">
            <v>1000</v>
          </cell>
          <cell r="BU61">
            <v>1500</v>
          </cell>
          <cell r="BV61">
            <v>500</v>
          </cell>
          <cell r="BW61">
            <v>1000</v>
          </cell>
          <cell r="BX61">
            <v>1000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337.25532168411547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3400</v>
          </cell>
          <cell r="CR61">
            <v>0</v>
          </cell>
          <cell r="CS61">
            <v>3400</v>
          </cell>
          <cell r="CT61">
            <v>0</v>
          </cell>
          <cell r="CU61">
            <v>0</v>
          </cell>
          <cell r="CV61">
            <v>0</v>
          </cell>
          <cell r="CW61">
            <v>3400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I61">
            <v>73.84</v>
          </cell>
          <cell r="DJ61">
            <v>66086.8</v>
          </cell>
          <cell r="DK61">
            <v>53460.160000000003</v>
          </cell>
          <cell r="DL61">
            <v>44820.880000000005</v>
          </cell>
          <cell r="DM61">
            <v>63871.600000000006</v>
          </cell>
          <cell r="DN61">
            <v>109652.40000000001</v>
          </cell>
          <cell r="DO61">
            <v>22004.32</v>
          </cell>
          <cell r="DP61">
            <v>41941.120000000003</v>
          </cell>
          <cell r="DQ61">
            <v>18460</v>
          </cell>
          <cell r="DR61">
            <v>0</v>
          </cell>
          <cell r="DS61">
            <v>0</v>
          </cell>
          <cell r="DT61">
            <v>211186.68272000001</v>
          </cell>
          <cell r="DU61">
            <v>170429.58712000001</v>
          </cell>
          <cell r="DV61">
            <v>389767.68896</v>
          </cell>
          <cell r="DW61">
            <v>315927.68896</v>
          </cell>
          <cell r="DX61">
            <v>242087.68896</v>
          </cell>
          <cell r="DY61">
            <v>168247.68896</v>
          </cell>
          <cell r="DZ61">
            <v>345463.68896</v>
          </cell>
          <cell r="EA61">
            <v>234703.68896</v>
          </cell>
          <cell r="EB61">
            <v>197783.68896</v>
          </cell>
          <cell r="EC61">
            <v>123943.68896</v>
          </cell>
          <cell r="ED61">
            <v>50103.688959999992</v>
          </cell>
          <cell r="EE61">
            <v>50103.688959999992</v>
          </cell>
          <cell r="EF61">
            <v>50103.688959999992</v>
          </cell>
          <cell r="EG61">
            <v>50103.688959999992</v>
          </cell>
          <cell r="EH61">
            <v>50103.688959999992</v>
          </cell>
          <cell r="EI61">
            <v>50103.688959999992</v>
          </cell>
          <cell r="EL61">
            <v>92885.299999999988</v>
          </cell>
          <cell r="EM61">
            <v>103904.58749999999</v>
          </cell>
          <cell r="EN61">
            <v>29105.26666666667</v>
          </cell>
          <cell r="EO61">
            <v>29105.26666666667</v>
          </cell>
          <cell r="EP61">
            <v>17029.20232</v>
          </cell>
          <cell r="EQ61">
            <v>31475.7768</v>
          </cell>
          <cell r="ER61">
            <v>39869.317280000003</v>
          </cell>
          <cell r="ES61">
            <v>21064.558320000004</v>
          </cell>
          <cell r="ET61">
            <v>27521.127920000003</v>
          </cell>
          <cell r="EU61">
            <v>36883.153839999999</v>
          </cell>
          <cell r="EV61">
            <v>27036.885200000001</v>
          </cell>
          <cell r="EW61">
            <v>39869.317280000003</v>
          </cell>
          <cell r="EX61">
            <v>40757.095600000008</v>
          </cell>
          <cell r="EY61">
            <v>31717.898160000001</v>
          </cell>
          <cell r="EZ61">
            <v>73840</v>
          </cell>
          <cell r="FA61">
            <v>73840</v>
          </cell>
          <cell r="FB61">
            <v>73840</v>
          </cell>
          <cell r="FC61">
            <v>73840</v>
          </cell>
          <cell r="FD61">
            <v>110760</v>
          </cell>
          <cell r="FE61">
            <v>36920</v>
          </cell>
          <cell r="FF61">
            <v>73840</v>
          </cell>
          <cell r="FG61">
            <v>73840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6800</v>
          </cell>
          <cell r="FO61">
            <v>3400</v>
          </cell>
        </row>
        <row r="62">
          <cell r="A62" t="str">
            <v>000EC0001</v>
          </cell>
          <cell r="B62" t="str">
            <v>SAYA CONTROL</v>
          </cell>
          <cell r="C62" t="str">
            <v>SAYA CONTROL</v>
          </cell>
          <cell r="D62" t="str">
            <v>Ethical</v>
          </cell>
          <cell r="E62" t="str">
            <v>Senador / Mylan</v>
          </cell>
          <cell r="G62">
            <v>176</v>
          </cell>
          <cell r="H62">
            <v>100</v>
          </cell>
          <cell r="I62">
            <v>276</v>
          </cell>
          <cell r="J62">
            <v>46007</v>
          </cell>
          <cell r="K62">
            <v>12</v>
          </cell>
          <cell r="L62">
            <v>2025</v>
          </cell>
          <cell r="M62">
            <v>46107</v>
          </cell>
          <cell r="N62">
            <v>3</v>
          </cell>
          <cell r="O62">
            <v>2026</v>
          </cell>
          <cell r="P62">
            <v>0.98</v>
          </cell>
          <cell r="Q62" t="str">
            <v>A</v>
          </cell>
          <cell r="R62">
            <v>20.914199999999997</v>
          </cell>
          <cell r="S62">
            <v>3.01</v>
          </cell>
          <cell r="T62">
            <v>1058500</v>
          </cell>
          <cell r="U62">
            <v>1058500</v>
          </cell>
          <cell r="V62">
            <v>130000</v>
          </cell>
          <cell r="W62">
            <v>1040000</v>
          </cell>
          <cell r="Y62">
            <v>0.34</v>
          </cell>
          <cell r="Z62">
            <v>45720</v>
          </cell>
          <cell r="AA62">
            <v>23238</v>
          </cell>
          <cell r="AB62">
            <v>42300</v>
          </cell>
          <cell r="AC62">
            <v>1260</v>
          </cell>
          <cell r="AD62">
            <v>25380</v>
          </cell>
          <cell r="AE62">
            <v>56080</v>
          </cell>
          <cell r="AF62">
            <v>32580</v>
          </cell>
          <cell r="AG62">
            <v>361080</v>
          </cell>
          <cell r="AH62">
            <v>18360</v>
          </cell>
          <cell r="AI62">
            <v>5085</v>
          </cell>
          <cell r="AJ62">
            <v>15085</v>
          </cell>
          <cell r="AK62">
            <v>15085</v>
          </cell>
          <cell r="AL62">
            <v>0</v>
          </cell>
          <cell r="AM62">
            <v>0</v>
          </cell>
          <cell r="AN62">
            <v>0</v>
          </cell>
          <cell r="AO62">
            <v>390000</v>
          </cell>
          <cell r="AP62">
            <v>0</v>
          </cell>
          <cell r="AQ62">
            <v>690000</v>
          </cell>
          <cell r="AR62">
            <v>1640000</v>
          </cell>
          <cell r="AS62">
            <v>1510000</v>
          </cell>
          <cell r="AT62">
            <v>1790000</v>
          </cell>
          <cell r="AU62">
            <v>1430000</v>
          </cell>
          <cell r="AV62">
            <v>1190000</v>
          </cell>
          <cell r="AW62">
            <v>1190000</v>
          </cell>
          <cell r="AX62">
            <v>1190000</v>
          </cell>
          <cell r="AY62">
            <v>1190000</v>
          </cell>
          <cell r="AZ62">
            <v>1190000</v>
          </cell>
          <cell r="BA62">
            <v>1190000</v>
          </cell>
          <cell r="BC62">
            <v>45720</v>
          </cell>
          <cell r="BD62">
            <v>0</v>
          </cell>
          <cell r="BE62">
            <v>50000</v>
          </cell>
          <cell r="BF62">
            <v>50000</v>
          </cell>
          <cell r="BG62">
            <v>36000</v>
          </cell>
          <cell r="BH62">
            <v>24000</v>
          </cell>
          <cell r="BI62">
            <v>84000</v>
          </cell>
          <cell r="BJ62">
            <v>42000</v>
          </cell>
          <cell r="BK62">
            <v>54000</v>
          </cell>
          <cell r="BL62">
            <v>110000</v>
          </cell>
          <cell r="BM62">
            <v>120000</v>
          </cell>
          <cell r="BN62">
            <v>120000</v>
          </cell>
          <cell r="BO62">
            <v>120000</v>
          </cell>
          <cell r="BP62">
            <v>390000</v>
          </cell>
          <cell r="BQ62">
            <v>120000</v>
          </cell>
          <cell r="BR62">
            <v>390000</v>
          </cell>
          <cell r="BS62">
            <v>90000</v>
          </cell>
          <cell r="BT62">
            <v>90000</v>
          </cell>
          <cell r="BU62">
            <v>650000</v>
          </cell>
          <cell r="BV62">
            <v>240000</v>
          </cell>
          <cell r="BW62">
            <v>360000</v>
          </cell>
          <cell r="BX62">
            <v>240000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169928.34085472918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120000</v>
          </cell>
          <cell r="CP62">
            <v>120000</v>
          </cell>
          <cell r="CQ62">
            <v>0</v>
          </cell>
          <cell r="CR62">
            <v>0</v>
          </cell>
          <cell r="CS62">
            <v>390000</v>
          </cell>
          <cell r="CT62">
            <v>510000</v>
          </cell>
          <cell r="CU62">
            <v>0</v>
          </cell>
          <cell r="CV62">
            <v>780000</v>
          </cell>
          <cell r="CW62">
            <v>1040000</v>
          </cell>
          <cell r="CX62">
            <v>520000</v>
          </cell>
          <cell r="CY62">
            <v>520000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I62">
            <v>3.01</v>
          </cell>
          <cell r="DJ62">
            <v>127322.99999999999</v>
          </cell>
          <cell r="DK62">
            <v>3792.6</v>
          </cell>
          <cell r="DL62">
            <v>76393.799999999988</v>
          </cell>
          <cell r="DM62">
            <v>168800.8</v>
          </cell>
          <cell r="DN62">
            <v>98065.799999999988</v>
          </cell>
          <cell r="DO62">
            <v>1086850.7999999998</v>
          </cell>
          <cell r="DP62">
            <v>55263.6</v>
          </cell>
          <cell r="DQ62">
            <v>15305.849999999999</v>
          </cell>
          <cell r="DR62">
            <v>45405.85</v>
          </cell>
          <cell r="DS62">
            <v>45405.85</v>
          </cell>
          <cell r="DT62">
            <v>0</v>
          </cell>
          <cell r="DU62">
            <v>0</v>
          </cell>
          <cell r="DV62">
            <v>0</v>
          </cell>
          <cell r="DW62">
            <v>1173900</v>
          </cell>
          <cell r="DX62">
            <v>0</v>
          </cell>
          <cell r="DY62">
            <v>2076899.9999999998</v>
          </cell>
          <cell r="DZ62">
            <v>4936400</v>
          </cell>
          <cell r="EA62">
            <v>4545100</v>
          </cell>
          <cell r="EB62">
            <v>5387900</v>
          </cell>
          <cell r="EC62">
            <v>4304300</v>
          </cell>
          <cell r="ED62">
            <v>3581899.9999999995</v>
          </cell>
          <cell r="EE62">
            <v>3581899.9999999995</v>
          </cell>
          <cell r="EF62">
            <v>3581899.9999999995</v>
          </cell>
          <cell r="EG62">
            <v>3581899.9999999995</v>
          </cell>
          <cell r="EH62">
            <v>3581899.9999999995</v>
          </cell>
          <cell r="EI62">
            <v>3581899.9999999995</v>
          </cell>
          <cell r="EL62">
            <v>137617.19999999998</v>
          </cell>
          <cell r="EM62">
            <v>0</v>
          </cell>
          <cell r="EN62">
            <v>150500</v>
          </cell>
          <cell r="EO62">
            <v>150500</v>
          </cell>
          <cell r="EP62">
            <v>108359.99999999999</v>
          </cell>
          <cell r="EQ62">
            <v>72240</v>
          </cell>
          <cell r="ER62">
            <v>252839.99999999997</v>
          </cell>
          <cell r="ES62">
            <v>126419.99999999999</v>
          </cell>
          <cell r="ET62">
            <v>162540</v>
          </cell>
          <cell r="EU62">
            <v>331100</v>
          </cell>
          <cell r="EV62">
            <v>361200</v>
          </cell>
          <cell r="EW62">
            <v>361200</v>
          </cell>
          <cell r="EX62">
            <v>361200</v>
          </cell>
          <cell r="EY62">
            <v>1173900</v>
          </cell>
          <cell r="EZ62">
            <v>361200</v>
          </cell>
          <cell r="FA62">
            <v>1173900</v>
          </cell>
          <cell r="FB62">
            <v>270900</v>
          </cell>
          <cell r="FC62">
            <v>270900</v>
          </cell>
          <cell r="FD62">
            <v>1956499.9999999998</v>
          </cell>
          <cell r="FE62">
            <v>722400</v>
          </cell>
          <cell r="FF62">
            <v>1083600</v>
          </cell>
          <cell r="FG62">
            <v>722400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1920000</v>
          </cell>
          <cell r="FO62">
            <v>2080000</v>
          </cell>
        </row>
        <row r="63">
          <cell r="A63" t="str">
            <v>000X0108</v>
          </cell>
          <cell r="B63" t="str">
            <v>SR10 CANULA IPAS ENGATE RAPIDO</v>
          </cell>
          <cell r="C63" t="str">
            <v>SR10 CANULA IPAS ENGATE RAPIDO</v>
          </cell>
          <cell r="D63" t="str">
            <v>Ethical</v>
          </cell>
          <cell r="E63" t="str">
            <v>DKT WCG</v>
          </cell>
          <cell r="G63">
            <v>152</v>
          </cell>
          <cell r="H63">
            <v>66</v>
          </cell>
          <cell r="I63">
            <v>218</v>
          </cell>
          <cell r="J63">
            <v>45983</v>
          </cell>
          <cell r="K63">
            <v>11</v>
          </cell>
          <cell r="L63">
            <v>2025</v>
          </cell>
          <cell r="M63">
            <v>46049</v>
          </cell>
          <cell r="N63">
            <v>1</v>
          </cell>
          <cell r="O63">
            <v>2026</v>
          </cell>
          <cell r="P63">
            <v>0.9</v>
          </cell>
          <cell r="Q63" t="str">
            <v>C</v>
          </cell>
          <cell r="R63">
            <v>15.422523140212549</v>
          </cell>
          <cell r="S63">
            <v>8.85</v>
          </cell>
          <cell r="T63">
            <v>300</v>
          </cell>
          <cell r="U63">
            <v>590</v>
          </cell>
          <cell r="V63">
            <v>1000</v>
          </cell>
          <cell r="W63">
            <v>1000</v>
          </cell>
          <cell r="Y63">
            <v>1.37</v>
          </cell>
          <cell r="Z63">
            <v>313</v>
          </cell>
          <cell r="AA63">
            <v>305</v>
          </cell>
          <cell r="AB63">
            <v>513</v>
          </cell>
          <cell r="AC63">
            <v>344</v>
          </cell>
          <cell r="AD63">
            <v>455</v>
          </cell>
          <cell r="AE63">
            <v>152</v>
          </cell>
          <cell r="AF63">
            <v>600</v>
          </cell>
          <cell r="AG63">
            <v>458</v>
          </cell>
          <cell r="AH63">
            <v>82</v>
          </cell>
          <cell r="AI63">
            <v>1577</v>
          </cell>
          <cell r="AJ63">
            <v>4926</v>
          </cell>
          <cell r="AK63">
            <v>4333</v>
          </cell>
          <cell r="AL63">
            <v>3747</v>
          </cell>
          <cell r="AM63">
            <v>4161</v>
          </cell>
          <cell r="AN63">
            <v>3575</v>
          </cell>
          <cell r="AO63">
            <v>2978</v>
          </cell>
          <cell r="AP63">
            <v>3435</v>
          </cell>
          <cell r="AQ63">
            <v>2784</v>
          </cell>
          <cell r="AR63">
            <v>2350</v>
          </cell>
          <cell r="AS63">
            <v>1699</v>
          </cell>
          <cell r="AT63">
            <v>1309</v>
          </cell>
          <cell r="AU63">
            <v>657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C63">
            <v>303</v>
          </cell>
          <cell r="BD63">
            <v>296</v>
          </cell>
          <cell r="BE63">
            <v>550</v>
          </cell>
          <cell r="BF63">
            <v>740</v>
          </cell>
          <cell r="BG63">
            <v>342</v>
          </cell>
          <cell r="BH63">
            <v>543</v>
          </cell>
          <cell r="BI63">
            <v>651</v>
          </cell>
          <cell r="BJ63">
            <v>434</v>
          </cell>
          <cell r="BK63">
            <v>651</v>
          </cell>
          <cell r="BL63">
            <v>651</v>
          </cell>
          <cell r="BM63">
            <v>593</v>
          </cell>
          <cell r="BN63">
            <v>586</v>
          </cell>
          <cell r="BO63">
            <v>586</v>
          </cell>
          <cell r="BP63">
            <v>586</v>
          </cell>
          <cell r="BQ63">
            <v>597</v>
          </cell>
          <cell r="BR63">
            <v>543</v>
          </cell>
          <cell r="BS63">
            <v>651</v>
          </cell>
          <cell r="BT63">
            <v>434</v>
          </cell>
          <cell r="BU63">
            <v>651</v>
          </cell>
          <cell r="BV63">
            <v>390</v>
          </cell>
          <cell r="BW63">
            <v>652</v>
          </cell>
          <cell r="BX63">
            <v>780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99.032305011533566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4000</v>
          </cell>
          <cell r="CP63">
            <v>0</v>
          </cell>
          <cell r="CQ63">
            <v>0</v>
          </cell>
          <cell r="CR63">
            <v>1000</v>
          </cell>
          <cell r="CS63">
            <v>0</v>
          </cell>
          <cell r="CT63">
            <v>0</v>
          </cell>
          <cell r="CU63">
            <v>1000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I63">
            <v>10.18</v>
          </cell>
          <cell r="DJ63">
            <v>5222.34</v>
          </cell>
          <cell r="DK63">
            <v>3501.92</v>
          </cell>
          <cell r="DL63">
            <v>4631.8999999999996</v>
          </cell>
          <cell r="DM63">
            <v>1547.36</v>
          </cell>
          <cell r="DN63">
            <v>6108</v>
          </cell>
          <cell r="DO63">
            <v>4662.4399999999996</v>
          </cell>
          <cell r="DP63">
            <v>834.76</v>
          </cell>
          <cell r="DQ63">
            <v>16053.859999999999</v>
          </cell>
          <cell r="DR63">
            <v>50146.68</v>
          </cell>
          <cell r="DS63">
            <v>44109.94</v>
          </cell>
          <cell r="DT63">
            <v>38144.46</v>
          </cell>
          <cell r="DU63">
            <v>42358.979999999996</v>
          </cell>
          <cell r="DV63">
            <v>36393.5</v>
          </cell>
          <cell r="DW63">
            <v>30316.04</v>
          </cell>
          <cell r="DX63">
            <v>34968.299999999996</v>
          </cell>
          <cell r="DY63">
            <v>28341.119999999999</v>
          </cell>
          <cell r="DZ63">
            <v>23923</v>
          </cell>
          <cell r="EA63">
            <v>17295.82</v>
          </cell>
          <cell r="EB63">
            <v>13325.619999999999</v>
          </cell>
          <cell r="EC63">
            <v>6688.26</v>
          </cell>
          <cell r="ED63">
            <v>0</v>
          </cell>
          <cell r="EE63">
            <v>0</v>
          </cell>
          <cell r="EF63">
            <v>0</v>
          </cell>
          <cell r="EG63">
            <v>0</v>
          </cell>
          <cell r="EH63">
            <v>0</v>
          </cell>
          <cell r="EI63">
            <v>0</v>
          </cell>
          <cell r="EL63">
            <v>2681.5499999999997</v>
          </cell>
          <cell r="EM63">
            <v>2619.6</v>
          </cell>
          <cell r="EN63">
            <v>5599</v>
          </cell>
          <cell r="EO63">
            <v>7533.2</v>
          </cell>
          <cell r="EP63">
            <v>3481.56</v>
          </cell>
          <cell r="EQ63">
            <v>5527.74</v>
          </cell>
          <cell r="ER63">
            <v>6627.1799999999994</v>
          </cell>
          <cell r="ES63">
            <v>4418.12</v>
          </cell>
          <cell r="ET63">
            <v>6627.1799999999994</v>
          </cell>
          <cell r="EU63">
            <v>6627.1799999999994</v>
          </cell>
          <cell r="EV63">
            <v>6036.74</v>
          </cell>
          <cell r="EW63">
            <v>5965.48</v>
          </cell>
          <cell r="EX63">
            <v>5965.48</v>
          </cell>
          <cell r="EY63">
            <v>5965.48</v>
          </cell>
          <cell r="EZ63">
            <v>6077.46</v>
          </cell>
          <cell r="FA63">
            <v>5527.74</v>
          </cell>
          <cell r="FB63">
            <v>6627.1799999999994</v>
          </cell>
          <cell r="FC63">
            <v>4418.12</v>
          </cell>
          <cell r="FD63">
            <v>6627.1799999999994</v>
          </cell>
          <cell r="FE63">
            <v>3970.2</v>
          </cell>
          <cell r="FF63">
            <v>6637.36</v>
          </cell>
          <cell r="FG63">
            <v>7940.4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6000</v>
          </cell>
          <cell r="FO63">
            <v>0</v>
          </cell>
        </row>
        <row r="64">
          <cell r="A64" t="str">
            <v>000X0109</v>
          </cell>
          <cell r="B64" t="str">
            <v>SR12 CANULA IPAS ENGATE RAPIDO</v>
          </cell>
          <cell r="C64" t="str">
            <v>SR12 CANULA IPAS ENGATE RAPIDO</v>
          </cell>
          <cell r="D64" t="str">
            <v>Ethical</v>
          </cell>
          <cell r="E64" t="str">
            <v>DKT WCG</v>
          </cell>
          <cell r="G64">
            <v>152</v>
          </cell>
          <cell r="H64">
            <v>66</v>
          </cell>
          <cell r="I64">
            <v>218</v>
          </cell>
          <cell r="J64">
            <v>45983</v>
          </cell>
          <cell r="K64">
            <v>11</v>
          </cell>
          <cell r="L64">
            <v>2025</v>
          </cell>
          <cell r="M64">
            <v>46049</v>
          </cell>
          <cell r="N64">
            <v>1</v>
          </cell>
          <cell r="O64">
            <v>2026</v>
          </cell>
          <cell r="P64">
            <v>0.9</v>
          </cell>
          <cell r="Q64" t="str">
            <v>C</v>
          </cell>
          <cell r="R64">
            <v>8.1663172253517562</v>
          </cell>
          <cell r="S64">
            <v>8.98</v>
          </cell>
          <cell r="T64">
            <v>300</v>
          </cell>
          <cell r="U64">
            <v>400</v>
          </cell>
          <cell r="V64">
            <v>1000</v>
          </cell>
          <cell r="W64">
            <v>1000</v>
          </cell>
          <cell r="Y64">
            <v>1.37</v>
          </cell>
          <cell r="Z64">
            <v>528</v>
          </cell>
          <cell r="AA64">
            <v>88</v>
          </cell>
          <cell r="AB64">
            <v>205</v>
          </cell>
          <cell r="AC64">
            <v>336</v>
          </cell>
          <cell r="AD64">
            <v>535</v>
          </cell>
          <cell r="AE64">
            <v>137</v>
          </cell>
          <cell r="AF64">
            <v>589</v>
          </cell>
          <cell r="AG64">
            <v>279</v>
          </cell>
          <cell r="AH64">
            <v>195</v>
          </cell>
          <cell r="AI64">
            <v>2617</v>
          </cell>
          <cell r="AJ64">
            <v>4237</v>
          </cell>
          <cell r="AK64">
            <v>3705</v>
          </cell>
          <cell r="AL64">
            <v>3289</v>
          </cell>
          <cell r="AM64">
            <v>4873</v>
          </cell>
          <cell r="AN64">
            <v>4457</v>
          </cell>
          <cell r="AO64">
            <v>4041</v>
          </cell>
          <cell r="AP64">
            <v>3625</v>
          </cell>
          <cell r="AQ64">
            <v>3245</v>
          </cell>
          <cell r="AR64">
            <v>3028</v>
          </cell>
          <cell r="AS64">
            <v>2648</v>
          </cell>
          <cell r="AT64">
            <v>2527</v>
          </cell>
          <cell r="AU64">
            <v>2142</v>
          </cell>
          <cell r="AV64">
            <v>1767</v>
          </cell>
          <cell r="AW64">
            <v>1767</v>
          </cell>
          <cell r="AX64">
            <v>1767</v>
          </cell>
          <cell r="AY64">
            <v>1767</v>
          </cell>
          <cell r="AZ64">
            <v>1767</v>
          </cell>
          <cell r="BA64">
            <v>1767</v>
          </cell>
          <cell r="BC64">
            <v>518</v>
          </cell>
          <cell r="BD64">
            <v>83</v>
          </cell>
          <cell r="BE64">
            <v>390</v>
          </cell>
          <cell r="BF64">
            <v>390</v>
          </cell>
          <cell r="BG64">
            <v>322</v>
          </cell>
          <cell r="BH64">
            <v>326</v>
          </cell>
          <cell r="BI64">
            <v>380</v>
          </cell>
          <cell r="BJ64">
            <v>217</v>
          </cell>
          <cell r="BK64">
            <v>380</v>
          </cell>
          <cell r="BL64">
            <v>380</v>
          </cell>
          <cell r="BM64">
            <v>532</v>
          </cell>
          <cell r="BN64">
            <v>416</v>
          </cell>
          <cell r="BO64">
            <v>416</v>
          </cell>
          <cell r="BP64">
            <v>416</v>
          </cell>
          <cell r="BQ64">
            <v>416</v>
          </cell>
          <cell r="BR64">
            <v>416</v>
          </cell>
          <cell r="BS64">
            <v>380</v>
          </cell>
          <cell r="BT64">
            <v>217</v>
          </cell>
          <cell r="BU64">
            <v>380</v>
          </cell>
          <cell r="BV64">
            <v>121</v>
          </cell>
          <cell r="BW64">
            <v>385</v>
          </cell>
          <cell r="BX64">
            <v>375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101.10263888615165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2000</v>
          </cell>
          <cell r="CP64">
            <v>0</v>
          </cell>
          <cell r="CQ64">
            <v>0</v>
          </cell>
          <cell r="CR64">
            <v>2000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I64">
            <v>10.210000000000001</v>
          </cell>
          <cell r="DJ64">
            <v>2093.0500000000002</v>
          </cell>
          <cell r="DK64">
            <v>3430.5600000000004</v>
          </cell>
          <cell r="DL64">
            <v>5462.35</v>
          </cell>
          <cell r="DM64">
            <v>1398.7700000000002</v>
          </cell>
          <cell r="DN64">
            <v>6013.6900000000005</v>
          </cell>
          <cell r="DO64">
            <v>2848.59</v>
          </cell>
          <cell r="DP64">
            <v>1990.9500000000003</v>
          </cell>
          <cell r="DQ64">
            <v>26719.570000000003</v>
          </cell>
          <cell r="DR64">
            <v>43259.770000000004</v>
          </cell>
          <cell r="DS64">
            <v>37828.050000000003</v>
          </cell>
          <cell r="DT64">
            <v>33580.69</v>
          </cell>
          <cell r="DU64">
            <v>49753.33</v>
          </cell>
          <cell r="DV64">
            <v>45505.97</v>
          </cell>
          <cell r="DW64">
            <v>41258.61</v>
          </cell>
          <cell r="DX64">
            <v>37011.25</v>
          </cell>
          <cell r="DY64">
            <v>33131.450000000004</v>
          </cell>
          <cell r="DZ64">
            <v>30915.88</v>
          </cell>
          <cell r="EA64">
            <v>27036.080000000002</v>
          </cell>
          <cell r="EB64">
            <v>25800.670000000002</v>
          </cell>
          <cell r="EC64">
            <v>21869.820000000003</v>
          </cell>
          <cell r="ED64">
            <v>18041.07</v>
          </cell>
          <cell r="EE64">
            <v>18041.07</v>
          </cell>
          <cell r="EF64">
            <v>18041.07</v>
          </cell>
          <cell r="EG64">
            <v>18041.07</v>
          </cell>
          <cell r="EH64">
            <v>18041.07</v>
          </cell>
          <cell r="EI64">
            <v>18041.07</v>
          </cell>
          <cell r="EL64">
            <v>4651.6400000000003</v>
          </cell>
          <cell r="EM64">
            <v>745.34</v>
          </cell>
          <cell r="EN64">
            <v>3981.9000000000005</v>
          </cell>
          <cell r="EO64">
            <v>3981.9000000000005</v>
          </cell>
          <cell r="EP64">
            <v>3287.6200000000003</v>
          </cell>
          <cell r="EQ64">
            <v>3328.4600000000005</v>
          </cell>
          <cell r="ER64">
            <v>3879.8</v>
          </cell>
          <cell r="ES64">
            <v>2215.5700000000002</v>
          </cell>
          <cell r="ET64">
            <v>3879.8</v>
          </cell>
          <cell r="EU64">
            <v>3879.8</v>
          </cell>
          <cell r="EV64">
            <v>5431.72</v>
          </cell>
          <cell r="EW64">
            <v>4247.3600000000006</v>
          </cell>
          <cell r="EX64">
            <v>4247.3600000000006</v>
          </cell>
          <cell r="EY64">
            <v>4247.3600000000006</v>
          </cell>
          <cell r="EZ64">
            <v>4247.3600000000006</v>
          </cell>
          <cell r="FA64">
            <v>4247.3600000000006</v>
          </cell>
          <cell r="FB64">
            <v>3879.8</v>
          </cell>
          <cell r="FC64">
            <v>2215.5700000000002</v>
          </cell>
          <cell r="FD64">
            <v>3879.8</v>
          </cell>
          <cell r="FE64">
            <v>1235.4100000000001</v>
          </cell>
          <cell r="FF64">
            <v>3930.8500000000004</v>
          </cell>
          <cell r="FG64">
            <v>3828.7500000000005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4000</v>
          </cell>
          <cell r="FO64">
            <v>0</v>
          </cell>
        </row>
        <row r="65">
          <cell r="A65" t="str">
            <v>000X0102</v>
          </cell>
          <cell r="B65" t="str">
            <v>SR4 CANULA IPAS ENGATE RAPIDO</v>
          </cell>
          <cell r="C65" t="str">
            <v>SR4 CANULA IPAS ENGATE RAPIDO</v>
          </cell>
          <cell r="D65" t="str">
            <v>Ethical</v>
          </cell>
          <cell r="E65" t="str">
            <v>DKT WCG</v>
          </cell>
          <cell r="G65">
            <v>152</v>
          </cell>
          <cell r="H65">
            <v>66</v>
          </cell>
          <cell r="I65">
            <v>218</v>
          </cell>
          <cell r="J65">
            <v>45983</v>
          </cell>
          <cell r="K65">
            <v>11</v>
          </cell>
          <cell r="L65">
            <v>2025</v>
          </cell>
          <cell r="M65">
            <v>46049</v>
          </cell>
          <cell r="N65">
            <v>1</v>
          </cell>
          <cell r="O65">
            <v>2026</v>
          </cell>
          <cell r="P65">
            <v>0.9</v>
          </cell>
          <cell r="Q65" t="str">
            <v>C</v>
          </cell>
          <cell r="R65">
            <v>25.595062867887858</v>
          </cell>
          <cell r="S65">
            <v>8.7799999999999994</v>
          </cell>
          <cell r="T65">
            <v>500</v>
          </cell>
          <cell r="U65">
            <v>500</v>
          </cell>
          <cell r="V65">
            <v>1000</v>
          </cell>
          <cell r="W65">
            <v>1000</v>
          </cell>
          <cell r="Y65">
            <v>1.37</v>
          </cell>
          <cell r="Z65">
            <v>220</v>
          </cell>
          <cell r="AA65">
            <v>452</v>
          </cell>
          <cell r="AB65">
            <v>430</v>
          </cell>
          <cell r="AC65">
            <v>302</v>
          </cell>
          <cell r="AD65">
            <v>748</v>
          </cell>
          <cell r="AE65">
            <v>155</v>
          </cell>
          <cell r="AF65">
            <v>464</v>
          </cell>
          <cell r="AG65">
            <v>176</v>
          </cell>
          <cell r="AH65">
            <v>320</v>
          </cell>
          <cell r="AI65">
            <v>2506</v>
          </cell>
          <cell r="AJ65">
            <v>3855</v>
          </cell>
          <cell r="AK65">
            <v>3515.395</v>
          </cell>
          <cell r="AL65">
            <v>3175.395</v>
          </cell>
          <cell r="AM65">
            <v>5835.3950000000004</v>
          </cell>
          <cell r="AN65">
            <v>5495.3950000000004</v>
          </cell>
          <cell r="AO65">
            <v>5155.3950000000004</v>
          </cell>
          <cell r="AP65">
            <v>4815.3950000000004</v>
          </cell>
          <cell r="AQ65">
            <v>4475.3950000000004</v>
          </cell>
          <cell r="AR65">
            <v>4135.3950000000004</v>
          </cell>
          <cell r="AS65">
            <v>3375.8950000000004</v>
          </cell>
          <cell r="AT65">
            <v>2855.8950000000004</v>
          </cell>
          <cell r="AU65">
            <v>2455.8950000000004</v>
          </cell>
          <cell r="AV65">
            <v>2115.8950000000004</v>
          </cell>
          <cell r="AW65">
            <v>2115.8950000000004</v>
          </cell>
          <cell r="AX65">
            <v>2115.8950000000004</v>
          </cell>
          <cell r="AY65">
            <v>2115.8950000000004</v>
          </cell>
          <cell r="AZ65">
            <v>2115.8950000000004</v>
          </cell>
          <cell r="BA65">
            <v>2115.8950000000004</v>
          </cell>
          <cell r="BC65">
            <v>220</v>
          </cell>
          <cell r="BD65">
            <v>447</v>
          </cell>
          <cell r="BE65">
            <v>500</v>
          </cell>
          <cell r="BF65">
            <v>500</v>
          </cell>
          <cell r="BG65">
            <v>159</v>
          </cell>
          <cell r="BH65">
            <v>651</v>
          </cell>
          <cell r="BI65">
            <v>846</v>
          </cell>
          <cell r="BJ65">
            <v>650</v>
          </cell>
          <cell r="BK65">
            <v>759.5</v>
          </cell>
          <cell r="BL65">
            <v>651</v>
          </cell>
          <cell r="BM65">
            <v>339.60499999999996</v>
          </cell>
          <cell r="BN65">
            <v>340</v>
          </cell>
          <cell r="BO65">
            <v>340</v>
          </cell>
          <cell r="BP65">
            <v>340</v>
          </cell>
          <cell r="BQ65">
            <v>340</v>
          </cell>
          <cell r="BR65">
            <v>340</v>
          </cell>
          <cell r="BS65">
            <v>340</v>
          </cell>
          <cell r="BT65">
            <v>340</v>
          </cell>
          <cell r="BU65">
            <v>759.5</v>
          </cell>
          <cell r="BV65">
            <v>520</v>
          </cell>
          <cell r="BW65">
            <v>400</v>
          </cell>
          <cell r="BX65">
            <v>340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140.32961580662828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2000</v>
          </cell>
          <cell r="CP65">
            <v>0</v>
          </cell>
          <cell r="CQ65">
            <v>0</v>
          </cell>
          <cell r="CR65">
            <v>3000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I65">
            <v>10.029999999999999</v>
          </cell>
          <cell r="DJ65">
            <v>4312.8999999999996</v>
          </cell>
          <cell r="DK65">
            <v>3029.06</v>
          </cell>
          <cell r="DL65">
            <v>7502.44</v>
          </cell>
          <cell r="DM65">
            <v>1554.6499999999999</v>
          </cell>
          <cell r="DN65">
            <v>4653.92</v>
          </cell>
          <cell r="DO65">
            <v>1765.28</v>
          </cell>
          <cell r="DP65">
            <v>3209.6</v>
          </cell>
          <cell r="DQ65">
            <v>25135.179999999997</v>
          </cell>
          <cell r="DR65">
            <v>38665.649999999994</v>
          </cell>
          <cell r="DS65">
            <v>35259.411849999997</v>
          </cell>
          <cell r="DT65">
            <v>31849.211849999996</v>
          </cell>
          <cell r="DU65">
            <v>58529.011850000003</v>
          </cell>
          <cell r="DV65">
            <v>55118.811849999998</v>
          </cell>
          <cell r="DW65">
            <v>51708.611850000001</v>
          </cell>
          <cell r="DX65">
            <v>48298.411850000004</v>
          </cell>
          <cell r="DY65">
            <v>44888.21185</v>
          </cell>
          <cell r="DZ65">
            <v>41478.011850000003</v>
          </cell>
          <cell r="EA65">
            <v>33860.226849999999</v>
          </cell>
          <cell r="EB65">
            <v>28644.626850000004</v>
          </cell>
          <cell r="EC65">
            <v>24632.626850000004</v>
          </cell>
          <cell r="ED65">
            <v>21222.426850000003</v>
          </cell>
          <cell r="EE65">
            <v>21222.426850000003</v>
          </cell>
          <cell r="EF65">
            <v>21222.426850000003</v>
          </cell>
          <cell r="EG65">
            <v>21222.426850000003</v>
          </cell>
          <cell r="EH65">
            <v>21222.426850000003</v>
          </cell>
          <cell r="EI65">
            <v>21222.426850000003</v>
          </cell>
          <cell r="EL65">
            <v>1931.6</v>
          </cell>
          <cell r="EM65">
            <v>3924.66</v>
          </cell>
          <cell r="EN65">
            <v>5015</v>
          </cell>
          <cell r="EO65">
            <v>5015</v>
          </cell>
          <cell r="EP65">
            <v>1594.77</v>
          </cell>
          <cell r="EQ65">
            <v>6529.53</v>
          </cell>
          <cell r="ER65">
            <v>8485.3799999999992</v>
          </cell>
          <cell r="ES65">
            <v>6519.5</v>
          </cell>
          <cell r="ET65">
            <v>7617.7849999999999</v>
          </cell>
          <cell r="EU65">
            <v>6529.53</v>
          </cell>
          <cell r="EV65">
            <v>3406.2381499999992</v>
          </cell>
          <cell r="EW65">
            <v>3410.2</v>
          </cell>
          <cell r="EX65">
            <v>3410.2</v>
          </cell>
          <cell r="EY65">
            <v>3410.2</v>
          </cell>
          <cell r="EZ65">
            <v>3410.2</v>
          </cell>
          <cell r="FA65">
            <v>3410.2</v>
          </cell>
          <cell r="FB65">
            <v>3410.2</v>
          </cell>
          <cell r="FC65">
            <v>3410.2</v>
          </cell>
          <cell r="FD65">
            <v>7617.7849999999999</v>
          </cell>
          <cell r="FE65">
            <v>5215.5999999999995</v>
          </cell>
          <cell r="FF65">
            <v>4011.9999999999995</v>
          </cell>
          <cell r="FG65">
            <v>3410.2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5000</v>
          </cell>
          <cell r="FO65">
            <v>0</v>
          </cell>
        </row>
        <row r="66">
          <cell r="A66" t="str">
            <v>000X0103</v>
          </cell>
          <cell r="B66" t="str">
            <v>SR5 CANULA IPAS ENGATE RAPIDO</v>
          </cell>
          <cell r="C66" t="str">
            <v>SR5 CANULA IPAS ENGATE RAPIDO</v>
          </cell>
          <cell r="D66" t="str">
            <v>Ethical</v>
          </cell>
          <cell r="E66" t="str">
            <v>DKT WCG</v>
          </cell>
          <cell r="G66">
            <v>152</v>
          </cell>
          <cell r="H66">
            <v>66</v>
          </cell>
          <cell r="I66">
            <v>218</v>
          </cell>
          <cell r="J66">
            <v>45983</v>
          </cell>
          <cell r="K66">
            <v>11</v>
          </cell>
          <cell r="L66">
            <v>2025</v>
          </cell>
          <cell r="M66">
            <v>46049</v>
          </cell>
          <cell r="N66">
            <v>1</v>
          </cell>
          <cell r="O66">
            <v>2026</v>
          </cell>
          <cell r="P66">
            <v>0.9</v>
          </cell>
          <cell r="Q66" t="str">
            <v>C</v>
          </cell>
          <cell r="R66">
            <v>23.773722800618508</v>
          </cell>
          <cell r="S66">
            <v>9.25</v>
          </cell>
          <cell r="T66">
            <v>500</v>
          </cell>
          <cell r="U66">
            <v>700</v>
          </cell>
          <cell r="V66">
            <v>1000</v>
          </cell>
          <cell r="W66">
            <v>1000</v>
          </cell>
          <cell r="Y66">
            <v>1.37</v>
          </cell>
          <cell r="Z66">
            <v>577</v>
          </cell>
          <cell r="AA66">
            <v>422</v>
          </cell>
          <cell r="AB66">
            <v>465</v>
          </cell>
          <cell r="AC66">
            <v>465</v>
          </cell>
          <cell r="AD66">
            <v>682</v>
          </cell>
          <cell r="AE66">
            <v>256</v>
          </cell>
          <cell r="AF66">
            <v>872</v>
          </cell>
          <cell r="AG66">
            <v>545</v>
          </cell>
          <cell r="AH66">
            <v>525</v>
          </cell>
          <cell r="AI66">
            <v>1412</v>
          </cell>
          <cell r="AJ66">
            <v>2652</v>
          </cell>
          <cell r="AK66">
            <v>1943</v>
          </cell>
          <cell r="AL66">
            <v>1227</v>
          </cell>
          <cell r="AM66">
            <v>4511</v>
          </cell>
          <cell r="AN66">
            <v>3773</v>
          </cell>
          <cell r="AO66">
            <v>3035</v>
          </cell>
          <cell r="AP66">
            <v>2319</v>
          </cell>
          <cell r="AQ66">
            <v>1614</v>
          </cell>
          <cell r="AR66">
            <v>2302</v>
          </cell>
          <cell r="AS66">
            <v>1651</v>
          </cell>
          <cell r="AT66">
            <v>1339</v>
          </cell>
          <cell r="AU66">
            <v>689</v>
          </cell>
          <cell r="AV66">
            <v>69</v>
          </cell>
          <cell r="AW66">
            <v>69</v>
          </cell>
          <cell r="AX66">
            <v>69</v>
          </cell>
          <cell r="AY66">
            <v>69</v>
          </cell>
          <cell r="AZ66">
            <v>69</v>
          </cell>
          <cell r="BA66">
            <v>69</v>
          </cell>
          <cell r="BC66">
            <v>577</v>
          </cell>
          <cell r="BD66">
            <v>597</v>
          </cell>
          <cell r="BE66">
            <v>450</v>
          </cell>
          <cell r="BF66">
            <v>470</v>
          </cell>
          <cell r="BG66">
            <v>271</v>
          </cell>
          <cell r="BH66">
            <v>697</v>
          </cell>
          <cell r="BI66">
            <v>705</v>
          </cell>
          <cell r="BJ66">
            <v>586</v>
          </cell>
          <cell r="BK66">
            <v>651</v>
          </cell>
          <cell r="BL66">
            <v>760</v>
          </cell>
          <cell r="BM66">
            <v>709</v>
          </cell>
          <cell r="BN66">
            <v>716</v>
          </cell>
          <cell r="BO66">
            <v>716</v>
          </cell>
          <cell r="BP66">
            <v>738</v>
          </cell>
          <cell r="BQ66">
            <v>738</v>
          </cell>
          <cell r="BR66">
            <v>716</v>
          </cell>
          <cell r="BS66">
            <v>705</v>
          </cell>
          <cell r="BT66">
            <v>312</v>
          </cell>
          <cell r="BU66">
            <v>651</v>
          </cell>
          <cell r="BV66">
            <v>312</v>
          </cell>
          <cell r="BW66">
            <v>650</v>
          </cell>
          <cell r="BX66">
            <v>620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151.56690153534731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2000</v>
          </cell>
          <cell r="CP66">
            <v>0</v>
          </cell>
          <cell r="CQ66">
            <v>0</v>
          </cell>
          <cell r="CR66">
            <v>4000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1000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I66">
            <v>10.06</v>
          </cell>
          <cell r="DJ66">
            <v>4677.9000000000005</v>
          </cell>
          <cell r="DK66">
            <v>4677.9000000000005</v>
          </cell>
          <cell r="DL66">
            <v>6860.92</v>
          </cell>
          <cell r="DM66">
            <v>2575.36</v>
          </cell>
          <cell r="DN66">
            <v>8772.32</v>
          </cell>
          <cell r="DO66">
            <v>5482.7</v>
          </cell>
          <cell r="DP66">
            <v>5281.5</v>
          </cell>
          <cell r="DQ66">
            <v>14204.720000000001</v>
          </cell>
          <cell r="DR66">
            <v>26679.120000000003</v>
          </cell>
          <cell r="DS66">
            <v>19546.580000000002</v>
          </cell>
          <cell r="DT66">
            <v>12343.62</v>
          </cell>
          <cell r="DU66">
            <v>45380.66</v>
          </cell>
          <cell r="DV66">
            <v>37956.380000000005</v>
          </cell>
          <cell r="DW66">
            <v>30532.100000000002</v>
          </cell>
          <cell r="DX66">
            <v>23329.14</v>
          </cell>
          <cell r="DY66">
            <v>16236.84</v>
          </cell>
          <cell r="DZ66">
            <v>23158.120000000003</v>
          </cell>
          <cell r="EA66">
            <v>16609.060000000001</v>
          </cell>
          <cell r="EB66">
            <v>13470.34</v>
          </cell>
          <cell r="EC66">
            <v>6931.34</v>
          </cell>
          <cell r="ED66">
            <v>694.14</v>
          </cell>
          <cell r="EE66">
            <v>694.14</v>
          </cell>
          <cell r="EF66">
            <v>694.14</v>
          </cell>
          <cell r="EG66">
            <v>694.14</v>
          </cell>
          <cell r="EH66">
            <v>694.14</v>
          </cell>
          <cell r="EI66">
            <v>694.14</v>
          </cell>
          <cell r="EL66">
            <v>5337.25</v>
          </cell>
          <cell r="EM66">
            <v>5522.25</v>
          </cell>
          <cell r="EN66">
            <v>4527</v>
          </cell>
          <cell r="EO66">
            <v>4728.2</v>
          </cell>
          <cell r="EP66">
            <v>2726.26</v>
          </cell>
          <cell r="EQ66">
            <v>7011.8200000000006</v>
          </cell>
          <cell r="ER66">
            <v>7092.3</v>
          </cell>
          <cell r="ES66">
            <v>5895.16</v>
          </cell>
          <cell r="ET66">
            <v>6549.06</v>
          </cell>
          <cell r="EU66">
            <v>7645.6</v>
          </cell>
          <cell r="EV66">
            <v>7132.54</v>
          </cell>
          <cell r="EW66">
            <v>7202.96</v>
          </cell>
          <cell r="EX66">
            <v>7202.96</v>
          </cell>
          <cell r="EY66">
            <v>7424.2800000000007</v>
          </cell>
          <cell r="EZ66">
            <v>7424.2800000000007</v>
          </cell>
          <cell r="FA66">
            <v>7202.96</v>
          </cell>
          <cell r="FB66">
            <v>7092.3</v>
          </cell>
          <cell r="FC66">
            <v>3138.7200000000003</v>
          </cell>
          <cell r="FD66">
            <v>6549.06</v>
          </cell>
          <cell r="FE66">
            <v>3138.7200000000003</v>
          </cell>
          <cell r="FF66">
            <v>6539</v>
          </cell>
          <cell r="FG66">
            <v>6237.2000000000007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6000</v>
          </cell>
          <cell r="FO66">
            <v>1000</v>
          </cell>
        </row>
        <row r="67">
          <cell r="A67" t="str">
            <v>000X0104</v>
          </cell>
          <cell r="B67" t="str">
            <v>SR6 CANULA IPAS ENGATE RAPIDO</v>
          </cell>
          <cell r="C67" t="str">
            <v>SR6 CANULA IPAS ENGATE RAPIDO</v>
          </cell>
          <cell r="D67" t="str">
            <v>Ethical</v>
          </cell>
          <cell r="E67" t="str">
            <v>DKT WCG</v>
          </cell>
          <cell r="G67">
            <v>152</v>
          </cell>
          <cell r="H67">
            <v>66</v>
          </cell>
          <cell r="I67">
            <v>218</v>
          </cell>
          <cell r="J67">
            <v>45983</v>
          </cell>
          <cell r="K67">
            <v>11</v>
          </cell>
          <cell r="L67">
            <v>2025</v>
          </cell>
          <cell r="M67">
            <v>46049</v>
          </cell>
          <cell r="N67">
            <v>1</v>
          </cell>
          <cell r="O67">
            <v>2026</v>
          </cell>
          <cell r="P67">
            <v>0.9</v>
          </cell>
          <cell r="Q67" t="str">
            <v>C</v>
          </cell>
          <cell r="R67">
            <v>27.810864641099741</v>
          </cell>
          <cell r="S67">
            <v>8.75</v>
          </cell>
          <cell r="T67">
            <v>600</v>
          </cell>
          <cell r="U67">
            <v>640</v>
          </cell>
          <cell r="V67">
            <v>1000</v>
          </cell>
          <cell r="W67">
            <v>1000</v>
          </cell>
          <cell r="Y67">
            <v>1.37</v>
          </cell>
          <cell r="Z67">
            <v>471</v>
          </cell>
          <cell r="AA67">
            <v>633</v>
          </cell>
          <cell r="AB67">
            <v>671</v>
          </cell>
          <cell r="AC67">
            <v>490</v>
          </cell>
          <cell r="AD67">
            <v>1128</v>
          </cell>
          <cell r="AE67">
            <v>344</v>
          </cell>
          <cell r="AF67">
            <v>1025</v>
          </cell>
          <cell r="AG67">
            <v>807</v>
          </cell>
          <cell r="AH67">
            <v>334</v>
          </cell>
          <cell r="AI67">
            <v>1429</v>
          </cell>
          <cell r="AJ67">
            <v>2669</v>
          </cell>
          <cell r="AK67">
            <v>1627</v>
          </cell>
          <cell r="AL67">
            <v>1084</v>
          </cell>
          <cell r="AM67">
            <v>2563</v>
          </cell>
          <cell r="AN67">
            <v>2042</v>
          </cell>
          <cell r="AO67">
            <v>1543</v>
          </cell>
          <cell r="AP67">
            <v>4044</v>
          </cell>
          <cell r="AQ67">
            <v>3339</v>
          </cell>
          <cell r="AR67">
            <v>2989</v>
          </cell>
          <cell r="AS67">
            <v>2338</v>
          </cell>
          <cell r="AT67">
            <v>1988</v>
          </cell>
          <cell r="AU67">
            <v>1338</v>
          </cell>
          <cell r="AV67">
            <v>718</v>
          </cell>
          <cell r="AW67">
            <v>718</v>
          </cell>
          <cell r="AX67">
            <v>718</v>
          </cell>
          <cell r="AY67">
            <v>718</v>
          </cell>
          <cell r="AZ67">
            <v>718</v>
          </cell>
          <cell r="BA67">
            <v>718</v>
          </cell>
          <cell r="BC67">
            <v>471</v>
          </cell>
          <cell r="BD67">
            <v>908</v>
          </cell>
          <cell r="BE67">
            <v>490</v>
          </cell>
          <cell r="BF67">
            <v>500</v>
          </cell>
          <cell r="BG67">
            <v>506</v>
          </cell>
          <cell r="BH67">
            <v>710</v>
          </cell>
          <cell r="BI67">
            <v>705</v>
          </cell>
          <cell r="BJ67">
            <v>651</v>
          </cell>
          <cell r="BK67">
            <v>651</v>
          </cell>
          <cell r="BL67">
            <v>760</v>
          </cell>
          <cell r="BM67">
            <v>1042</v>
          </cell>
          <cell r="BN67">
            <v>543</v>
          </cell>
          <cell r="BO67">
            <v>521</v>
          </cell>
          <cell r="BP67">
            <v>521</v>
          </cell>
          <cell r="BQ67">
            <v>499</v>
          </cell>
          <cell r="BR67">
            <v>499</v>
          </cell>
          <cell r="BS67">
            <v>705</v>
          </cell>
          <cell r="BT67">
            <v>350</v>
          </cell>
          <cell r="BU67">
            <v>651</v>
          </cell>
          <cell r="BV67">
            <v>350</v>
          </cell>
          <cell r="BW67">
            <v>650</v>
          </cell>
          <cell r="BX67">
            <v>620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182.12031103725818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2000</v>
          </cell>
          <cell r="CP67">
            <v>0</v>
          </cell>
          <cell r="CQ67">
            <v>0</v>
          </cell>
          <cell r="CR67">
            <v>2000</v>
          </cell>
          <cell r="CS67">
            <v>0</v>
          </cell>
          <cell r="CT67">
            <v>0</v>
          </cell>
          <cell r="CU67">
            <v>3000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I67">
            <v>10.08</v>
          </cell>
          <cell r="DJ67">
            <v>6763.68</v>
          </cell>
          <cell r="DK67">
            <v>4939.2</v>
          </cell>
          <cell r="DL67">
            <v>11370.24</v>
          </cell>
          <cell r="DM67">
            <v>3467.52</v>
          </cell>
          <cell r="DN67">
            <v>10332</v>
          </cell>
          <cell r="DO67">
            <v>8134.56</v>
          </cell>
          <cell r="DP67">
            <v>3366.72</v>
          </cell>
          <cell r="DQ67">
            <v>14404.32</v>
          </cell>
          <cell r="DR67">
            <v>26903.52</v>
          </cell>
          <cell r="DS67">
            <v>16400.16</v>
          </cell>
          <cell r="DT67">
            <v>10926.72</v>
          </cell>
          <cell r="DU67">
            <v>25835.040000000001</v>
          </cell>
          <cell r="DV67">
            <v>20583.36</v>
          </cell>
          <cell r="DW67">
            <v>15553.44</v>
          </cell>
          <cell r="DX67">
            <v>40763.519999999997</v>
          </cell>
          <cell r="DY67">
            <v>33657.120000000003</v>
          </cell>
          <cell r="DZ67">
            <v>30129.119999999999</v>
          </cell>
          <cell r="EA67">
            <v>23567.040000000001</v>
          </cell>
          <cell r="EB67">
            <v>20039.04</v>
          </cell>
          <cell r="EC67">
            <v>13487.04</v>
          </cell>
          <cell r="ED67">
            <v>7237.44</v>
          </cell>
          <cell r="EE67">
            <v>7237.44</v>
          </cell>
          <cell r="EF67">
            <v>7237.44</v>
          </cell>
          <cell r="EG67">
            <v>7237.44</v>
          </cell>
          <cell r="EH67">
            <v>7237.44</v>
          </cell>
          <cell r="EI67">
            <v>7237.44</v>
          </cell>
          <cell r="EL67">
            <v>4121.25</v>
          </cell>
          <cell r="EM67">
            <v>7945</v>
          </cell>
          <cell r="EN67">
            <v>4939.2</v>
          </cell>
          <cell r="EO67">
            <v>5040</v>
          </cell>
          <cell r="EP67">
            <v>5100.4800000000005</v>
          </cell>
          <cell r="EQ67">
            <v>7156.8</v>
          </cell>
          <cell r="ER67">
            <v>7106.4</v>
          </cell>
          <cell r="ES67">
            <v>6562.08</v>
          </cell>
          <cell r="ET67">
            <v>6562.08</v>
          </cell>
          <cell r="EU67">
            <v>7660.8</v>
          </cell>
          <cell r="EV67">
            <v>10503.36</v>
          </cell>
          <cell r="EW67">
            <v>5473.44</v>
          </cell>
          <cell r="EX67">
            <v>5251.68</v>
          </cell>
          <cell r="EY67">
            <v>5251.68</v>
          </cell>
          <cell r="EZ67">
            <v>5029.92</v>
          </cell>
          <cell r="FA67">
            <v>5029.92</v>
          </cell>
          <cell r="FB67">
            <v>7106.4</v>
          </cell>
          <cell r="FC67">
            <v>3528</v>
          </cell>
          <cell r="FD67">
            <v>6562.08</v>
          </cell>
          <cell r="FE67">
            <v>3528</v>
          </cell>
          <cell r="FF67">
            <v>6552</v>
          </cell>
          <cell r="FG67">
            <v>6249.6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7000</v>
          </cell>
          <cell r="FO67">
            <v>0</v>
          </cell>
        </row>
        <row r="68">
          <cell r="A68" t="str">
            <v>000X0105</v>
          </cell>
          <cell r="B68" t="str">
            <v>SR7 CANULA IPAS ENGATE RAPIDO</v>
          </cell>
          <cell r="C68" t="str">
            <v>SR7 CANULA IPAS ENGATE RAPIDO</v>
          </cell>
          <cell r="D68" t="str">
            <v>Ethical</v>
          </cell>
          <cell r="E68" t="str">
            <v>DKT WCG</v>
          </cell>
          <cell r="G68">
            <v>152</v>
          </cell>
          <cell r="H68">
            <v>66</v>
          </cell>
          <cell r="I68">
            <v>218</v>
          </cell>
          <cell r="J68">
            <v>45983</v>
          </cell>
          <cell r="K68">
            <v>11</v>
          </cell>
          <cell r="L68">
            <v>2025</v>
          </cell>
          <cell r="M68">
            <v>46049</v>
          </cell>
          <cell r="N68">
            <v>1</v>
          </cell>
          <cell r="O68">
            <v>2026</v>
          </cell>
          <cell r="P68">
            <v>0.9</v>
          </cell>
          <cell r="Q68" t="str">
            <v>C</v>
          </cell>
          <cell r="R68">
            <v>43.132274416310715</v>
          </cell>
          <cell r="S68">
            <v>9.0399999999999991</v>
          </cell>
          <cell r="T68">
            <v>700</v>
          </cell>
          <cell r="U68">
            <v>1070</v>
          </cell>
          <cell r="V68">
            <v>1000</v>
          </cell>
          <cell r="W68">
            <v>1000</v>
          </cell>
          <cell r="Y68">
            <v>1.37</v>
          </cell>
          <cell r="Z68">
            <v>671</v>
          </cell>
          <cell r="AA68">
            <v>1191</v>
          </cell>
          <cell r="AB68">
            <v>629</v>
          </cell>
          <cell r="AC68">
            <v>856</v>
          </cell>
          <cell r="AD68">
            <v>1189</v>
          </cell>
          <cell r="AE68">
            <v>407</v>
          </cell>
          <cell r="AF68">
            <v>1088</v>
          </cell>
          <cell r="AG68">
            <v>994</v>
          </cell>
          <cell r="AH68">
            <v>354</v>
          </cell>
          <cell r="AI68">
            <v>2572</v>
          </cell>
          <cell r="AJ68">
            <v>3373</v>
          </cell>
          <cell r="AK68">
            <v>2439</v>
          </cell>
          <cell r="AL68">
            <v>1458</v>
          </cell>
          <cell r="AM68">
            <v>5477</v>
          </cell>
          <cell r="AN68">
            <v>4496</v>
          </cell>
          <cell r="AO68">
            <v>3624</v>
          </cell>
          <cell r="AP68">
            <v>6752</v>
          </cell>
          <cell r="AQ68">
            <v>5226</v>
          </cell>
          <cell r="AR68">
            <v>5136</v>
          </cell>
          <cell r="AS68">
            <v>3828</v>
          </cell>
          <cell r="AT68">
            <v>2958</v>
          </cell>
          <cell r="AU68">
            <v>1658</v>
          </cell>
          <cell r="AV68">
            <v>318</v>
          </cell>
          <cell r="AW68">
            <v>318</v>
          </cell>
          <cell r="AX68">
            <v>318</v>
          </cell>
          <cell r="AY68">
            <v>318</v>
          </cell>
          <cell r="AZ68">
            <v>318</v>
          </cell>
          <cell r="BA68">
            <v>318</v>
          </cell>
          <cell r="BC68">
            <v>671</v>
          </cell>
          <cell r="BD68">
            <v>1243</v>
          </cell>
          <cell r="BE68">
            <v>590</v>
          </cell>
          <cell r="BF68">
            <v>550</v>
          </cell>
          <cell r="BG68">
            <v>509</v>
          </cell>
          <cell r="BH68">
            <v>763</v>
          </cell>
          <cell r="BI68">
            <v>1526</v>
          </cell>
          <cell r="BJ68">
            <v>1090</v>
          </cell>
          <cell r="BK68">
            <v>1308</v>
          </cell>
          <cell r="BL68">
            <v>1199</v>
          </cell>
          <cell r="BM68">
            <v>934</v>
          </cell>
          <cell r="BN68">
            <v>981</v>
          </cell>
          <cell r="BO68">
            <v>981</v>
          </cell>
          <cell r="BP68">
            <v>981</v>
          </cell>
          <cell r="BQ68">
            <v>872</v>
          </cell>
          <cell r="BR68">
            <v>872</v>
          </cell>
          <cell r="BS68">
            <v>1526</v>
          </cell>
          <cell r="BT68">
            <v>1090</v>
          </cell>
          <cell r="BU68">
            <v>1308</v>
          </cell>
          <cell r="BV68">
            <v>870</v>
          </cell>
          <cell r="BW68">
            <v>1300</v>
          </cell>
          <cell r="BX68">
            <v>1340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215.82887333279231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2000</v>
          </cell>
          <cell r="CP68">
            <v>0</v>
          </cell>
          <cell r="CQ68">
            <v>0</v>
          </cell>
          <cell r="CR68">
            <v>5000</v>
          </cell>
          <cell r="CS68">
            <v>0</v>
          </cell>
          <cell r="CT68">
            <v>0</v>
          </cell>
          <cell r="CU68">
            <v>4000</v>
          </cell>
          <cell r="CV68">
            <v>0</v>
          </cell>
          <cell r="CW68">
            <v>1000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I68">
            <v>9.85</v>
          </cell>
          <cell r="DJ68">
            <v>6195.65</v>
          </cell>
          <cell r="DK68">
            <v>8431.6</v>
          </cell>
          <cell r="DL68">
            <v>11711.65</v>
          </cell>
          <cell r="DM68">
            <v>4008.95</v>
          </cell>
          <cell r="DN68">
            <v>10716.8</v>
          </cell>
          <cell r="DO68">
            <v>9790.9</v>
          </cell>
          <cell r="DP68">
            <v>3486.9</v>
          </cell>
          <cell r="DQ68">
            <v>25334.2</v>
          </cell>
          <cell r="DR68">
            <v>33224.049999999996</v>
          </cell>
          <cell r="DS68">
            <v>24024.149999999998</v>
          </cell>
          <cell r="DT68">
            <v>14361.3</v>
          </cell>
          <cell r="DU68">
            <v>53948.45</v>
          </cell>
          <cell r="DV68">
            <v>44285.599999999999</v>
          </cell>
          <cell r="DW68">
            <v>35696.400000000001</v>
          </cell>
          <cell r="DX68">
            <v>66507.199999999997</v>
          </cell>
          <cell r="DY68">
            <v>51476.1</v>
          </cell>
          <cell r="DZ68">
            <v>50589.599999999999</v>
          </cell>
          <cell r="EA68">
            <v>37705.799999999996</v>
          </cell>
          <cell r="EB68">
            <v>29136.3</v>
          </cell>
          <cell r="EC68">
            <v>16331.3</v>
          </cell>
          <cell r="ED68">
            <v>3132.2999999999997</v>
          </cell>
          <cell r="EE68">
            <v>3132.2999999999997</v>
          </cell>
          <cell r="EF68">
            <v>3132.2999999999997</v>
          </cell>
          <cell r="EG68">
            <v>3132.2999999999997</v>
          </cell>
          <cell r="EH68">
            <v>3132.2999999999997</v>
          </cell>
          <cell r="EI68">
            <v>3132.2999999999997</v>
          </cell>
          <cell r="EL68">
            <v>6065.8399999999992</v>
          </cell>
          <cell r="EM68">
            <v>11236.72</v>
          </cell>
          <cell r="EN68">
            <v>5811.5</v>
          </cell>
          <cell r="EO68">
            <v>5417.5</v>
          </cell>
          <cell r="EP68">
            <v>5013.6499999999996</v>
          </cell>
          <cell r="EQ68">
            <v>7515.55</v>
          </cell>
          <cell r="ER68">
            <v>15031.1</v>
          </cell>
          <cell r="ES68">
            <v>10736.5</v>
          </cell>
          <cell r="ET68">
            <v>12883.8</v>
          </cell>
          <cell r="EU68">
            <v>11810.15</v>
          </cell>
          <cell r="EV68">
            <v>9199.9</v>
          </cell>
          <cell r="EW68">
            <v>9662.85</v>
          </cell>
          <cell r="EX68">
            <v>9662.85</v>
          </cell>
          <cell r="EY68">
            <v>9662.85</v>
          </cell>
          <cell r="EZ68">
            <v>8589.1999999999989</v>
          </cell>
          <cell r="FA68">
            <v>8589.1999999999989</v>
          </cell>
          <cell r="FB68">
            <v>15031.1</v>
          </cell>
          <cell r="FC68">
            <v>10736.5</v>
          </cell>
          <cell r="FD68">
            <v>12883.8</v>
          </cell>
          <cell r="FE68">
            <v>8569.5</v>
          </cell>
          <cell r="FF68">
            <v>12805</v>
          </cell>
          <cell r="FG68">
            <v>13199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11000</v>
          </cell>
          <cell r="FO68">
            <v>1000</v>
          </cell>
        </row>
        <row r="69">
          <cell r="A69" t="str">
            <v>000X0106</v>
          </cell>
          <cell r="B69" t="str">
            <v>SR8 CANULA IPAS ENGATE RAPIDO</v>
          </cell>
          <cell r="C69" t="str">
            <v>SR8 CANULA IPAS ENGATE RAPIDO</v>
          </cell>
          <cell r="D69" t="str">
            <v>Ethical</v>
          </cell>
          <cell r="E69" t="str">
            <v>DKT WCG</v>
          </cell>
          <cell r="G69">
            <v>152</v>
          </cell>
          <cell r="H69">
            <v>66</v>
          </cell>
          <cell r="I69">
            <v>218</v>
          </cell>
          <cell r="J69">
            <v>45983</v>
          </cell>
          <cell r="K69">
            <v>11</v>
          </cell>
          <cell r="L69">
            <v>2025</v>
          </cell>
          <cell r="M69">
            <v>46049</v>
          </cell>
          <cell r="N69">
            <v>1</v>
          </cell>
          <cell r="O69">
            <v>2026</v>
          </cell>
          <cell r="P69">
            <v>0.9</v>
          </cell>
          <cell r="Q69" t="str">
            <v>C</v>
          </cell>
          <cell r="R69">
            <v>31.743277168784466</v>
          </cell>
          <cell r="S69">
            <v>9.1300000000000008</v>
          </cell>
          <cell r="T69">
            <v>400</v>
          </cell>
          <cell r="U69">
            <v>1020</v>
          </cell>
          <cell r="V69">
            <v>1000</v>
          </cell>
          <cell r="W69">
            <v>1000</v>
          </cell>
          <cell r="Y69">
            <v>1.37</v>
          </cell>
          <cell r="Z69">
            <v>768</v>
          </cell>
          <cell r="AA69">
            <v>716</v>
          </cell>
          <cell r="AB69">
            <v>509</v>
          </cell>
          <cell r="AC69">
            <v>611</v>
          </cell>
          <cell r="AD69">
            <v>1150</v>
          </cell>
          <cell r="AE69">
            <v>351</v>
          </cell>
          <cell r="AF69">
            <v>1280</v>
          </cell>
          <cell r="AG69">
            <v>834</v>
          </cell>
          <cell r="AH69">
            <v>265</v>
          </cell>
          <cell r="AI69">
            <v>1703</v>
          </cell>
          <cell r="AJ69">
            <v>3722</v>
          </cell>
          <cell r="AK69">
            <v>2654</v>
          </cell>
          <cell r="AL69">
            <v>1586</v>
          </cell>
          <cell r="AM69">
            <v>7563</v>
          </cell>
          <cell r="AN69">
            <v>6604</v>
          </cell>
          <cell r="AO69">
            <v>5623</v>
          </cell>
          <cell r="AP69">
            <v>5751</v>
          </cell>
          <cell r="AQ69">
            <v>4552</v>
          </cell>
          <cell r="AR69">
            <v>4680</v>
          </cell>
          <cell r="AS69">
            <v>3590</v>
          </cell>
          <cell r="AT69">
            <v>2730</v>
          </cell>
          <cell r="AU69">
            <v>1621</v>
          </cell>
          <cell r="AV69">
            <v>612</v>
          </cell>
          <cell r="AW69">
            <v>612</v>
          </cell>
          <cell r="AX69">
            <v>612</v>
          </cell>
          <cell r="AY69">
            <v>612</v>
          </cell>
          <cell r="AZ69">
            <v>612</v>
          </cell>
          <cell r="BA69">
            <v>612</v>
          </cell>
          <cell r="BC69">
            <v>753</v>
          </cell>
          <cell r="BD69">
            <v>771</v>
          </cell>
          <cell r="BE69">
            <v>590</v>
          </cell>
          <cell r="BF69">
            <v>620</v>
          </cell>
          <cell r="BG69">
            <v>516</v>
          </cell>
          <cell r="BH69">
            <v>763</v>
          </cell>
          <cell r="BI69">
            <v>1199</v>
          </cell>
          <cell r="BJ69">
            <v>872</v>
          </cell>
          <cell r="BK69">
            <v>1090</v>
          </cell>
          <cell r="BL69">
            <v>981</v>
          </cell>
          <cell r="BM69">
            <v>1068</v>
          </cell>
          <cell r="BN69">
            <v>1068</v>
          </cell>
          <cell r="BO69">
            <v>1068</v>
          </cell>
          <cell r="BP69">
            <v>959</v>
          </cell>
          <cell r="BQ69">
            <v>981</v>
          </cell>
          <cell r="BR69">
            <v>872</v>
          </cell>
          <cell r="BS69">
            <v>1199</v>
          </cell>
          <cell r="BT69">
            <v>872</v>
          </cell>
          <cell r="BU69">
            <v>1090</v>
          </cell>
          <cell r="BV69">
            <v>860</v>
          </cell>
          <cell r="BW69">
            <v>1109</v>
          </cell>
          <cell r="BX69">
            <v>1009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102.82802421569016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3000</v>
          </cell>
          <cell r="CP69">
            <v>0</v>
          </cell>
          <cell r="CQ69">
            <v>0</v>
          </cell>
          <cell r="CR69">
            <v>7045</v>
          </cell>
          <cell r="CS69">
            <v>0</v>
          </cell>
          <cell r="CT69">
            <v>0</v>
          </cell>
          <cell r="CU69">
            <v>1000</v>
          </cell>
          <cell r="CV69">
            <v>0</v>
          </cell>
          <cell r="CW69">
            <v>1000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I69">
            <v>9.5</v>
          </cell>
          <cell r="DJ69">
            <v>4835.5</v>
          </cell>
          <cell r="DK69">
            <v>5804.5</v>
          </cell>
          <cell r="DL69">
            <v>10925</v>
          </cell>
          <cell r="DM69">
            <v>3334.5</v>
          </cell>
          <cell r="DN69">
            <v>12160</v>
          </cell>
          <cell r="DO69">
            <v>7923</v>
          </cell>
          <cell r="DP69">
            <v>2517.5</v>
          </cell>
          <cell r="DQ69">
            <v>16178.5</v>
          </cell>
          <cell r="DR69">
            <v>35359</v>
          </cell>
          <cell r="DS69">
            <v>25213</v>
          </cell>
          <cell r="DT69">
            <v>15067</v>
          </cell>
          <cell r="DU69">
            <v>71848.5</v>
          </cell>
          <cell r="DV69">
            <v>62738</v>
          </cell>
          <cell r="DW69">
            <v>53418.5</v>
          </cell>
          <cell r="DX69">
            <v>54634.5</v>
          </cell>
          <cell r="DY69">
            <v>43244</v>
          </cell>
          <cell r="DZ69">
            <v>44460</v>
          </cell>
          <cell r="EA69">
            <v>34105</v>
          </cell>
          <cell r="EB69">
            <v>25935</v>
          </cell>
          <cell r="EC69">
            <v>15399.5</v>
          </cell>
          <cell r="ED69">
            <v>5814</v>
          </cell>
          <cell r="EE69">
            <v>5814</v>
          </cell>
          <cell r="EF69">
            <v>5814</v>
          </cell>
          <cell r="EG69">
            <v>5814</v>
          </cell>
          <cell r="EH69">
            <v>5814</v>
          </cell>
          <cell r="EI69">
            <v>5814</v>
          </cell>
          <cell r="EL69">
            <v>6874.89</v>
          </cell>
          <cell r="EM69">
            <v>7039.2300000000005</v>
          </cell>
          <cell r="EN69">
            <v>5605</v>
          </cell>
          <cell r="EO69">
            <v>5890</v>
          </cell>
          <cell r="EP69">
            <v>4902</v>
          </cell>
          <cell r="EQ69">
            <v>7248.5</v>
          </cell>
          <cell r="ER69">
            <v>11390.5</v>
          </cell>
          <cell r="ES69">
            <v>8284</v>
          </cell>
          <cell r="ET69">
            <v>10355</v>
          </cell>
          <cell r="EU69">
            <v>9319.5</v>
          </cell>
          <cell r="EV69">
            <v>10146</v>
          </cell>
          <cell r="EW69">
            <v>10146</v>
          </cell>
          <cell r="EX69">
            <v>10146</v>
          </cell>
          <cell r="EY69">
            <v>9110.5</v>
          </cell>
          <cell r="EZ69">
            <v>9319.5</v>
          </cell>
          <cell r="FA69">
            <v>8284</v>
          </cell>
          <cell r="FB69">
            <v>11390.5</v>
          </cell>
          <cell r="FC69">
            <v>8284</v>
          </cell>
          <cell r="FD69">
            <v>10355</v>
          </cell>
          <cell r="FE69">
            <v>8170</v>
          </cell>
          <cell r="FF69">
            <v>10535.5</v>
          </cell>
          <cell r="FG69">
            <v>9585.5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11045</v>
          </cell>
          <cell r="FO69">
            <v>1000</v>
          </cell>
        </row>
        <row r="70">
          <cell r="A70" t="str">
            <v>000X0107</v>
          </cell>
          <cell r="B70" t="str">
            <v>SR9 CANULA IPAS ENGATE RAPIDO</v>
          </cell>
          <cell r="C70" t="str">
            <v>SR9 CANULA IPAS ENGATE RAPIDO</v>
          </cell>
          <cell r="D70" t="str">
            <v>Ethical</v>
          </cell>
          <cell r="E70" t="str">
            <v>DKT WCG</v>
          </cell>
          <cell r="G70">
            <v>152</v>
          </cell>
          <cell r="H70">
            <v>66</v>
          </cell>
          <cell r="I70">
            <v>218</v>
          </cell>
          <cell r="J70">
            <v>45983</v>
          </cell>
          <cell r="K70">
            <v>11</v>
          </cell>
          <cell r="L70">
            <v>2025</v>
          </cell>
          <cell r="M70">
            <v>46049</v>
          </cell>
          <cell r="N70">
            <v>1</v>
          </cell>
          <cell r="O70">
            <v>2026</v>
          </cell>
          <cell r="P70">
            <v>0.9</v>
          </cell>
          <cell r="Q70" t="str">
            <v>C</v>
          </cell>
          <cell r="R70">
            <v>31.75468372609178</v>
          </cell>
          <cell r="S70">
            <v>9.1999999999999993</v>
          </cell>
          <cell r="T70">
            <v>600</v>
          </cell>
          <cell r="U70">
            <v>670</v>
          </cell>
          <cell r="V70">
            <v>1000</v>
          </cell>
          <cell r="W70">
            <v>1000</v>
          </cell>
          <cell r="Y70">
            <v>1.37</v>
          </cell>
          <cell r="Z70">
            <v>672</v>
          </cell>
          <cell r="AA70">
            <v>470</v>
          </cell>
          <cell r="AB70">
            <v>483</v>
          </cell>
          <cell r="AC70">
            <v>341</v>
          </cell>
          <cell r="AD70">
            <v>622</v>
          </cell>
          <cell r="AE70">
            <v>221</v>
          </cell>
          <cell r="AF70">
            <v>841</v>
          </cell>
          <cell r="AG70">
            <v>706</v>
          </cell>
          <cell r="AH70">
            <v>204</v>
          </cell>
          <cell r="AI70">
            <v>3327</v>
          </cell>
          <cell r="AJ70">
            <v>2455</v>
          </cell>
          <cell r="AK70">
            <v>2142</v>
          </cell>
          <cell r="AL70">
            <v>1488</v>
          </cell>
          <cell r="AM70">
            <v>4834</v>
          </cell>
          <cell r="AN70">
            <v>4224</v>
          </cell>
          <cell r="AO70">
            <v>3614</v>
          </cell>
          <cell r="AP70">
            <v>4004</v>
          </cell>
          <cell r="AQ70">
            <v>3132</v>
          </cell>
          <cell r="AR70">
            <v>3478</v>
          </cell>
          <cell r="AS70">
            <v>2606</v>
          </cell>
          <cell r="AT70">
            <v>2194</v>
          </cell>
          <cell r="AU70">
            <v>1324</v>
          </cell>
          <cell r="AV70">
            <v>534</v>
          </cell>
          <cell r="AW70">
            <v>534</v>
          </cell>
          <cell r="AX70">
            <v>534</v>
          </cell>
          <cell r="AY70">
            <v>534</v>
          </cell>
          <cell r="AZ70">
            <v>534</v>
          </cell>
          <cell r="BA70">
            <v>534</v>
          </cell>
          <cell r="BC70">
            <v>672</v>
          </cell>
          <cell r="BD70">
            <v>525</v>
          </cell>
          <cell r="BE70">
            <v>320</v>
          </cell>
          <cell r="BF70">
            <v>440</v>
          </cell>
          <cell r="BG70">
            <v>404</v>
          </cell>
          <cell r="BH70">
            <v>763</v>
          </cell>
          <cell r="BI70">
            <v>872</v>
          </cell>
          <cell r="BJ70">
            <v>654</v>
          </cell>
          <cell r="BK70">
            <v>872</v>
          </cell>
          <cell r="BL70">
            <v>872</v>
          </cell>
          <cell r="BM70">
            <v>313</v>
          </cell>
          <cell r="BN70">
            <v>654</v>
          </cell>
          <cell r="BO70">
            <v>654</v>
          </cell>
          <cell r="BP70">
            <v>610</v>
          </cell>
          <cell r="BQ70">
            <v>610</v>
          </cell>
          <cell r="BR70">
            <v>610</v>
          </cell>
          <cell r="BS70">
            <v>872</v>
          </cell>
          <cell r="BT70">
            <v>654</v>
          </cell>
          <cell r="BU70">
            <v>872</v>
          </cell>
          <cell r="BV70">
            <v>412</v>
          </cell>
          <cell r="BW70">
            <v>870</v>
          </cell>
          <cell r="BX70">
            <v>790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178.38700366597081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4000</v>
          </cell>
          <cell r="CS70">
            <v>0</v>
          </cell>
          <cell r="CT70">
            <v>0</v>
          </cell>
          <cell r="CU70">
            <v>1000</v>
          </cell>
          <cell r="CV70">
            <v>0</v>
          </cell>
          <cell r="CW70">
            <v>1000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I70">
            <v>9.77</v>
          </cell>
          <cell r="DJ70">
            <v>4718.91</v>
          </cell>
          <cell r="DK70">
            <v>3331.5699999999997</v>
          </cell>
          <cell r="DL70">
            <v>6076.94</v>
          </cell>
          <cell r="DM70">
            <v>2159.17</v>
          </cell>
          <cell r="DN70">
            <v>8216.57</v>
          </cell>
          <cell r="DO70">
            <v>6897.62</v>
          </cell>
          <cell r="DP70">
            <v>1993.08</v>
          </cell>
          <cell r="DQ70">
            <v>32504.789999999997</v>
          </cell>
          <cell r="DR70">
            <v>23985.35</v>
          </cell>
          <cell r="DS70">
            <v>20927.34</v>
          </cell>
          <cell r="DT70">
            <v>14537.76</v>
          </cell>
          <cell r="DU70">
            <v>47228.18</v>
          </cell>
          <cell r="DV70">
            <v>41268.479999999996</v>
          </cell>
          <cell r="DW70">
            <v>35308.78</v>
          </cell>
          <cell r="DX70">
            <v>39119.08</v>
          </cell>
          <cell r="DY70">
            <v>30599.64</v>
          </cell>
          <cell r="DZ70">
            <v>33980.06</v>
          </cell>
          <cell r="EA70">
            <v>25460.62</v>
          </cell>
          <cell r="EB70">
            <v>21435.379999999997</v>
          </cell>
          <cell r="EC70">
            <v>12935.48</v>
          </cell>
          <cell r="ED70">
            <v>5217.1799999999994</v>
          </cell>
          <cell r="EE70">
            <v>5217.1799999999994</v>
          </cell>
          <cell r="EF70">
            <v>5217.1799999999994</v>
          </cell>
          <cell r="EG70">
            <v>5217.1799999999994</v>
          </cell>
          <cell r="EH70">
            <v>5217.1799999999994</v>
          </cell>
          <cell r="EI70">
            <v>5217.1799999999994</v>
          </cell>
          <cell r="EL70">
            <v>6182.4</v>
          </cell>
          <cell r="EM70">
            <v>4830</v>
          </cell>
          <cell r="EN70">
            <v>3126.3999999999996</v>
          </cell>
          <cell r="EO70">
            <v>4298.8</v>
          </cell>
          <cell r="EP70">
            <v>3947.08</v>
          </cell>
          <cell r="EQ70">
            <v>7454.5099999999993</v>
          </cell>
          <cell r="ER70">
            <v>8519.44</v>
          </cell>
          <cell r="ES70">
            <v>6389.58</v>
          </cell>
          <cell r="ET70">
            <v>8519.44</v>
          </cell>
          <cell r="EU70">
            <v>8519.44</v>
          </cell>
          <cell r="EV70">
            <v>3058.0099999999998</v>
          </cell>
          <cell r="EW70">
            <v>6389.58</v>
          </cell>
          <cell r="EX70">
            <v>6389.58</v>
          </cell>
          <cell r="EY70">
            <v>5959.7</v>
          </cell>
          <cell r="EZ70">
            <v>5959.7</v>
          </cell>
          <cell r="FA70">
            <v>5959.7</v>
          </cell>
          <cell r="FB70">
            <v>8519.44</v>
          </cell>
          <cell r="FC70">
            <v>6389.58</v>
          </cell>
          <cell r="FD70">
            <v>8519.44</v>
          </cell>
          <cell r="FE70">
            <v>4025.24</v>
          </cell>
          <cell r="FF70">
            <v>8499.9</v>
          </cell>
          <cell r="FG70">
            <v>7718.2999999999993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5000</v>
          </cell>
          <cell r="FO70">
            <v>1000</v>
          </cell>
        </row>
        <row r="71">
          <cell r="A71" t="str">
            <v>000A5036</v>
          </cell>
          <cell r="B71" t="str">
            <v>GEL PRUDENCE HORTELA 100G.</v>
          </cell>
          <cell r="C71" t="str">
            <v>PRUDENCE GEL HORTELA 100G.</v>
          </cell>
          <cell r="D71" t="str">
            <v>OTC</v>
          </cell>
          <cell r="E71" t="str">
            <v>Karex / NRS</v>
          </cell>
          <cell r="G71">
            <v>133</v>
          </cell>
          <cell r="H71">
            <v>133</v>
          </cell>
          <cell r="I71">
            <v>266</v>
          </cell>
          <cell r="J71">
            <v>45964</v>
          </cell>
          <cell r="K71">
            <v>11</v>
          </cell>
          <cell r="L71">
            <v>2025</v>
          </cell>
          <cell r="M71">
            <v>46097</v>
          </cell>
          <cell r="N71">
            <v>3</v>
          </cell>
          <cell r="O71">
            <v>2026</v>
          </cell>
          <cell r="P71">
            <v>0.95</v>
          </cell>
          <cell r="Q71" t="str">
            <v>C</v>
          </cell>
          <cell r="R71">
            <v>0</v>
          </cell>
          <cell r="S71">
            <v>107.96</v>
          </cell>
          <cell r="T71">
            <v>1100</v>
          </cell>
          <cell r="U71">
            <v>1100</v>
          </cell>
          <cell r="V71">
            <v>1340</v>
          </cell>
          <cell r="W71">
            <v>1340</v>
          </cell>
          <cell r="Y71">
            <v>15.72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901.1</v>
          </cell>
          <cell r="AM71">
            <v>436.90000000000003</v>
          </cell>
          <cell r="AN71">
            <v>1.3000000000000114</v>
          </cell>
          <cell r="AO71">
            <v>0</v>
          </cell>
          <cell r="AP71">
            <v>0</v>
          </cell>
          <cell r="AQ71">
            <v>1340</v>
          </cell>
          <cell r="AR71">
            <v>1340</v>
          </cell>
          <cell r="AS71">
            <v>1340</v>
          </cell>
          <cell r="AT71">
            <v>816</v>
          </cell>
          <cell r="AU71">
            <v>816</v>
          </cell>
          <cell r="AV71">
            <v>816</v>
          </cell>
          <cell r="AW71">
            <v>816</v>
          </cell>
          <cell r="AX71">
            <v>816</v>
          </cell>
          <cell r="AY71">
            <v>816</v>
          </cell>
          <cell r="AZ71">
            <v>816</v>
          </cell>
          <cell r="BA71">
            <v>816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129.24999999999997</v>
          </cell>
          <cell r="BH71">
            <v>219.47566666666671</v>
          </cell>
          <cell r="BI71">
            <v>292.79891666666668</v>
          </cell>
          <cell r="BJ71">
            <v>111.64999999999998</v>
          </cell>
          <cell r="BK71">
            <v>174.69375000000005</v>
          </cell>
          <cell r="BL71">
            <v>189.19450000000001</v>
          </cell>
          <cell r="BM71">
            <v>423.5</v>
          </cell>
          <cell r="BN71">
            <v>438.9</v>
          </cell>
          <cell r="BO71">
            <v>464.2</v>
          </cell>
          <cell r="BP71">
            <v>435.6</v>
          </cell>
          <cell r="BQ71">
            <v>453.2</v>
          </cell>
          <cell r="BR71">
            <v>456.5</v>
          </cell>
          <cell r="BS71">
            <v>0</v>
          </cell>
          <cell r="BT71">
            <v>0</v>
          </cell>
          <cell r="BU71">
            <v>0</v>
          </cell>
          <cell r="BV71">
            <v>524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227.28769807853601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1340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1340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I71">
            <v>107.97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97291.767000000007</v>
          </cell>
          <cell r="DU71">
            <v>47172.093000000001</v>
          </cell>
          <cell r="DV71">
            <v>140.36100000000121</v>
          </cell>
          <cell r="DW71">
            <v>0</v>
          </cell>
          <cell r="DX71">
            <v>0</v>
          </cell>
          <cell r="DY71">
            <v>144679.79999999999</v>
          </cell>
          <cell r="DZ71">
            <v>144679.79999999999</v>
          </cell>
          <cell r="EA71">
            <v>144679.79999999999</v>
          </cell>
          <cell r="EB71">
            <v>88103.52</v>
          </cell>
          <cell r="EC71">
            <v>88103.52</v>
          </cell>
          <cell r="ED71">
            <v>88103.52</v>
          </cell>
          <cell r="EE71">
            <v>88103.52</v>
          </cell>
          <cell r="EF71">
            <v>88103.52</v>
          </cell>
          <cell r="EG71">
            <v>88103.52</v>
          </cell>
          <cell r="EH71">
            <v>88103.52</v>
          </cell>
          <cell r="EI71">
            <v>88103.52</v>
          </cell>
          <cell r="EL71">
            <v>0</v>
          </cell>
          <cell r="EM71">
            <v>0</v>
          </cell>
          <cell r="EN71">
            <v>0</v>
          </cell>
          <cell r="EO71">
            <v>0</v>
          </cell>
          <cell r="EP71">
            <v>13955.122499999998</v>
          </cell>
          <cell r="EQ71">
            <v>23696.787730000004</v>
          </cell>
          <cell r="ER71">
            <v>31613.4990325</v>
          </cell>
          <cell r="ES71">
            <v>12054.850499999997</v>
          </cell>
          <cell r="ET71">
            <v>18861.684187500006</v>
          </cell>
          <cell r="EU71">
            <v>20427.330164999999</v>
          </cell>
          <cell r="EV71">
            <v>45725.294999999998</v>
          </cell>
          <cell r="EW71">
            <v>47388.032999999996</v>
          </cell>
          <cell r="EX71">
            <v>50119.673999999999</v>
          </cell>
          <cell r="EY71">
            <v>47031.732000000004</v>
          </cell>
          <cell r="EZ71">
            <v>48932.004000000001</v>
          </cell>
          <cell r="FA71">
            <v>49288.305</v>
          </cell>
          <cell r="FB71">
            <v>0</v>
          </cell>
          <cell r="FC71">
            <v>0</v>
          </cell>
          <cell r="FD71">
            <v>0</v>
          </cell>
          <cell r="FE71">
            <v>56576.28</v>
          </cell>
          <cell r="FF71">
            <v>0</v>
          </cell>
          <cell r="FG71">
            <v>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1340</v>
          </cell>
          <cell r="FO71">
            <v>1340</v>
          </cell>
        </row>
        <row r="72">
          <cell r="A72" t="str">
            <v>000A5035</v>
          </cell>
          <cell r="B72" t="str">
            <v>PRUDENCE GEL MORANGO 100G</v>
          </cell>
          <cell r="C72" t="str">
            <v>PRUDENCE GEL MORANGO 100G</v>
          </cell>
          <cell r="D72" t="str">
            <v>OTC</v>
          </cell>
          <cell r="E72" t="str">
            <v>Karex / NRS</v>
          </cell>
          <cell r="G72">
            <v>133</v>
          </cell>
          <cell r="H72">
            <v>133</v>
          </cell>
          <cell r="I72">
            <v>266</v>
          </cell>
          <cell r="J72">
            <v>45964</v>
          </cell>
          <cell r="K72">
            <v>11</v>
          </cell>
          <cell r="L72">
            <v>2025</v>
          </cell>
          <cell r="M72">
            <v>46097</v>
          </cell>
          <cell r="N72">
            <v>3</v>
          </cell>
          <cell r="O72">
            <v>2026</v>
          </cell>
          <cell r="P72">
            <v>0.95</v>
          </cell>
          <cell r="Q72" t="str">
            <v>B</v>
          </cell>
          <cell r="R72">
            <v>0</v>
          </cell>
          <cell r="S72">
            <v>106.4</v>
          </cell>
          <cell r="T72">
            <v>4100</v>
          </cell>
          <cell r="U72">
            <v>4100</v>
          </cell>
          <cell r="V72">
            <v>1340</v>
          </cell>
          <cell r="W72">
            <v>4020</v>
          </cell>
          <cell r="Y72">
            <v>15.72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5282.1</v>
          </cell>
          <cell r="AM72">
            <v>3604.6000000000004</v>
          </cell>
          <cell r="AN72">
            <v>1968.9000000000003</v>
          </cell>
          <cell r="AO72">
            <v>170.40000000000032</v>
          </cell>
          <cell r="AP72">
            <v>0</v>
          </cell>
          <cell r="AQ72">
            <v>6700</v>
          </cell>
          <cell r="AR72">
            <v>6700</v>
          </cell>
          <cell r="AS72">
            <v>6700</v>
          </cell>
          <cell r="AT72">
            <v>5229</v>
          </cell>
          <cell r="AU72">
            <v>5229</v>
          </cell>
          <cell r="AV72">
            <v>5229</v>
          </cell>
          <cell r="AW72">
            <v>5229</v>
          </cell>
          <cell r="AX72">
            <v>5229</v>
          </cell>
          <cell r="AY72">
            <v>5229</v>
          </cell>
          <cell r="AZ72">
            <v>5229</v>
          </cell>
          <cell r="BA72">
            <v>5229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426.31462500000004</v>
          </cell>
          <cell r="BH72">
            <v>877.58824999999922</v>
          </cell>
          <cell r="BI72">
            <v>944.10341666666659</v>
          </cell>
          <cell r="BJ72">
            <v>611.11462499999993</v>
          </cell>
          <cell r="BK72">
            <v>685.1120833333332</v>
          </cell>
          <cell r="BL72">
            <v>910.76791666666622</v>
          </cell>
          <cell r="BM72">
            <v>2007.5</v>
          </cell>
          <cell r="BN72">
            <v>1417.9</v>
          </cell>
          <cell r="BO72">
            <v>1677.5</v>
          </cell>
          <cell r="BP72">
            <v>1635.7</v>
          </cell>
          <cell r="BQ72">
            <v>1798.5</v>
          </cell>
          <cell r="BR72">
            <v>1595</v>
          </cell>
          <cell r="BS72">
            <v>0</v>
          </cell>
          <cell r="BT72">
            <v>0</v>
          </cell>
          <cell r="BU72">
            <v>0</v>
          </cell>
          <cell r="BV72">
            <v>1471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829.46113102161348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6700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6700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I72">
            <v>106.4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562015.44000000006</v>
          </cell>
          <cell r="DU72">
            <v>383529.44000000006</v>
          </cell>
          <cell r="DV72">
            <v>209490.96000000005</v>
          </cell>
          <cell r="DW72">
            <v>18130.560000000034</v>
          </cell>
          <cell r="DX72">
            <v>0</v>
          </cell>
          <cell r="DY72">
            <v>712880</v>
          </cell>
          <cell r="DZ72">
            <v>712880</v>
          </cell>
          <cell r="EA72">
            <v>712880</v>
          </cell>
          <cell r="EB72">
            <v>556365.6</v>
          </cell>
          <cell r="EC72">
            <v>556365.6</v>
          </cell>
          <cell r="ED72">
            <v>556365.6</v>
          </cell>
          <cell r="EE72">
            <v>556365.6</v>
          </cell>
          <cell r="EF72">
            <v>556365.6</v>
          </cell>
          <cell r="EG72">
            <v>556365.6</v>
          </cell>
          <cell r="EH72">
            <v>556365.6</v>
          </cell>
          <cell r="EI72">
            <v>556365.6</v>
          </cell>
          <cell r="EL72">
            <v>0</v>
          </cell>
          <cell r="EM72">
            <v>0</v>
          </cell>
          <cell r="EN72">
            <v>0</v>
          </cell>
          <cell r="EO72">
            <v>0</v>
          </cell>
          <cell r="EP72">
            <v>45359.876100000009</v>
          </cell>
          <cell r="EQ72">
            <v>93375.389799999917</v>
          </cell>
          <cell r="ER72">
            <v>100452.60353333333</v>
          </cell>
          <cell r="ES72">
            <v>65022.596099999995</v>
          </cell>
          <cell r="ET72">
            <v>72895.925666666662</v>
          </cell>
          <cell r="EU72">
            <v>96905.706333333292</v>
          </cell>
          <cell r="EV72">
            <v>213598</v>
          </cell>
          <cell r="EW72">
            <v>150864.56000000003</v>
          </cell>
          <cell r="EX72">
            <v>178486</v>
          </cell>
          <cell r="EY72">
            <v>174038.48</v>
          </cell>
          <cell r="EZ72">
            <v>191360.40000000002</v>
          </cell>
          <cell r="FA72">
            <v>169708</v>
          </cell>
          <cell r="FB72">
            <v>0</v>
          </cell>
          <cell r="FC72">
            <v>0</v>
          </cell>
          <cell r="FD72">
            <v>0</v>
          </cell>
          <cell r="FE72">
            <v>156514.4</v>
          </cell>
          <cell r="FF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6700</v>
          </cell>
          <cell r="FO72">
            <v>6700</v>
          </cell>
        </row>
        <row r="73">
          <cell r="A73" t="str">
            <v>000A5014</v>
          </cell>
          <cell r="B73" t="str">
            <v>GEL PRUD MORANGO FIRE 60G</v>
          </cell>
          <cell r="C73" t="str">
            <v>PRUDENCE GEL MORANGO FIRE 60G</v>
          </cell>
          <cell r="D73" t="str">
            <v>OTC</v>
          </cell>
          <cell r="E73" t="str">
            <v>Karex / NRS</v>
          </cell>
          <cell r="G73">
            <v>133</v>
          </cell>
          <cell r="H73">
            <v>133</v>
          </cell>
          <cell r="I73">
            <v>266</v>
          </cell>
          <cell r="J73">
            <v>45964</v>
          </cell>
          <cell r="K73">
            <v>11</v>
          </cell>
          <cell r="L73">
            <v>2025</v>
          </cell>
          <cell r="M73">
            <v>46097</v>
          </cell>
          <cell r="N73">
            <v>3</v>
          </cell>
          <cell r="O73">
            <v>2026</v>
          </cell>
          <cell r="P73">
            <v>0.95</v>
          </cell>
          <cell r="Q73" t="str">
            <v>C</v>
          </cell>
          <cell r="R73">
            <v>0</v>
          </cell>
          <cell r="S73">
            <v>84.01</v>
          </cell>
          <cell r="T73">
            <v>900</v>
          </cell>
          <cell r="U73">
            <v>900</v>
          </cell>
          <cell r="V73">
            <v>1340</v>
          </cell>
          <cell r="W73">
            <v>1340</v>
          </cell>
          <cell r="Y73">
            <v>12.6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106.33333333333334</v>
          </cell>
          <cell r="BH73">
            <v>171.21133333333339</v>
          </cell>
          <cell r="BI73">
            <v>205.20408333333339</v>
          </cell>
          <cell r="BJ73">
            <v>82.133333333333326</v>
          </cell>
          <cell r="BK73">
            <v>143.68291666666673</v>
          </cell>
          <cell r="BL73">
            <v>158.53383333333335</v>
          </cell>
          <cell r="BM73">
            <v>319</v>
          </cell>
          <cell r="BN73">
            <v>390.5</v>
          </cell>
          <cell r="BO73">
            <v>405.9</v>
          </cell>
          <cell r="BP73">
            <v>328.9</v>
          </cell>
          <cell r="BQ73">
            <v>409.2</v>
          </cell>
          <cell r="BR73">
            <v>357.5</v>
          </cell>
          <cell r="BS73">
            <v>0</v>
          </cell>
          <cell r="BT73">
            <v>0</v>
          </cell>
          <cell r="BU73">
            <v>409</v>
          </cell>
          <cell r="BV73">
            <v>329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178.01192423932372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I73">
            <v>83.99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>
            <v>0</v>
          </cell>
          <cell r="EH73">
            <v>0</v>
          </cell>
          <cell r="EI73">
            <v>0</v>
          </cell>
          <cell r="EL73">
            <v>0</v>
          </cell>
          <cell r="EM73">
            <v>0</v>
          </cell>
          <cell r="EN73">
            <v>0</v>
          </cell>
          <cell r="EO73">
            <v>0</v>
          </cell>
          <cell r="EP73">
            <v>8930.9366666666665</v>
          </cell>
          <cell r="EQ73">
            <v>14380.039886666671</v>
          </cell>
          <cell r="ER73">
            <v>17235.090959166671</v>
          </cell>
          <cell r="ES73">
            <v>6898.3786666666656</v>
          </cell>
          <cell r="ET73">
            <v>12067.928170833338</v>
          </cell>
          <cell r="EU73">
            <v>13315.256661666666</v>
          </cell>
          <cell r="EV73">
            <v>26792.809999999998</v>
          </cell>
          <cell r="EW73">
            <v>32798.095000000001</v>
          </cell>
          <cell r="EX73">
            <v>34091.540999999997</v>
          </cell>
          <cell r="EY73">
            <v>27624.310999999998</v>
          </cell>
          <cell r="EZ73">
            <v>34368.707999999999</v>
          </cell>
          <cell r="FA73">
            <v>30026.424999999999</v>
          </cell>
          <cell r="FB73">
            <v>0</v>
          </cell>
          <cell r="FC73">
            <v>0</v>
          </cell>
          <cell r="FD73">
            <v>34351.909999999996</v>
          </cell>
          <cell r="FE73">
            <v>27632.71</v>
          </cell>
          <cell r="FF73">
            <v>0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</row>
        <row r="74">
          <cell r="A74" t="str">
            <v>000A5034</v>
          </cell>
          <cell r="B74" t="str">
            <v>PRUDENCE GEL NEUTRO 100G</v>
          </cell>
          <cell r="C74" t="str">
            <v>PRUDENCE GEL NEUTRO 100G</v>
          </cell>
          <cell r="D74" t="str">
            <v>OTC</v>
          </cell>
          <cell r="E74" t="str">
            <v>Karex / NRS</v>
          </cell>
          <cell r="G74">
            <v>133</v>
          </cell>
          <cell r="H74">
            <v>133</v>
          </cell>
          <cell r="I74">
            <v>266</v>
          </cell>
          <cell r="J74">
            <v>45964</v>
          </cell>
          <cell r="K74">
            <v>11</v>
          </cell>
          <cell r="L74">
            <v>2025</v>
          </cell>
          <cell r="M74">
            <v>46097</v>
          </cell>
          <cell r="N74">
            <v>3</v>
          </cell>
          <cell r="O74">
            <v>2026</v>
          </cell>
          <cell r="P74">
            <v>0.95</v>
          </cell>
          <cell r="Q74" t="str">
            <v>C</v>
          </cell>
          <cell r="R74">
            <v>0</v>
          </cell>
          <cell r="S74">
            <v>99.97</v>
          </cell>
          <cell r="T74">
            <v>800</v>
          </cell>
          <cell r="U74">
            <v>800</v>
          </cell>
          <cell r="V74">
            <v>1340</v>
          </cell>
          <cell r="W74">
            <v>1340</v>
          </cell>
          <cell r="Y74">
            <v>14.28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1018.8</v>
          </cell>
          <cell r="AM74">
            <v>661.3</v>
          </cell>
          <cell r="AN74">
            <v>332.4</v>
          </cell>
          <cell r="AO74">
            <v>0</v>
          </cell>
          <cell r="AP74">
            <v>0</v>
          </cell>
          <cell r="AQ74">
            <v>1340</v>
          </cell>
          <cell r="AR74">
            <v>1340</v>
          </cell>
          <cell r="AS74">
            <v>1340</v>
          </cell>
          <cell r="AT74">
            <v>1174</v>
          </cell>
          <cell r="AU74">
            <v>1174</v>
          </cell>
          <cell r="AV74">
            <v>1174</v>
          </cell>
          <cell r="AW74">
            <v>1174</v>
          </cell>
          <cell r="AX74">
            <v>1174</v>
          </cell>
          <cell r="AY74">
            <v>1174</v>
          </cell>
          <cell r="AZ74">
            <v>1174</v>
          </cell>
          <cell r="BA74">
            <v>1174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91.376083333333312</v>
          </cell>
          <cell r="BH74">
            <v>152.65090500000005</v>
          </cell>
          <cell r="BI74">
            <v>232.22561083333343</v>
          </cell>
          <cell r="BJ74">
            <v>73.776083333333361</v>
          </cell>
          <cell r="BK74">
            <v>132.42345416666672</v>
          </cell>
          <cell r="BL74">
            <v>139.60646333333329</v>
          </cell>
          <cell r="BM74">
            <v>313.5</v>
          </cell>
          <cell r="BN74">
            <v>321.2</v>
          </cell>
          <cell r="BO74">
            <v>357.5</v>
          </cell>
          <cell r="BP74">
            <v>328.9</v>
          </cell>
          <cell r="BQ74">
            <v>360.8</v>
          </cell>
          <cell r="BR74">
            <v>332.2</v>
          </cell>
          <cell r="BS74">
            <v>0</v>
          </cell>
          <cell r="BT74">
            <v>0</v>
          </cell>
          <cell r="BU74">
            <v>0</v>
          </cell>
          <cell r="BV74">
            <v>166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161.00895129255645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1340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1340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I74">
            <v>99.99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101869.81199999999</v>
          </cell>
          <cell r="DU74">
            <v>66123.386999999988</v>
          </cell>
          <cell r="DV74">
            <v>33236.675999999999</v>
          </cell>
          <cell r="DW74">
            <v>0</v>
          </cell>
          <cell r="DX74">
            <v>0</v>
          </cell>
          <cell r="DY74">
            <v>133986.6</v>
          </cell>
          <cell r="DZ74">
            <v>133986.6</v>
          </cell>
          <cell r="EA74">
            <v>133986.6</v>
          </cell>
          <cell r="EB74">
            <v>117388.26</v>
          </cell>
          <cell r="EC74">
            <v>117388.26</v>
          </cell>
          <cell r="ED74">
            <v>117388.26</v>
          </cell>
          <cell r="EE74">
            <v>117388.26</v>
          </cell>
          <cell r="EF74">
            <v>117388.26</v>
          </cell>
          <cell r="EG74">
            <v>117388.26</v>
          </cell>
          <cell r="EH74">
            <v>117388.26</v>
          </cell>
          <cell r="EI74">
            <v>117388.26</v>
          </cell>
          <cell r="EL74">
            <v>0</v>
          </cell>
          <cell r="EM74">
            <v>0</v>
          </cell>
          <cell r="EN74">
            <v>0</v>
          </cell>
          <cell r="EO74">
            <v>0</v>
          </cell>
          <cell r="EP74">
            <v>9136.6945724999969</v>
          </cell>
          <cell r="EQ74">
            <v>15263.563990950004</v>
          </cell>
          <cell r="ER74">
            <v>23220.23882722501</v>
          </cell>
          <cell r="ES74">
            <v>7376.8705725000027</v>
          </cell>
          <cell r="ET74">
            <v>13241.021182125005</v>
          </cell>
          <cell r="EU74">
            <v>13959.250268699996</v>
          </cell>
          <cell r="EV74">
            <v>31346.864999999998</v>
          </cell>
          <cell r="EW74">
            <v>32116.787999999997</v>
          </cell>
          <cell r="EX74">
            <v>35746.424999999996</v>
          </cell>
          <cell r="EY74">
            <v>32886.710999999996</v>
          </cell>
          <cell r="EZ74">
            <v>36076.392</v>
          </cell>
          <cell r="FA74">
            <v>33216.678</v>
          </cell>
          <cell r="FB74">
            <v>0</v>
          </cell>
          <cell r="FC74">
            <v>0</v>
          </cell>
          <cell r="FD74">
            <v>0</v>
          </cell>
          <cell r="FE74">
            <v>16598.34</v>
          </cell>
          <cell r="FF74">
            <v>0</v>
          </cell>
          <cell r="FG74">
            <v>0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1340</v>
          </cell>
          <cell r="FO74">
            <v>1340</v>
          </cell>
        </row>
        <row r="81">
          <cell r="CM81" t="str">
            <v xml:space="preserve">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OTC</v>
          </cell>
          <cell r="N1" t="str">
            <v>Ethical</v>
          </cell>
        </row>
        <row r="2">
          <cell r="A2" t="str">
            <v>SKU</v>
          </cell>
          <cell r="B2" t="str">
            <v>$/Unit</v>
          </cell>
          <cell r="C2" t="str">
            <v>Sales Qty</v>
          </cell>
          <cell r="D2" t="str">
            <v xml:space="preserve">Total value </v>
          </cell>
          <cell r="E2" t="str">
            <v>% Individual</v>
          </cell>
          <cell r="F2" t="str">
            <v>% Acumulated</v>
          </cell>
          <cell r="G2" t="str">
            <v>Clasification</v>
          </cell>
          <cell r="N2" t="str">
            <v>SKU</v>
          </cell>
          <cell r="O2" t="str">
            <v>$/Unit</v>
          </cell>
          <cell r="P2" t="str">
            <v>Sales Qty</v>
          </cell>
          <cell r="Q2" t="str">
            <v xml:space="preserve">Total value </v>
          </cell>
          <cell r="R2" t="str">
            <v>% Individual</v>
          </cell>
          <cell r="S2" t="str">
            <v>% Acumulated</v>
          </cell>
          <cell r="T2" t="str">
            <v>Clasification</v>
          </cell>
        </row>
        <row r="3">
          <cell r="A3" t="str">
            <v>000A4023</v>
          </cell>
          <cell r="B3">
            <v>50.91</v>
          </cell>
          <cell r="C3">
            <v>99985.38364</v>
          </cell>
          <cell r="D3">
            <v>5090255.8811123995</v>
          </cell>
          <cell r="E3">
            <v>7.8682889312126789E-2</v>
          </cell>
          <cell r="F3">
            <v>7.8682889312126789E-2</v>
          </cell>
          <cell r="G3" t="str">
            <v>A</v>
          </cell>
          <cell r="N3" t="str">
            <v>000IC0001</v>
          </cell>
          <cell r="O3">
            <v>22.52</v>
          </cell>
          <cell r="P3">
            <v>45700</v>
          </cell>
          <cell r="Q3">
            <v>1029164</v>
          </cell>
          <cell r="R3">
            <v>9.5858458228380475E-2</v>
          </cell>
          <cell r="S3">
            <v>9.5858458228380475E-2</v>
          </cell>
          <cell r="T3" t="str">
            <v>A</v>
          </cell>
        </row>
        <row r="4">
          <cell r="A4" t="str">
            <v>000A4029</v>
          </cell>
          <cell r="B4">
            <v>62.55</v>
          </cell>
          <cell r="C4">
            <v>77814.947359999991</v>
          </cell>
          <cell r="D4">
            <v>4867324.9573679995</v>
          </cell>
          <cell r="E4">
            <v>7.5236923213975057E-2</v>
          </cell>
          <cell r="F4">
            <v>0.15391981252610185</v>
          </cell>
          <cell r="G4" t="str">
            <v>A</v>
          </cell>
          <cell r="N4" t="str">
            <v>000EC0001</v>
          </cell>
          <cell r="O4">
            <v>3.01</v>
          </cell>
          <cell r="P4">
            <v>1320000</v>
          </cell>
          <cell r="Q4">
            <v>3973199.9999999995</v>
          </cell>
          <cell r="R4">
            <v>0.37007204510942981</v>
          </cell>
          <cell r="S4">
            <v>0.46593050333781028</v>
          </cell>
          <cell r="T4" t="str">
            <v>A</v>
          </cell>
        </row>
        <row r="5">
          <cell r="A5" t="str">
            <v>000A2005</v>
          </cell>
          <cell r="B5">
            <v>64.17</v>
          </cell>
          <cell r="C5">
            <v>68786.599000000002</v>
          </cell>
          <cell r="D5">
            <v>4414036.0578300003</v>
          </cell>
          <cell r="E5">
            <v>6.8230186982677812E-2</v>
          </cell>
          <cell r="F5">
            <v>0.22214999950877967</v>
          </cell>
          <cell r="G5" t="str">
            <v>A</v>
          </cell>
          <cell r="N5" t="str">
            <v>000Z0012</v>
          </cell>
          <cell r="O5">
            <v>37.83</v>
          </cell>
          <cell r="P5">
            <v>33843</v>
          </cell>
          <cell r="Q5">
            <v>1280280.69</v>
          </cell>
          <cell r="R5">
            <v>0.11924798481385583</v>
          </cell>
          <cell r="S5">
            <v>0.58517848815166607</v>
          </cell>
          <cell r="T5" t="str">
            <v>A</v>
          </cell>
        </row>
        <row r="6">
          <cell r="A6" t="str">
            <v>000A4025</v>
          </cell>
          <cell r="B6">
            <v>59.37</v>
          </cell>
          <cell r="C6">
            <v>71268</v>
          </cell>
          <cell r="D6">
            <v>4231181.16</v>
          </cell>
          <cell r="E6">
            <v>6.540369809446224E-2</v>
          </cell>
          <cell r="F6">
            <v>0.2875536976032419</v>
          </cell>
          <cell r="G6" t="str">
            <v>A</v>
          </cell>
          <cell r="N6" t="str">
            <v>000X0101</v>
          </cell>
          <cell r="O6">
            <v>87.95</v>
          </cell>
          <cell r="P6">
            <v>13845</v>
          </cell>
          <cell r="Q6">
            <v>1217667.75</v>
          </cell>
          <cell r="R6">
            <v>0.11341608640549128</v>
          </cell>
          <cell r="S6">
            <v>0.69859457455715734</v>
          </cell>
          <cell r="T6" t="str">
            <v>B</v>
          </cell>
        </row>
        <row r="7">
          <cell r="A7" t="str">
            <v>000A1001</v>
          </cell>
          <cell r="B7">
            <v>58.91</v>
          </cell>
          <cell r="C7">
            <v>58472</v>
          </cell>
          <cell r="D7">
            <v>3444585.52</v>
          </cell>
          <cell r="E7">
            <v>5.3244855961363809E-2</v>
          </cell>
          <cell r="F7">
            <v>0.3407985535646057</v>
          </cell>
          <cell r="G7" t="str">
            <v>A</v>
          </cell>
          <cell r="N7" t="str">
            <v>000Z0016</v>
          </cell>
          <cell r="O7">
            <v>37.01</v>
          </cell>
          <cell r="P7">
            <v>16446</v>
          </cell>
          <cell r="Q7">
            <v>608666.46</v>
          </cell>
          <cell r="R7">
            <v>5.6692449824251728E-2</v>
          </cell>
          <cell r="S7">
            <v>0.75528702438140904</v>
          </cell>
          <cell r="T7" t="str">
            <v>B</v>
          </cell>
        </row>
        <row r="8">
          <cell r="A8" t="str">
            <v>000A4013</v>
          </cell>
          <cell r="B8">
            <v>86.76</v>
          </cell>
          <cell r="C8">
            <v>36477.595999999998</v>
          </cell>
          <cell r="D8">
            <v>3164796.22896</v>
          </cell>
          <cell r="E8">
            <v>4.8919998757366474E-2</v>
          </cell>
          <cell r="F8">
            <v>0.38971855232197217</v>
          </cell>
          <cell r="G8" t="str">
            <v>A</v>
          </cell>
          <cell r="N8" t="str">
            <v>000H1003</v>
          </cell>
          <cell r="O8">
            <v>55.98</v>
          </cell>
          <cell r="P8">
            <v>10186.896624999999</v>
          </cell>
          <cell r="Q8">
            <v>570262.47306749993</v>
          </cell>
          <cell r="R8">
            <v>5.3115423250088306E-2</v>
          </cell>
          <cell r="S8">
            <v>0.80840244763149738</v>
          </cell>
          <cell r="T8" t="str">
            <v>B</v>
          </cell>
        </row>
        <row r="9">
          <cell r="A9" t="str">
            <v>000A2014</v>
          </cell>
          <cell r="B9">
            <v>80.760000000000005</v>
          </cell>
          <cell r="C9">
            <v>34195.862999999998</v>
          </cell>
          <cell r="D9">
            <v>2761657.8958800002</v>
          </cell>
          <cell r="E9">
            <v>4.2688467459125141E-2</v>
          </cell>
          <cell r="F9">
            <v>0.4324070197810973</v>
          </cell>
          <cell r="G9" t="str">
            <v>A</v>
          </cell>
          <cell r="N9" t="str">
            <v>000Z0013</v>
          </cell>
          <cell r="O9">
            <v>7.31</v>
          </cell>
          <cell r="P9">
            <v>63041</v>
          </cell>
          <cell r="Q9">
            <v>460829.70999999996</v>
          </cell>
          <cell r="R9">
            <v>4.2922629927233835E-2</v>
          </cell>
          <cell r="S9">
            <v>0.85132507755873121</v>
          </cell>
          <cell r="T9" t="str">
            <v>B</v>
          </cell>
        </row>
        <row r="10">
          <cell r="A10" t="str">
            <v>000A4028</v>
          </cell>
          <cell r="B10">
            <v>47.32</v>
          </cell>
          <cell r="C10">
            <v>52399.916039999996</v>
          </cell>
          <cell r="D10">
            <v>2479564.0270127999</v>
          </cell>
          <cell r="E10">
            <v>3.832798712608991E-2</v>
          </cell>
          <cell r="F10">
            <v>0.47073500690718723</v>
          </cell>
          <cell r="G10" t="str">
            <v>A</v>
          </cell>
          <cell r="N10" t="str">
            <v>000XE101</v>
          </cell>
          <cell r="O10">
            <v>83.56</v>
          </cell>
          <cell r="P10">
            <v>3887</v>
          </cell>
          <cell r="Q10">
            <v>324797.72000000003</v>
          </cell>
          <cell r="R10">
            <v>3.0252329731017814E-2</v>
          </cell>
          <cell r="S10">
            <v>0.88157740728974898</v>
          </cell>
          <cell r="T10" t="str">
            <v>B</v>
          </cell>
        </row>
        <row r="11">
          <cell r="A11" t="str">
            <v>000A3009</v>
          </cell>
          <cell r="B11">
            <v>73.7</v>
          </cell>
          <cell r="C11">
            <v>31351</v>
          </cell>
          <cell r="D11">
            <v>2310568.7000000002</v>
          </cell>
          <cell r="E11">
            <v>3.5715733259058587E-2</v>
          </cell>
          <cell r="F11">
            <v>0.50645074016624581</v>
          </cell>
          <cell r="G11" t="str">
            <v>A</v>
          </cell>
          <cell r="N11" t="str">
            <v>000Z0035</v>
          </cell>
          <cell r="O11">
            <v>2.88</v>
          </cell>
          <cell r="P11">
            <v>80472</v>
          </cell>
          <cell r="Q11">
            <v>231759.35999999999</v>
          </cell>
          <cell r="R11">
            <v>2.1586544933165357E-2</v>
          </cell>
          <cell r="S11">
            <v>0.90316395222291435</v>
          </cell>
          <cell r="T11" t="str">
            <v>C</v>
          </cell>
        </row>
        <row r="12">
          <cell r="A12" t="str">
            <v>000A1002</v>
          </cell>
          <cell r="B12">
            <v>57.13</v>
          </cell>
          <cell r="C12">
            <v>35708.525000000001</v>
          </cell>
          <cell r="D12">
            <v>2040028.0332500001</v>
          </cell>
          <cell r="E12">
            <v>3.1533837135662275E-2</v>
          </cell>
          <cell r="F12">
            <v>0.53798457730190807</v>
          </cell>
          <cell r="G12" t="str">
            <v>A</v>
          </cell>
          <cell r="N12" t="str">
            <v>000H1013</v>
          </cell>
          <cell r="O12">
            <v>33.42</v>
          </cell>
          <cell r="P12">
            <v>6607.0086666666675</v>
          </cell>
          <cell r="Q12">
            <v>220806.22964000003</v>
          </cell>
          <cell r="R12">
            <v>2.0566347774030307E-2</v>
          </cell>
          <cell r="S12">
            <v>0.92373029999694467</v>
          </cell>
          <cell r="T12" t="str">
            <v>C</v>
          </cell>
        </row>
        <row r="13">
          <cell r="A13" t="str">
            <v>000A4030</v>
          </cell>
          <cell r="B13">
            <v>40.44</v>
          </cell>
          <cell r="C13">
            <v>46951.998720000003</v>
          </cell>
          <cell r="D13">
            <v>1898738.8282367999</v>
          </cell>
          <cell r="E13">
            <v>2.9349852059331976E-2</v>
          </cell>
          <cell r="F13">
            <v>0.56733442936124001</v>
          </cell>
          <cell r="G13" t="str">
            <v>A</v>
          </cell>
          <cell r="N13" t="str">
            <v>000X0105</v>
          </cell>
          <cell r="O13">
            <v>9.85</v>
          </cell>
          <cell r="P13">
            <v>12284</v>
          </cell>
          <cell r="Q13">
            <v>120997.4</v>
          </cell>
          <cell r="R13">
            <v>1.1269947465751466E-2</v>
          </cell>
          <cell r="S13">
            <v>0.93500024746269617</v>
          </cell>
          <cell r="T13" t="str">
            <v>C</v>
          </cell>
        </row>
        <row r="14">
          <cell r="A14" t="str">
            <v>000A1003</v>
          </cell>
          <cell r="B14">
            <v>55.67</v>
          </cell>
          <cell r="C14">
            <v>33749</v>
          </cell>
          <cell r="D14">
            <v>1878806.83</v>
          </cell>
          <cell r="E14">
            <v>2.9041752182299291E-2</v>
          </cell>
          <cell r="F14">
            <v>0.59637618154353933</v>
          </cell>
          <cell r="G14" t="str">
            <v>A</v>
          </cell>
          <cell r="N14" t="str">
            <v>000X0106</v>
          </cell>
          <cell r="O14">
            <v>9.66</v>
          </cell>
          <cell r="P14">
            <v>11775</v>
          </cell>
          <cell r="Q14">
            <v>113746.5</v>
          </cell>
          <cell r="R14">
            <v>1.0594583680418747E-2</v>
          </cell>
          <cell r="S14">
            <v>0.94559483114311493</v>
          </cell>
          <cell r="T14" t="str">
            <v>C</v>
          </cell>
        </row>
        <row r="15">
          <cell r="A15" t="str">
            <v>000A4026</v>
          </cell>
          <cell r="B15">
            <v>45.63</v>
          </cell>
          <cell r="C15">
            <v>40736</v>
          </cell>
          <cell r="D15">
            <v>1858783.6800000002</v>
          </cell>
          <cell r="E15">
            <v>2.8732243322248465E-2</v>
          </cell>
          <cell r="F15">
            <v>0.62510842486578777</v>
          </cell>
          <cell r="G15" t="str">
            <v>A</v>
          </cell>
          <cell r="N15" t="str">
            <v>000X0107</v>
          </cell>
          <cell r="O15">
            <v>10.39</v>
          </cell>
          <cell r="P15">
            <v>8038</v>
          </cell>
          <cell r="Q15">
            <v>83514.820000000007</v>
          </cell>
          <cell r="R15">
            <v>7.77874263423586E-3</v>
          </cell>
          <cell r="S15">
            <v>0.95337357377735077</v>
          </cell>
          <cell r="T15" t="str">
            <v>C</v>
          </cell>
        </row>
        <row r="16">
          <cell r="A16" t="str">
            <v>000A3005</v>
          </cell>
          <cell r="B16">
            <v>62.25</v>
          </cell>
          <cell r="C16">
            <v>28192</v>
          </cell>
          <cell r="D16">
            <v>1754952</v>
          </cell>
          <cell r="E16">
            <v>2.7127259844925356E-2</v>
          </cell>
          <cell r="F16">
            <v>0.65223568471071314</v>
          </cell>
          <cell r="G16" t="str">
            <v>B</v>
          </cell>
          <cell r="N16" t="str">
            <v>000X0103</v>
          </cell>
          <cell r="O16">
            <v>10.06</v>
          </cell>
          <cell r="P16">
            <v>8207</v>
          </cell>
          <cell r="Q16">
            <v>82562.42</v>
          </cell>
          <cell r="R16">
            <v>7.6900341333392963E-3</v>
          </cell>
          <cell r="S16">
            <v>0.96106360791069001</v>
          </cell>
          <cell r="T16" t="str">
            <v>C</v>
          </cell>
        </row>
        <row r="17">
          <cell r="A17" t="str">
            <v>000A1031</v>
          </cell>
          <cell r="B17">
            <v>70.650000000000006</v>
          </cell>
          <cell r="C17">
            <v>23381.83</v>
          </cell>
          <cell r="D17">
            <v>1651926.2895000002</v>
          </cell>
          <cell r="E17">
            <v>2.5534734682162188E-2</v>
          </cell>
          <cell r="F17">
            <v>0.6777704193928753</v>
          </cell>
          <cell r="G17" t="str">
            <v>B</v>
          </cell>
          <cell r="N17" t="str">
            <v>000X0104</v>
          </cell>
          <cell r="O17">
            <v>10.08</v>
          </cell>
          <cell r="P17">
            <v>8099</v>
          </cell>
          <cell r="Q17">
            <v>81637.919999999998</v>
          </cell>
          <cell r="R17">
            <v>7.6039242960032278E-3</v>
          </cell>
          <cell r="S17">
            <v>0.96866753220669322</v>
          </cell>
          <cell r="T17" t="str">
            <v>C</v>
          </cell>
        </row>
        <row r="18">
          <cell r="A18" t="str">
            <v>000A2001</v>
          </cell>
          <cell r="B18">
            <v>55.19</v>
          </cell>
          <cell r="C18">
            <v>24471.891</v>
          </cell>
          <cell r="D18">
            <v>1350603.66429</v>
          </cell>
          <cell r="E18">
            <v>2.0877024869456924E-2</v>
          </cell>
          <cell r="F18">
            <v>0.69864744426233227</v>
          </cell>
          <cell r="G18" t="str">
            <v>B</v>
          </cell>
          <cell r="N18" t="str">
            <v>000X0108</v>
          </cell>
          <cell r="O18">
            <v>10.66</v>
          </cell>
          <cell r="P18">
            <v>7510</v>
          </cell>
          <cell r="Q18">
            <v>80056.600000000006</v>
          </cell>
          <cell r="R18">
            <v>7.456636888781734E-3</v>
          </cell>
          <cell r="S18">
            <v>0.97612416909547495</v>
          </cell>
          <cell r="T18" t="str">
            <v>C</v>
          </cell>
        </row>
        <row r="19">
          <cell r="A19" t="str">
            <v>000A5035</v>
          </cell>
          <cell r="B19">
            <v>106.4</v>
          </cell>
          <cell r="C19">
            <v>12513.867916666666</v>
          </cell>
          <cell r="D19">
            <v>1331475.5463333332</v>
          </cell>
          <cell r="E19">
            <v>2.0581351012761765E-2</v>
          </cell>
          <cell r="F19">
            <v>0.71922879527509409</v>
          </cell>
          <cell r="G19" t="str">
            <v>B</v>
          </cell>
          <cell r="N19" t="str">
            <v>000X0102</v>
          </cell>
          <cell r="O19">
            <v>10.029999999999999</v>
          </cell>
          <cell r="P19">
            <v>6416.1049999999996</v>
          </cell>
          <cell r="Q19">
            <v>64353.533149999988</v>
          </cell>
          <cell r="R19">
            <v>5.9940208453734987E-3</v>
          </cell>
          <cell r="S19">
            <v>0.98211818994084843</v>
          </cell>
          <cell r="T19" t="str">
            <v>C</v>
          </cell>
        </row>
        <row r="20">
          <cell r="A20" t="str">
            <v>000A2019</v>
          </cell>
          <cell r="B20">
            <v>139.61000000000001</v>
          </cell>
          <cell r="C20">
            <v>9425.5</v>
          </cell>
          <cell r="D20">
            <v>1315894.0550000002</v>
          </cell>
          <cell r="E20">
            <v>2.0340499317575356E-2</v>
          </cell>
          <cell r="F20">
            <v>0.7395692945926694</v>
          </cell>
          <cell r="G20" t="str">
            <v>B</v>
          </cell>
          <cell r="N20" t="str">
            <v>000X0109</v>
          </cell>
          <cell r="O20">
            <v>10.64</v>
          </cell>
          <cell r="P20">
            <v>4981</v>
          </cell>
          <cell r="Q20">
            <v>52997.840000000004</v>
          </cell>
          <cell r="R20">
            <v>4.9363281574505051E-3</v>
          </cell>
          <cell r="S20">
            <v>0.98705451809829892</v>
          </cell>
          <cell r="T20" t="str">
            <v>C</v>
          </cell>
        </row>
        <row r="21">
          <cell r="A21" t="str">
            <v>000A1006</v>
          </cell>
          <cell r="B21">
            <v>55.67</v>
          </cell>
          <cell r="C21">
            <v>22776.695</v>
          </cell>
          <cell r="D21">
            <v>1267978.6106499999</v>
          </cell>
          <cell r="E21">
            <v>1.9599843898243364E-2</v>
          </cell>
          <cell r="F21">
            <v>0.75916913849091272</v>
          </cell>
          <cell r="G21" t="str">
            <v>B</v>
          </cell>
          <cell r="N21" t="str">
            <v>000Z0009</v>
          </cell>
          <cell r="O21">
            <v>7.74</v>
          </cell>
          <cell r="P21">
            <v>6595</v>
          </cell>
          <cell r="Q21">
            <v>51045.3</v>
          </cell>
          <cell r="R21">
            <v>4.7544645535649811E-3</v>
          </cell>
          <cell r="S21">
            <v>0.9918089826518639</v>
          </cell>
          <cell r="T21" t="str">
            <v>C</v>
          </cell>
        </row>
        <row r="22">
          <cell r="A22" t="str">
            <v>00013</v>
          </cell>
          <cell r="B22">
            <v>41.49</v>
          </cell>
          <cell r="C22">
            <v>29929.038</v>
          </cell>
          <cell r="D22">
            <v>1241755.7866200001</v>
          </cell>
          <cell r="E22">
            <v>1.919450326138859E-2</v>
          </cell>
          <cell r="F22">
            <v>0.77836364175230133</v>
          </cell>
          <cell r="G22" t="str">
            <v>B</v>
          </cell>
          <cell r="N22" t="str">
            <v>000Z0018</v>
          </cell>
          <cell r="O22">
            <v>12.12</v>
          </cell>
          <cell r="P22">
            <v>2776</v>
          </cell>
          <cell r="Q22">
            <v>33645.119999999995</v>
          </cell>
          <cell r="R22">
            <v>3.133775890051389E-3</v>
          </cell>
          <cell r="S22">
            <v>0.99494275854191527</v>
          </cell>
          <cell r="T22" t="str">
            <v>C</v>
          </cell>
        </row>
        <row r="23">
          <cell r="A23" t="str">
            <v>000A4010</v>
          </cell>
          <cell r="B23">
            <v>68.67</v>
          </cell>
          <cell r="C23">
            <v>16789</v>
          </cell>
          <cell r="D23">
            <v>1152900.6300000001</v>
          </cell>
          <cell r="E23">
            <v>1.7821020156328009E-2</v>
          </cell>
          <cell r="F23">
            <v>0.79618466190862935</v>
          </cell>
          <cell r="G23" t="str">
            <v>B</v>
          </cell>
          <cell r="N23" t="str">
            <v>000Z0011</v>
          </cell>
          <cell r="O23">
            <v>7.92</v>
          </cell>
          <cell r="P23">
            <v>4204</v>
          </cell>
          <cell r="Q23">
            <v>33295.68</v>
          </cell>
          <cell r="R23">
            <v>3.1012283275216805E-3</v>
          </cell>
          <cell r="S23">
            <v>0.99804398686943696</v>
          </cell>
          <cell r="T23" t="str">
            <v>C</v>
          </cell>
        </row>
        <row r="24">
          <cell r="A24" t="str">
            <v>000A1004</v>
          </cell>
          <cell r="B24">
            <v>61.07</v>
          </cell>
          <cell r="C24">
            <v>16578</v>
          </cell>
          <cell r="D24">
            <v>1012418.46</v>
          </cell>
          <cell r="E24">
            <v>1.5649509864782151E-2</v>
          </cell>
          <cell r="F24">
            <v>0.81183417177341155</v>
          </cell>
          <cell r="G24" t="str">
            <v>B</v>
          </cell>
          <cell r="N24" t="str">
            <v>000Z0017</v>
          </cell>
          <cell r="O24">
            <v>12.16</v>
          </cell>
          <cell r="P24">
            <v>1727</v>
          </cell>
          <cell r="Q24">
            <v>21000.32</v>
          </cell>
          <cell r="R24">
            <v>1.9560131305628868E-3</v>
          </cell>
          <cell r="S24">
            <v>0.99999999999999989</v>
          </cell>
          <cell r="T24" t="str">
            <v>C</v>
          </cell>
        </row>
        <row r="25">
          <cell r="A25" t="str">
            <v>00012</v>
          </cell>
          <cell r="B25">
            <v>38.869999999999997</v>
          </cell>
          <cell r="C25">
            <v>24092.432000000001</v>
          </cell>
          <cell r="D25">
            <v>936472.83184</v>
          </cell>
          <cell r="E25">
            <v>1.447557645282422E-2</v>
          </cell>
          <cell r="F25">
            <v>0.82630974822623582</v>
          </cell>
          <cell r="G25" t="str">
            <v>B</v>
          </cell>
          <cell r="P25" t="str">
            <v>Total</v>
          </cell>
          <cell r="Q25">
            <v>10736287.845857499</v>
          </cell>
        </row>
        <row r="26">
          <cell r="A26" t="str">
            <v>000A2018</v>
          </cell>
          <cell r="B26">
            <v>144.75</v>
          </cell>
          <cell r="C26">
            <v>6459.25</v>
          </cell>
          <cell r="D26">
            <v>934976.4375</v>
          </cell>
          <cell r="E26">
            <v>1.4452445861166069E-2</v>
          </cell>
          <cell r="F26">
            <v>0.84076219408740194</v>
          </cell>
          <cell r="G26" t="str">
            <v>B</v>
          </cell>
        </row>
        <row r="27">
          <cell r="A27" t="str">
            <v>000A5037</v>
          </cell>
          <cell r="B27">
            <v>109.05</v>
          </cell>
          <cell r="C27">
            <v>8274.0472041666671</v>
          </cell>
          <cell r="D27">
            <v>902284.84761437506</v>
          </cell>
          <cell r="E27">
            <v>1.3947113946919365E-2</v>
          </cell>
          <cell r="F27">
            <v>0.85470930803432132</v>
          </cell>
          <cell r="G27" t="str">
            <v>B</v>
          </cell>
        </row>
        <row r="28">
          <cell r="A28" t="str">
            <v>000A2007</v>
          </cell>
          <cell r="B28">
            <v>76.62</v>
          </cell>
          <cell r="C28">
            <v>11728.328000000001</v>
          </cell>
          <cell r="D28">
            <v>898624.4913600001</v>
          </cell>
          <cell r="E28">
            <v>1.389053380385139E-2</v>
          </cell>
          <cell r="F28">
            <v>0.86859984183817274</v>
          </cell>
          <cell r="G28" t="str">
            <v>B</v>
          </cell>
        </row>
        <row r="29">
          <cell r="A29" t="str">
            <v>000A2015</v>
          </cell>
          <cell r="B29">
            <v>73.86</v>
          </cell>
          <cell r="C29">
            <v>10387.112000000001</v>
          </cell>
          <cell r="D29">
            <v>767192.09232000005</v>
          </cell>
          <cell r="E29">
            <v>1.1858910807438953E-2</v>
          </cell>
          <cell r="F29">
            <v>0.88045875264561169</v>
          </cell>
          <cell r="G29" t="str">
            <v>B</v>
          </cell>
        </row>
        <row r="30">
          <cell r="A30" t="str">
            <v>00014</v>
          </cell>
          <cell r="B30">
            <v>42.87</v>
          </cell>
          <cell r="C30">
            <v>16652</v>
          </cell>
          <cell r="D30">
            <v>713871.24</v>
          </cell>
          <cell r="E30">
            <v>1.103470101934359E-2</v>
          </cell>
          <cell r="F30">
            <v>0.89149345366495525</v>
          </cell>
          <cell r="G30" t="str">
            <v>B</v>
          </cell>
        </row>
        <row r="31">
          <cell r="A31" t="str">
            <v>000A1019</v>
          </cell>
          <cell r="B31">
            <v>59.04</v>
          </cell>
          <cell r="C31">
            <v>11221.233</v>
          </cell>
          <cell r="D31">
            <v>662501.59632000001</v>
          </cell>
          <cell r="E31">
            <v>1.0240652138092943E-2</v>
          </cell>
          <cell r="F31">
            <v>0.90173410580304814</v>
          </cell>
          <cell r="G31" t="str">
            <v>C</v>
          </cell>
        </row>
        <row r="32">
          <cell r="A32" t="str">
            <v>000A1025</v>
          </cell>
          <cell r="B32">
            <v>79.39</v>
          </cell>
          <cell r="C32">
            <v>7865.7449999999999</v>
          </cell>
          <cell r="D32">
            <v>624461.49554999999</v>
          </cell>
          <cell r="E32">
            <v>9.6526453446792553E-3</v>
          </cell>
          <cell r="F32">
            <v>0.91138675114772738</v>
          </cell>
          <cell r="G32" t="str">
            <v>C</v>
          </cell>
        </row>
        <row r="33">
          <cell r="A33" t="str">
            <v>000A1034</v>
          </cell>
          <cell r="B33">
            <v>70.97</v>
          </cell>
          <cell r="C33">
            <v>8620.3739999999998</v>
          </cell>
          <cell r="D33">
            <v>611787.94277999992</v>
          </cell>
          <cell r="E33">
            <v>9.456743257812969E-3</v>
          </cell>
          <cell r="F33">
            <v>0.92084349440554036</v>
          </cell>
          <cell r="G33" t="str">
            <v>C</v>
          </cell>
        </row>
        <row r="34">
          <cell r="A34" t="str">
            <v>000A1021</v>
          </cell>
          <cell r="B34">
            <v>52.57</v>
          </cell>
          <cell r="C34">
            <v>11614</v>
          </cell>
          <cell r="D34">
            <v>610547.98</v>
          </cell>
          <cell r="E34">
            <v>9.4375764700426502E-3</v>
          </cell>
          <cell r="F34">
            <v>0.93028107087558298</v>
          </cell>
          <cell r="G34" t="str">
            <v>C</v>
          </cell>
        </row>
        <row r="35">
          <cell r="A35" t="str">
            <v>000A1012</v>
          </cell>
          <cell r="B35">
            <v>58.85</v>
          </cell>
          <cell r="C35">
            <v>8879.8770000000004</v>
          </cell>
          <cell r="D35">
            <v>522580.76145000005</v>
          </cell>
          <cell r="E35">
            <v>8.0778187128839433E-3</v>
          </cell>
          <cell r="F35">
            <v>0.93835888958846692</v>
          </cell>
          <cell r="G35" t="str">
            <v>C</v>
          </cell>
        </row>
        <row r="36">
          <cell r="A36" t="str">
            <v>00017</v>
          </cell>
          <cell r="B36">
            <v>42.32</v>
          </cell>
          <cell r="C36">
            <v>11545</v>
          </cell>
          <cell r="D36">
            <v>488584.4</v>
          </cell>
          <cell r="E36">
            <v>7.5523182257844941E-3</v>
          </cell>
          <cell r="F36">
            <v>0.94591120781425142</v>
          </cell>
          <cell r="G36" t="str">
            <v>C</v>
          </cell>
        </row>
        <row r="37">
          <cell r="A37" t="str">
            <v>000A3050</v>
          </cell>
          <cell r="B37">
            <v>154.66</v>
          </cell>
          <cell r="C37">
            <v>2828.9090000000001</v>
          </cell>
          <cell r="D37">
            <v>437519.06594</v>
          </cell>
          <cell r="E37">
            <v>6.7629732259705177E-3</v>
          </cell>
          <cell r="F37">
            <v>0.95267418104022195</v>
          </cell>
          <cell r="G37" t="str">
            <v>C</v>
          </cell>
        </row>
        <row r="38">
          <cell r="A38" t="str">
            <v>000A5036</v>
          </cell>
          <cell r="B38">
            <v>108.46</v>
          </cell>
          <cell r="C38">
            <v>3385.0945000000002</v>
          </cell>
          <cell r="D38">
            <v>367147.34947000002</v>
          </cell>
          <cell r="E38">
            <v>5.6751988376025717E-3</v>
          </cell>
          <cell r="F38">
            <v>0.95834937987782454</v>
          </cell>
          <cell r="G38" t="str">
            <v>C</v>
          </cell>
        </row>
        <row r="39">
          <cell r="A39" t="str">
            <v>000A1017</v>
          </cell>
          <cell r="B39">
            <v>74.400000000000006</v>
          </cell>
          <cell r="C39">
            <v>4832.7470000000003</v>
          </cell>
          <cell r="D39">
            <v>359556.37680000003</v>
          </cell>
          <cell r="E39">
            <v>5.5578609912712669E-3</v>
          </cell>
          <cell r="F39">
            <v>0.96390724086909585</v>
          </cell>
          <cell r="G39" t="str">
            <v>C</v>
          </cell>
        </row>
        <row r="40">
          <cell r="A40" t="str">
            <v>000A1028</v>
          </cell>
          <cell r="B40">
            <v>50.61</v>
          </cell>
          <cell r="C40">
            <v>6902</v>
          </cell>
          <cell r="D40">
            <v>349310.22</v>
          </cell>
          <cell r="E40">
            <v>5.3994805011350977E-3</v>
          </cell>
          <cell r="F40">
            <v>0.96930672137023099</v>
          </cell>
          <cell r="G40" t="str">
            <v>C</v>
          </cell>
        </row>
        <row r="41">
          <cell r="A41" t="str">
            <v>000A2011</v>
          </cell>
          <cell r="B41">
            <v>65.78</v>
          </cell>
          <cell r="C41">
            <v>5264</v>
          </cell>
          <cell r="D41">
            <v>346265.92</v>
          </cell>
          <cell r="E41">
            <v>5.3524230789686192E-3</v>
          </cell>
          <cell r="F41">
            <v>0.97465914444919965</v>
          </cell>
          <cell r="G41" t="str">
            <v>C</v>
          </cell>
        </row>
        <row r="42">
          <cell r="A42" t="str">
            <v>000A3014</v>
          </cell>
          <cell r="B42">
            <v>53.98</v>
          </cell>
          <cell r="C42">
            <v>6225</v>
          </cell>
          <cell r="D42">
            <v>336025.5</v>
          </cell>
          <cell r="E42">
            <v>5.1941312657103819E-3</v>
          </cell>
          <cell r="F42">
            <v>0.97985327571490999</v>
          </cell>
          <cell r="G42" t="str">
            <v>C</v>
          </cell>
        </row>
        <row r="43">
          <cell r="A43" t="str">
            <v>000A4012</v>
          </cell>
          <cell r="B43">
            <v>70.739999999999995</v>
          </cell>
          <cell r="C43">
            <v>4543.9169999999995</v>
          </cell>
          <cell r="D43">
            <v>321436.68857999996</v>
          </cell>
          <cell r="E43">
            <v>4.9686239707992068E-3</v>
          </cell>
          <cell r="F43">
            <v>0.98482189968570921</v>
          </cell>
          <cell r="G43" t="str">
            <v>C</v>
          </cell>
        </row>
        <row r="44">
          <cell r="A44" t="str">
            <v>000A3018</v>
          </cell>
          <cell r="B44">
            <v>62.5</v>
          </cell>
          <cell r="C44">
            <v>4858.7510000000002</v>
          </cell>
          <cell r="D44">
            <v>303671.9375</v>
          </cell>
          <cell r="E44">
            <v>4.6940244269783066E-3</v>
          </cell>
          <cell r="F44">
            <v>0.98951592411268752</v>
          </cell>
          <cell r="G44" t="str">
            <v>C</v>
          </cell>
        </row>
        <row r="45">
          <cell r="A45" t="str">
            <v>000A5014</v>
          </cell>
          <cell r="B45">
            <v>83.99</v>
          </cell>
          <cell r="C45">
            <v>3107.5338333333339</v>
          </cell>
          <cell r="D45">
            <v>261001.76666166668</v>
          </cell>
          <cell r="E45">
            <v>4.0344480898711812E-3</v>
          </cell>
          <cell r="F45">
            <v>0.99355037220255871</v>
          </cell>
          <cell r="G45" t="str">
            <v>C</v>
          </cell>
        </row>
        <row r="46">
          <cell r="A46" t="str">
            <v>000A5034</v>
          </cell>
          <cell r="B46">
            <v>99.99</v>
          </cell>
          <cell r="C46">
            <v>2319.7064633333334</v>
          </cell>
          <cell r="D46">
            <v>231947.4492687</v>
          </cell>
          <cell r="E46">
            <v>3.5853395002710428E-3</v>
          </cell>
          <cell r="F46">
            <v>0.99713571170282977</v>
          </cell>
          <cell r="G46" t="str">
            <v>C</v>
          </cell>
        </row>
        <row r="47">
          <cell r="A47" t="str">
            <v>000A4005</v>
          </cell>
          <cell r="B47">
            <v>70.19</v>
          </cell>
          <cell r="C47">
            <v>2639.9809999999998</v>
          </cell>
          <cell r="D47">
            <v>185300.26638999998</v>
          </cell>
          <cell r="E47">
            <v>2.8642882971701895E-3</v>
          </cell>
          <cell r="F47">
            <v>1</v>
          </cell>
          <cell r="G47" t="str">
            <v>C</v>
          </cell>
        </row>
        <row r="48">
          <cell r="D48">
            <v>64693301.499388091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Parâmetros"/>
      <sheetName val="2-Relatório"/>
    </sheetNames>
    <sheetDataSet>
      <sheetData sheetId="0"/>
      <sheetData sheetId="1">
        <row r="1">
          <cell r="A1" t="str">
            <v>DKT DO BRASIL - Custo Total - Custo Medio, Quantidade ou Valor Total  -  DKT DO BRASIL                            -   Matriz - Matriz (01          )</v>
          </cell>
        </row>
        <row r="2">
          <cell r="A2" t="str">
            <v>Produto</v>
          </cell>
          <cell r="B2" t="str">
            <v>Descrição</v>
          </cell>
          <cell r="C2" t="str">
            <v>Grupo</v>
          </cell>
          <cell r="D2" t="str">
            <v>Subgrupo</v>
          </cell>
          <cell r="E2" t="str">
            <v>Familia</v>
          </cell>
          <cell r="F2" t="str">
            <v>Quantidade</v>
          </cell>
          <cell r="G2" t="str">
            <v>Valor Total</v>
          </cell>
          <cell r="H2" t="str">
            <v>Valor Total M2</v>
          </cell>
          <cell r="I2" t="str">
            <v>Custo Médio</v>
          </cell>
          <cell r="J2" t="str">
            <v>Custo Médio M2</v>
          </cell>
        </row>
        <row r="3">
          <cell r="A3" t="str">
            <v>000A4023</v>
          </cell>
          <cell r="B3" t="str">
            <v>PRUDENCE CLASSICO 3</v>
          </cell>
          <cell r="C3" t="str">
            <v>PRESERVATIVO MASCULINO</v>
          </cell>
          <cell r="D3" t="str">
            <v>CLASSICO</v>
          </cell>
          <cell r="E3" t="str">
            <v>SOCIAL MARKETING</v>
          </cell>
          <cell r="F3">
            <v>7301.42</v>
          </cell>
          <cell r="G3">
            <v>371706.62</v>
          </cell>
          <cell r="H3">
            <v>65569.03</v>
          </cell>
          <cell r="I3">
            <v>50.91</v>
          </cell>
          <cell r="J3">
            <v>8.98</v>
          </cell>
        </row>
        <row r="4">
          <cell r="A4" t="str">
            <v>000A4024</v>
          </cell>
          <cell r="B4" t="str">
            <v>PRUDENCE CLASSICO 6</v>
          </cell>
          <cell r="C4" t="str">
            <v>PRESERVATIVO MASCULINO</v>
          </cell>
          <cell r="D4" t="str">
            <v>CLASSICO</v>
          </cell>
          <cell r="E4" t="str">
            <v>SOCIAL MARKETING</v>
          </cell>
          <cell r="F4">
            <v>1</v>
          </cell>
          <cell r="G4">
            <v>38.840000000000003</v>
          </cell>
          <cell r="H4">
            <v>6.85</v>
          </cell>
          <cell r="I4">
            <v>38.840000000000003</v>
          </cell>
          <cell r="J4">
            <v>6.85</v>
          </cell>
        </row>
        <row r="5">
          <cell r="A5" t="str">
            <v>000A4025</v>
          </cell>
          <cell r="B5" t="str">
            <v>PRUDENCE CLASSICO 8</v>
          </cell>
          <cell r="C5" t="str">
            <v>PRESERVATIVO MASCULINO</v>
          </cell>
          <cell r="D5" t="str">
            <v>CLASSICO</v>
          </cell>
          <cell r="E5" t="str">
            <v>SOCIAL MARKETING</v>
          </cell>
          <cell r="F5">
            <v>29041.040000000001</v>
          </cell>
          <cell r="G5">
            <v>1724283.26</v>
          </cell>
          <cell r="H5">
            <v>304163.5</v>
          </cell>
          <cell r="I5">
            <v>59.37</v>
          </cell>
          <cell r="J5">
            <v>10.47</v>
          </cell>
        </row>
        <row r="6">
          <cell r="A6" t="str">
            <v>000A4026</v>
          </cell>
          <cell r="B6" t="str">
            <v>PRUDENCE CLASSICO 12</v>
          </cell>
          <cell r="C6" t="str">
            <v>PRESERVATIVO MASCULINO</v>
          </cell>
          <cell r="D6" t="str">
            <v>CLASSICO</v>
          </cell>
          <cell r="E6" t="str">
            <v>SOCIAL MARKETING</v>
          </cell>
          <cell r="F6">
            <v>21929.89</v>
          </cell>
          <cell r="G6">
            <v>1000591.52</v>
          </cell>
          <cell r="H6">
            <v>176504.31</v>
          </cell>
          <cell r="I6">
            <v>45.63</v>
          </cell>
          <cell r="J6">
            <v>8.0500000000000007</v>
          </cell>
        </row>
        <row r="7">
          <cell r="A7" t="str">
            <v>000A4028</v>
          </cell>
          <cell r="B7" t="str">
            <v>PRUDENCE PRESERVATIVOS LU</v>
          </cell>
          <cell r="C7" t="str">
            <v>PRESERVATIVO MASCULINO</v>
          </cell>
          <cell r="D7" t="str">
            <v>CLASSICO</v>
          </cell>
          <cell r="E7" t="str">
            <v>SOCIAL MARKETING</v>
          </cell>
          <cell r="F7">
            <v>1878.48</v>
          </cell>
          <cell r="G7">
            <v>88888.91</v>
          </cell>
          <cell r="H7">
            <v>15680</v>
          </cell>
          <cell r="I7">
            <v>47.32</v>
          </cell>
          <cell r="J7">
            <v>8.35</v>
          </cell>
        </row>
        <row r="8">
          <cell r="A8" t="str">
            <v>000A4029</v>
          </cell>
          <cell r="B8" t="str">
            <v>PRUDENCE PRESERVATIVOS LU</v>
          </cell>
          <cell r="C8" t="str">
            <v>PRESERVATIVO MASCULINO</v>
          </cell>
          <cell r="D8" t="str">
            <v>CLASSICO</v>
          </cell>
          <cell r="E8" t="str">
            <v>SOCIAL MARKETING</v>
          </cell>
          <cell r="F8">
            <v>23261.68</v>
          </cell>
          <cell r="G8">
            <v>1455054.52</v>
          </cell>
          <cell r="H8">
            <v>256671.56</v>
          </cell>
          <cell r="I8">
            <v>62.55</v>
          </cell>
          <cell r="J8">
            <v>11.03</v>
          </cell>
        </row>
        <row r="9">
          <cell r="A9" t="str">
            <v>000A4030</v>
          </cell>
          <cell r="B9" t="str">
            <v>PRUDENCE PRESERVATIVOS LU</v>
          </cell>
          <cell r="C9" t="str">
            <v>PRESERVATIVO MASCULINO</v>
          </cell>
          <cell r="D9" t="str">
            <v>CLASSICO</v>
          </cell>
          <cell r="E9" t="str">
            <v>SOCIAL MARKETING</v>
          </cell>
          <cell r="F9">
            <v>6871</v>
          </cell>
          <cell r="G9">
            <v>277866.74</v>
          </cell>
          <cell r="H9">
            <v>49015.68</v>
          </cell>
          <cell r="I9">
            <v>40.44</v>
          </cell>
          <cell r="J9">
            <v>7.13</v>
          </cell>
        </row>
        <row r="10">
          <cell r="A10" t="str">
            <v>000A1001</v>
          </cell>
          <cell r="B10" t="str">
            <v>PRUDENCE C S MORANGO</v>
          </cell>
          <cell r="C10" t="str">
            <v>PRESERVATIVO MASCULINO</v>
          </cell>
          <cell r="D10" t="str">
            <v>CORES E SABORES</v>
          </cell>
          <cell r="E10" t="str">
            <v>FUN</v>
          </cell>
          <cell r="F10">
            <v>2869.5</v>
          </cell>
          <cell r="G10">
            <v>169044.17</v>
          </cell>
          <cell r="H10">
            <v>29819.39</v>
          </cell>
          <cell r="I10">
            <v>58.91</v>
          </cell>
          <cell r="J10">
            <v>10.39</v>
          </cell>
        </row>
        <row r="11">
          <cell r="A11" t="str">
            <v>000A1002</v>
          </cell>
          <cell r="B11" t="str">
            <v>PRUDENCE C S HORTELA</v>
          </cell>
          <cell r="C11" t="str">
            <v>PRESERVATIVO MASCULINO</v>
          </cell>
          <cell r="D11" t="str">
            <v>CORES E SABORES</v>
          </cell>
          <cell r="E11" t="str">
            <v>FUN</v>
          </cell>
          <cell r="F11">
            <v>3097.01</v>
          </cell>
          <cell r="G11">
            <v>176923.5</v>
          </cell>
          <cell r="H11">
            <v>31209.3</v>
          </cell>
          <cell r="I11">
            <v>57.13</v>
          </cell>
          <cell r="J11">
            <v>10.08</v>
          </cell>
        </row>
        <row r="12">
          <cell r="A12" t="str">
            <v>000A1003</v>
          </cell>
          <cell r="B12" t="str">
            <v>PRUDENCE C S UVA</v>
          </cell>
          <cell r="C12" t="str">
            <v>PRESERVATIVO MASCULINO</v>
          </cell>
          <cell r="D12" t="str">
            <v>CORES E SABORES</v>
          </cell>
          <cell r="E12" t="str">
            <v>FUN</v>
          </cell>
          <cell r="F12">
            <v>167.05</v>
          </cell>
          <cell r="G12">
            <v>9300.16</v>
          </cell>
          <cell r="H12">
            <v>1640.55</v>
          </cell>
          <cell r="I12">
            <v>55.67</v>
          </cell>
          <cell r="J12">
            <v>9.82</v>
          </cell>
        </row>
        <row r="13">
          <cell r="A13" t="str">
            <v>000A1004</v>
          </cell>
          <cell r="B13" t="str">
            <v>PRUDENCE C S CHOCOLATE</v>
          </cell>
          <cell r="C13" t="str">
            <v>PRESERVATIVO MASCULINO</v>
          </cell>
          <cell r="D13" t="str">
            <v>CORES E SABORES</v>
          </cell>
          <cell r="E13" t="str">
            <v>FUN</v>
          </cell>
          <cell r="F13">
            <v>225.47</v>
          </cell>
          <cell r="G13">
            <v>13769.69</v>
          </cell>
          <cell r="H13">
            <v>2428.9699999999998</v>
          </cell>
          <cell r="I13">
            <v>61.07</v>
          </cell>
          <cell r="J13">
            <v>10.77</v>
          </cell>
        </row>
        <row r="14">
          <cell r="A14" t="str">
            <v>000A1006</v>
          </cell>
          <cell r="B14" t="str">
            <v>PRUDENCE C S TUTTI-FRUTTI</v>
          </cell>
          <cell r="C14" t="str">
            <v>PRESERVATIVO MASCULINO</v>
          </cell>
          <cell r="D14" t="str">
            <v>CORES E SABORES</v>
          </cell>
          <cell r="E14" t="str">
            <v>FUN</v>
          </cell>
          <cell r="F14">
            <v>2625.13</v>
          </cell>
          <cell r="G14">
            <v>146143.5</v>
          </cell>
          <cell r="H14">
            <v>25779.71</v>
          </cell>
          <cell r="I14">
            <v>55.67</v>
          </cell>
          <cell r="J14">
            <v>9.82</v>
          </cell>
        </row>
        <row r="15">
          <cell r="A15" t="str">
            <v>000A1012</v>
          </cell>
          <cell r="B15" t="str">
            <v>PRUDENCE C S MELANCIA</v>
          </cell>
          <cell r="C15" t="str">
            <v>PRESERVATIVO MASCULINO</v>
          </cell>
          <cell r="D15" t="str">
            <v>CORES E SABORES</v>
          </cell>
          <cell r="E15" t="str">
            <v>FUN</v>
          </cell>
          <cell r="F15">
            <v>102</v>
          </cell>
          <cell r="G15">
            <v>6002.5</v>
          </cell>
          <cell r="H15">
            <v>1058.8399999999999</v>
          </cell>
          <cell r="I15">
            <v>58.85</v>
          </cell>
          <cell r="J15">
            <v>10.38</v>
          </cell>
        </row>
        <row r="16">
          <cell r="A16" t="str">
            <v>000A1019</v>
          </cell>
          <cell r="B16" t="str">
            <v>PRUDENCE C S CHICLETE</v>
          </cell>
          <cell r="C16" t="str">
            <v>PRESERVATIVO MASCULINO</v>
          </cell>
          <cell r="D16" t="str">
            <v>CORES E SABORES</v>
          </cell>
          <cell r="E16" t="str">
            <v>FUN</v>
          </cell>
          <cell r="F16">
            <v>38.18</v>
          </cell>
          <cell r="G16">
            <v>2253.96</v>
          </cell>
          <cell r="H16">
            <v>397.6</v>
          </cell>
          <cell r="I16">
            <v>59.04</v>
          </cell>
          <cell r="J16">
            <v>10.41</v>
          </cell>
        </row>
        <row r="17">
          <cell r="A17" t="str">
            <v>000A1021</v>
          </cell>
          <cell r="B17" t="str">
            <v>PRUDENCE C S MORANGO C/6</v>
          </cell>
          <cell r="C17" t="str">
            <v>PRESERVATIVO MASCULINO</v>
          </cell>
          <cell r="D17" t="str">
            <v>CORES E SABORES</v>
          </cell>
          <cell r="E17" t="str">
            <v>FUN</v>
          </cell>
          <cell r="F17">
            <v>3756</v>
          </cell>
          <cell r="G17">
            <v>197453.09</v>
          </cell>
          <cell r="H17">
            <v>34830.720000000001</v>
          </cell>
          <cell r="I17">
            <v>52.57</v>
          </cell>
          <cell r="J17">
            <v>9.27</v>
          </cell>
        </row>
        <row r="18">
          <cell r="A18" t="str">
            <v>000A1022</v>
          </cell>
          <cell r="B18" t="str">
            <v>PRUDENCE C S HORTELA C/6</v>
          </cell>
          <cell r="C18" t="str">
            <v>PRESERVATIVO MASCULINO</v>
          </cell>
          <cell r="D18" t="str">
            <v>CORES E SABORES</v>
          </cell>
          <cell r="E18" t="str">
            <v>FUN</v>
          </cell>
          <cell r="F18">
            <v>11.04</v>
          </cell>
          <cell r="G18">
            <v>504.86</v>
          </cell>
          <cell r="H18">
            <v>89.06</v>
          </cell>
          <cell r="I18">
            <v>45.73</v>
          </cell>
          <cell r="J18">
            <v>8.07</v>
          </cell>
        </row>
        <row r="19">
          <cell r="A19" t="str">
            <v>000A1025</v>
          </cell>
          <cell r="B19" t="str">
            <v>PRUDENCE C S CAIPIRINHA</v>
          </cell>
          <cell r="C19" t="str">
            <v>PRESERVATIVO MASCULINO</v>
          </cell>
          <cell r="D19" t="str">
            <v>CORES E SABORES</v>
          </cell>
          <cell r="E19" t="str">
            <v>FUN</v>
          </cell>
          <cell r="F19">
            <v>94.5</v>
          </cell>
          <cell r="G19">
            <v>7502.2</v>
          </cell>
          <cell r="H19">
            <v>1323.39</v>
          </cell>
          <cell r="I19">
            <v>79.39</v>
          </cell>
          <cell r="J19">
            <v>14</v>
          </cell>
        </row>
        <row r="20">
          <cell r="A20" t="str">
            <v>000A1028</v>
          </cell>
          <cell r="B20" t="str">
            <v>PRUDENCE C S MIX/FLOWPACK</v>
          </cell>
          <cell r="C20" t="str">
            <v>PRESERVATIVO MASCULINO</v>
          </cell>
          <cell r="D20" t="str">
            <v>CORES E SABORES</v>
          </cell>
          <cell r="E20" t="str">
            <v>FUN</v>
          </cell>
          <cell r="F20">
            <v>1283.01</v>
          </cell>
          <cell r="G20">
            <v>64932.45</v>
          </cell>
          <cell r="H20">
            <v>11454.08</v>
          </cell>
          <cell r="I20">
            <v>50.61</v>
          </cell>
          <cell r="J20">
            <v>8.93</v>
          </cell>
        </row>
        <row r="21">
          <cell r="A21" t="str">
            <v>000A1031</v>
          </cell>
          <cell r="B21" t="str">
            <v>PRUDENCE C S MIX LEVE 8 P</v>
          </cell>
          <cell r="C21" t="str">
            <v>PRESERVATIVO MASCULINO</v>
          </cell>
          <cell r="D21" t="str">
            <v>CORES E SABORES</v>
          </cell>
          <cell r="E21" t="str">
            <v>FUN</v>
          </cell>
          <cell r="F21">
            <v>6229.67</v>
          </cell>
          <cell r="G21">
            <v>440150.26</v>
          </cell>
          <cell r="H21">
            <v>77642.490000000005</v>
          </cell>
          <cell r="I21">
            <v>70.650000000000006</v>
          </cell>
          <cell r="J21">
            <v>12.46</v>
          </cell>
        </row>
        <row r="22">
          <cell r="A22" t="str">
            <v>000A1033</v>
          </cell>
          <cell r="B22" t="str">
            <v>PRUDENCE C S CHURROS</v>
          </cell>
          <cell r="C22" t="str">
            <v>PRESERVATIVO MASCULINO</v>
          </cell>
          <cell r="D22" t="str">
            <v>CORES E SABORES</v>
          </cell>
          <cell r="E22" t="str">
            <v>FUN</v>
          </cell>
          <cell r="F22">
            <v>13.31</v>
          </cell>
          <cell r="G22">
            <v>659.05</v>
          </cell>
          <cell r="H22">
            <v>116.26</v>
          </cell>
          <cell r="I22">
            <v>49.52</v>
          </cell>
          <cell r="J22">
            <v>8.73</v>
          </cell>
        </row>
        <row r="23">
          <cell r="A23" t="str">
            <v>000A1034</v>
          </cell>
          <cell r="B23" t="str">
            <v>PRUDENCE C S MIX TROPICAL</v>
          </cell>
          <cell r="C23" t="str">
            <v>PRESERVATIVO MASCULINO</v>
          </cell>
          <cell r="D23" t="str">
            <v>CORES E SABORES</v>
          </cell>
          <cell r="E23" t="str">
            <v>FUN</v>
          </cell>
          <cell r="F23">
            <v>5437.69</v>
          </cell>
          <cell r="G23">
            <v>385935.41</v>
          </cell>
          <cell r="H23">
            <v>68078.990000000005</v>
          </cell>
          <cell r="I23">
            <v>70.97</v>
          </cell>
          <cell r="J23">
            <v>12.52</v>
          </cell>
        </row>
        <row r="24">
          <cell r="A24" t="str">
            <v>000A1017</v>
          </cell>
          <cell r="B24" t="str">
            <v>PRUDENCE C S MORANGAO</v>
          </cell>
          <cell r="C24" t="str">
            <v>PRESERVATIVO MASCULINO</v>
          </cell>
          <cell r="D24" t="str">
            <v>PERFORMANCE</v>
          </cell>
          <cell r="E24" t="str">
            <v>PREMIUM+AFFAIR</v>
          </cell>
          <cell r="F24">
            <v>2935</v>
          </cell>
          <cell r="G24">
            <v>218376.26</v>
          </cell>
          <cell r="H24">
            <v>38521.56</v>
          </cell>
          <cell r="I24">
            <v>74.400000000000006</v>
          </cell>
          <cell r="J24">
            <v>13.12</v>
          </cell>
        </row>
        <row r="25">
          <cell r="A25" t="str">
            <v>000A2001</v>
          </cell>
          <cell r="B25" t="str">
            <v>PRUDENCE ULTRA SENSIVEL</v>
          </cell>
          <cell r="C25" t="str">
            <v>PRESERVATIVO MASCULINO</v>
          </cell>
          <cell r="D25" t="str">
            <v>PERFORMANCE</v>
          </cell>
          <cell r="E25" t="str">
            <v>PREMIUM+AFFAIR</v>
          </cell>
          <cell r="F25">
            <v>8870</v>
          </cell>
          <cell r="G25">
            <v>489500.14</v>
          </cell>
          <cell r="H25">
            <v>86347.81</v>
          </cell>
          <cell r="I25">
            <v>55.19</v>
          </cell>
          <cell r="J25">
            <v>9.73</v>
          </cell>
        </row>
        <row r="26">
          <cell r="A26" t="str">
            <v>000A2004</v>
          </cell>
          <cell r="B26" t="str">
            <v>PRUDENCE ULTRA SENSIVEL C</v>
          </cell>
          <cell r="C26" t="str">
            <v>PRESERVATIVO MASCULINO</v>
          </cell>
          <cell r="D26" t="str">
            <v>PERFORMANCE</v>
          </cell>
          <cell r="E26" t="str">
            <v>PREMIUM+AFFAIR</v>
          </cell>
          <cell r="F26">
            <v>22.32</v>
          </cell>
          <cell r="G26">
            <v>889.27</v>
          </cell>
          <cell r="H26">
            <v>156.87</v>
          </cell>
          <cell r="I26">
            <v>39.840000000000003</v>
          </cell>
          <cell r="J26">
            <v>7.03</v>
          </cell>
        </row>
        <row r="27">
          <cell r="A27" t="str">
            <v>000A2005</v>
          </cell>
          <cell r="B27" t="str">
            <v>PRUDENCE ULTRA SENSIVEL L</v>
          </cell>
          <cell r="C27" t="str">
            <v>PRESERVATIVO MASCULINO</v>
          </cell>
          <cell r="D27" t="str">
            <v>PERFORMANCE</v>
          </cell>
          <cell r="E27" t="str">
            <v>PREMIUM+AFFAIR</v>
          </cell>
          <cell r="F27">
            <v>21681.119999999999</v>
          </cell>
          <cell r="G27">
            <v>1391379.23</v>
          </cell>
          <cell r="H27">
            <v>245439.24</v>
          </cell>
          <cell r="I27">
            <v>64.17</v>
          </cell>
          <cell r="J27">
            <v>11.32</v>
          </cell>
        </row>
        <row r="28">
          <cell r="A28" t="str">
            <v>000A2007</v>
          </cell>
          <cell r="B28" t="str">
            <v>PRUDENCE SUPER SENSITIVE</v>
          </cell>
          <cell r="C28" t="str">
            <v>PRESERVATIVO MASCULINO</v>
          </cell>
          <cell r="D28" t="str">
            <v>PERFORMANCE</v>
          </cell>
          <cell r="E28" t="str">
            <v>PREMIUM+AFFAIR</v>
          </cell>
          <cell r="F28">
            <v>2484.0500000000002</v>
          </cell>
          <cell r="G28">
            <v>190336.62</v>
          </cell>
          <cell r="H28">
            <v>33575.370000000003</v>
          </cell>
          <cell r="I28">
            <v>76.62</v>
          </cell>
          <cell r="J28">
            <v>13.52</v>
          </cell>
        </row>
        <row r="29">
          <cell r="A29" t="str">
            <v>000A2008</v>
          </cell>
          <cell r="B29" t="str">
            <v>PRUDENCE SUPER SENSITIVE</v>
          </cell>
          <cell r="C29" t="str">
            <v>PRESERVATIVO MASCULINO</v>
          </cell>
          <cell r="D29" t="str">
            <v>PERFORMANCE</v>
          </cell>
          <cell r="E29" t="str">
            <v>PREMIUM+AFFAIR</v>
          </cell>
          <cell r="F29">
            <v>849.13</v>
          </cell>
          <cell r="G29">
            <v>64686.57</v>
          </cell>
          <cell r="H29">
            <v>11410.71</v>
          </cell>
          <cell r="I29">
            <v>76.180000000000007</v>
          </cell>
          <cell r="J29">
            <v>13.44</v>
          </cell>
        </row>
        <row r="30">
          <cell r="A30" t="str">
            <v>000A2011</v>
          </cell>
          <cell r="B30" t="str">
            <v>PRUDENCE SENSACOES SENSIT</v>
          </cell>
          <cell r="C30" t="str">
            <v>PRESERVATIVO MASCULINO</v>
          </cell>
          <cell r="D30" t="str">
            <v>PERFORMANCE</v>
          </cell>
          <cell r="E30" t="str">
            <v>MALE SAMPLE</v>
          </cell>
          <cell r="F30">
            <v>1581.13</v>
          </cell>
          <cell r="G30">
            <v>104008.15</v>
          </cell>
          <cell r="H30">
            <v>18347.03</v>
          </cell>
          <cell r="I30">
            <v>65.78</v>
          </cell>
          <cell r="J30">
            <v>11.6</v>
          </cell>
        </row>
        <row r="31">
          <cell r="A31" t="str">
            <v>000A2012</v>
          </cell>
          <cell r="B31" t="str">
            <v>PRUDENCE SENSACOES SENSIT</v>
          </cell>
          <cell r="C31" t="str">
            <v>PRESERVATIVO MASCULINO</v>
          </cell>
          <cell r="D31" t="str">
            <v>PERFORMANCE</v>
          </cell>
          <cell r="E31" t="str">
            <v>MALE SAMPLE</v>
          </cell>
          <cell r="F31">
            <v>1.73</v>
          </cell>
          <cell r="G31">
            <v>83.83</v>
          </cell>
          <cell r="H31">
            <v>14.79</v>
          </cell>
          <cell r="I31">
            <v>48.46</v>
          </cell>
          <cell r="J31">
            <v>8.5500000000000007</v>
          </cell>
        </row>
        <row r="32">
          <cell r="A32" t="str">
            <v>000A2013</v>
          </cell>
          <cell r="B32" t="str">
            <v>PRUDENCE SUPER SENSITIVE</v>
          </cell>
          <cell r="C32" t="str">
            <v>PRESERVATIVO MASCULINO</v>
          </cell>
          <cell r="D32" t="str">
            <v>PERFORMANCE</v>
          </cell>
          <cell r="E32" t="str">
            <v>PREMIUM+AFFAIR</v>
          </cell>
          <cell r="F32">
            <v>1</v>
          </cell>
          <cell r="G32">
            <v>78.459999999999994</v>
          </cell>
          <cell r="H32">
            <v>13.84</v>
          </cell>
          <cell r="I32">
            <v>78.459999999999994</v>
          </cell>
          <cell r="J32">
            <v>13.84</v>
          </cell>
        </row>
        <row r="33">
          <cell r="A33" t="str">
            <v>000A2014</v>
          </cell>
          <cell r="B33" t="str">
            <v>PRUDENCE SUPER SENSITIVE</v>
          </cell>
          <cell r="C33" t="str">
            <v>PRESERVATIVO MASCULINO</v>
          </cell>
          <cell r="D33" t="str">
            <v>PERFORMANCE</v>
          </cell>
          <cell r="E33" t="str">
            <v>PREMIUM+AFFAIR</v>
          </cell>
          <cell r="F33">
            <v>257.52999999999997</v>
          </cell>
          <cell r="G33">
            <v>20798.79</v>
          </cell>
          <cell r="H33">
            <v>3668.91</v>
          </cell>
          <cell r="I33">
            <v>80.760000000000005</v>
          </cell>
          <cell r="J33">
            <v>14.25</v>
          </cell>
        </row>
        <row r="34">
          <cell r="A34" t="str">
            <v>000A2015</v>
          </cell>
          <cell r="B34" t="str">
            <v>PRUDENCE SUPER SENSITIVE</v>
          </cell>
          <cell r="C34" t="str">
            <v>PRESERVATIVO MASCULINO</v>
          </cell>
          <cell r="D34" t="str">
            <v>PERFORMANCE</v>
          </cell>
          <cell r="E34" t="str">
            <v>PREMIUM+AFFAIR</v>
          </cell>
          <cell r="F34">
            <v>394.34</v>
          </cell>
          <cell r="G34">
            <v>29124.49</v>
          </cell>
          <cell r="H34">
            <v>5137.5600000000004</v>
          </cell>
          <cell r="I34">
            <v>73.86</v>
          </cell>
          <cell r="J34">
            <v>13.03</v>
          </cell>
        </row>
        <row r="35">
          <cell r="A35" t="str">
            <v>000A2017</v>
          </cell>
          <cell r="B35" t="str">
            <v>PRUDENCE SUPER SENSITIVE</v>
          </cell>
          <cell r="C35" t="str">
            <v>PRESERVATIVO MASCULINO</v>
          </cell>
          <cell r="D35" t="str">
            <v>PERFORMANCE</v>
          </cell>
          <cell r="E35" t="str">
            <v>PREMIUM+AFFAIR</v>
          </cell>
          <cell r="F35">
            <v>0</v>
          </cell>
          <cell r="G35">
            <v>0.17</v>
          </cell>
          <cell r="H35">
            <v>0.03</v>
          </cell>
          <cell r="I35">
            <v>0</v>
          </cell>
          <cell r="J35">
            <v>0</v>
          </cell>
        </row>
        <row r="36">
          <cell r="A36" t="str">
            <v>000A2018</v>
          </cell>
          <cell r="B36" t="str">
            <v>PRUDENCE SUPER SENSITIVE</v>
          </cell>
          <cell r="C36" t="str">
            <v>PRESERVATIVO MASCULINO</v>
          </cell>
          <cell r="D36" t="str">
            <v>PERFORMANCE</v>
          </cell>
          <cell r="E36" t="str">
            <v>N/A</v>
          </cell>
          <cell r="F36">
            <v>6631.58</v>
          </cell>
          <cell r="G36">
            <v>959932.92</v>
          </cell>
          <cell r="H36">
            <v>169332.13</v>
          </cell>
          <cell r="I36">
            <v>144.75</v>
          </cell>
          <cell r="J36">
            <v>25.53</v>
          </cell>
        </row>
        <row r="37">
          <cell r="A37" t="str">
            <v>000A2019</v>
          </cell>
          <cell r="B37" t="str">
            <v>PRUDENCE SUPER SENSITIVE</v>
          </cell>
          <cell r="C37" t="str">
            <v>PRESERVATIVO MASCULINO</v>
          </cell>
          <cell r="D37" t="str">
            <v>PERFORMANCE</v>
          </cell>
          <cell r="E37" t="str">
            <v>N/A</v>
          </cell>
          <cell r="F37">
            <v>6140.59</v>
          </cell>
          <cell r="G37">
            <v>857289.22</v>
          </cell>
          <cell r="H37">
            <v>151225.79</v>
          </cell>
          <cell r="I37">
            <v>139.61000000000001</v>
          </cell>
          <cell r="J37">
            <v>24.63</v>
          </cell>
        </row>
        <row r="38">
          <cell r="A38" t="str">
            <v>000A3005</v>
          </cell>
          <cell r="B38" t="str">
            <v>PRUDENCE EFEITO RETARDANT</v>
          </cell>
          <cell r="C38" t="str">
            <v>PRESERVATIVO MASCULINO</v>
          </cell>
          <cell r="D38" t="str">
            <v>PERFORMANCE</v>
          </cell>
          <cell r="E38" t="str">
            <v>PREMIUM+AFFAIR</v>
          </cell>
          <cell r="F38">
            <v>2266.14</v>
          </cell>
          <cell r="G38">
            <v>141068.26999999999</v>
          </cell>
          <cell r="H38">
            <v>24884.44</v>
          </cell>
          <cell r="I38">
            <v>62.25</v>
          </cell>
          <cell r="J38">
            <v>10.98</v>
          </cell>
        </row>
        <row r="39">
          <cell r="A39" t="str">
            <v>000A3007</v>
          </cell>
          <cell r="B39" t="str">
            <v>PRUDENCE EFEITO RETARDANT</v>
          </cell>
          <cell r="C39" t="str">
            <v>PRESERVATIVO MASCULINO</v>
          </cell>
          <cell r="D39" t="str">
            <v>PERFORMANCE</v>
          </cell>
          <cell r="E39" t="str">
            <v>PREMIUM+AFFAIR</v>
          </cell>
          <cell r="F39">
            <v>1.34</v>
          </cell>
          <cell r="G39">
            <v>62.51</v>
          </cell>
          <cell r="H39">
            <v>11.03</v>
          </cell>
          <cell r="I39">
            <v>46.65</v>
          </cell>
          <cell r="J39">
            <v>8.23</v>
          </cell>
        </row>
        <row r="40">
          <cell r="A40" t="str">
            <v>000A3009</v>
          </cell>
          <cell r="B40" t="str">
            <v>PRUDENCE EFEITO RETARDANT</v>
          </cell>
          <cell r="C40" t="str">
            <v>PRESERVATIVO MASCULINO</v>
          </cell>
          <cell r="D40" t="str">
            <v>PERFORMANCE</v>
          </cell>
          <cell r="E40" t="str">
            <v>PREMIUM+AFFAIR</v>
          </cell>
          <cell r="F40">
            <v>6913.27</v>
          </cell>
          <cell r="G40">
            <v>509515.42</v>
          </cell>
          <cell r="H40">
            <v>89878.5</v>
          </cell>
          <cell r="I40">
            <v>73.7</v>
          </cell>
          <cell r="J40">
            <v>13</v>
          </cell>
        </row>
        <row r="41">
          <cell r="A41" t="str">
            <v>000A3012</v>
          </cell>
          <cell r="B41" t="str">
            <v>PRUDENCE CABECAO</v>
          </cell>
          <cell r="C41" t="str">
            <v>PRESERVATIVO MASCULINO</v>
          </cell>
          <cell r="D41" t="str">
            <v>PERFORMANCE</v>
          </cell>
          <cell r="E41" t="str">
            <v>PREMIUM+AFFAIR</v>
          </cell>
          <cell r="F41">
            <v>10</v>
          </cell>
          <cell r="G41">
            <v>609.48</v>
          </cell>
          <cell r="H41">
            <v>107.51</v>
          </cell>
          <cell r="I41">
            <v>60.95</v>
          </cell>
          <cell r="J41">
            <v>10.75</v>
          </cell>
        </row>
        <row r="42">
          <cell r="A42" t="str">
            <v>000A3013</v>
          </cell>
          <cell r="B42" t="str">
            <v>PRUDENCE EXTRA TEXTURIZAD</v>
          </cell>
          <cell r="C42" t="str">
            <v>PRESERVATIVO MASCULINO</v>
          </cell>
          <cell r="D42" t="str">
            <v>PERFORMANCE</v>
          </cell>
          <cell r="E42" t="str">
            <v>PREMIUM+AFFAIR</v>
          </cell>
          <cell r="F42">
            <v>74.25</v>
          </cell>
          <cell r="G42">
            <v>8020.82</v>
          </cell>
          <cell r="H42">
            <v>1414.87</v>
          </cell>
          <cell r="I42">
            <v>108.02</v>
          </cell>
          <cell r="J42">
            <v>19.059999999999999</v>
          </cell>
        </row>
        <row r="43">
          <cell r="A43" t="str">
            <v>000A3014</v>
          </cell>
          <cell r="B43" t="str">
            <v>PRUDENCE EXTRA TEXTURIZAD</v>
          </cell>
          <cell r="C43" t="str">
            <v>PRESERVATIVO MASCULINO</v>
          </cell>
          <cell r="D43" t="str">
            <v>PERFORMANCE</v>
          </cell>
          <cell r="E43" t="str">
            <v>PREMIUM+AFFAIR</v>
          </cell>
          <cell r="F43">
            <v>4326.6899999999996</v>
          </cell>
          <cell r="G43">
            <v>233551.87</v>
          </cell>
          <cell r="H43">
            <v>41198.54</v>
          </cell>
          <cell r="I43">
            <v>53.98</v>
          </cell>
          <cell r="J43">
            <v>9.52</v>
          </cell>
        </row>
        <row r="44">
          <cell r="A44" t="str">
            <v>000A3016</v>
          </cell>
          <cell r="B44" t="str">
            <v>PRUDENCE ANATOMICO EXTRA</v>
          </cell>
          <cell r="C44" t="str">
            <v>PRESERVATIVO MASCULINO</v>
          </cell>
          <cell r="D44" t="str">
            <v>PERFORMANCE</v>
          </cell>
          <cell r="E44" t="str">
            <v>PREMIUM+AFFAIR</v>
          </cell>
          <cell r="F44">
            <v>2.89</v>
          </cell>
          <cell r="G44">
            <v>138.80000000000001</v>
          </cell>
          <cell r="H44">
            <v>24.48</v>
          </cell>
          <cell r="I44">
            <v>48.03</v>
          </cell>
          <cell r="J44">
            <v>8.4700000000000006</v>
          </cell>
        </row>
        <row r="45">
          <cell r="A45" t="str">
            <v>000A3017</v>
          </cell>
          <cell r="B45" t="str">
            <v>PRUDENCE SENSACOES TEXTUR</v>
          </cell>
          <cell r="C45" t="str">
            <v>PRESERVATIVO MASCULINO</v>
          </cell>
          <cell r="D45" t="str">
            <v>PERFORMANCE</v>
          </cell>
          <cell r="E45" t="str">
            <v>PREMIUM+AFFAIR</v>
          </cell>
          <cell r="F45">
            <v>0.72</v>
          </cell>
          <cell r="G45">
            <v>42.19</v>
          </cell>
          <cell r="H45">
            <v>7.44</v>
          </cell>
          <cell r="I45">
            <v>58.6</v>
          </cell>
          <cell r="J45">
            <v>10.33</v>
          </cell>
        </row>
        <row r="46">
          <cell r="A46" t="str">
            <v>000A3018</v>
          </cell>
          <cell r="B46" t="str">
            <v>PRUDENCE SENSACOES TEXTUR</v>
          </cell>
          <cell r="C46" t="str">
            <v>PRESERVATIVO MASCULINO</v>
          </cell>
          <cell r="D46" t="str">
            <v>PERFORMANCE</v>
          </cell>
          <cell r="E46" t="str">
            <v>PREMIUM+AFFAIR</v>
          </cell>
          <cell r="F46">
            <v>5652.13</v>
          </cell>
          <cell r="G46">
            <v>353246.55</v>
          </cell>
          <cell r="H46">
            <v>62312.68</v>
          </cell>
          <cell r="I46">
            <v>62.5</v>
          </cell>
          <cell r="J46">
            <v>11.02</v>
          </cell>
        </row>
        <row r="47">
          <cell r="A47" t="str">
            <v>000A3035</v>
          </cell>
          <cell r="B47" t="str">
            <v>PRUDENCE ICE</v>
          </cell>
          <cell r="C47" t="str">
            <v>PRESERVATIVO MASCULINO</v>
          </cell>
          <cell r="D47" t="str">
            <v>PERFORMANCE</v>
          </cell>
          <cell r="E47" t="str">
            <v>PREMIUM+AFFAIR</v>
          </cell>
          <cell r="F47">
            <v>0.02</v>
          </cell>
          <cell r="G47">
            <v>0.96</v>
          </cell>
          <cell r="H47">
            <v>0.17</v>
          </cell>
          <cell r="I47">
            <v>48</v>
          </cell>
          <cell r="J47">
            <v>8.5</v>
          </cell>
        </row>
        <row r="48">
          <cell r="A48" t="str">
            <v>000A3050</v>
          </cell>
          <cell r="B48" t="str">
            <v>PRUDENCE NEON</v>
          </cell>
          <cell r="C48" t="str">
            <v>PRESERVATIVO MASCULINO</v>
          </cell>
          <cell r="D48" t="str">
            <v>PERFORMANCE</v>
          </cell>
          <cell r="E48" t="str">
            <v>PREMIUM+AFFAIR</v>
          </cell>
          <cell r="F48">
            <v>2713.08</v>
          </cell>
          <cell r="G48">
            <v>419596.88</v>
          </cell>
          <cell r="H48">
            <v>74016.87</v>
          </cell>
          <cell r="I48">
            <v>154.66</v>
          </cell>
          <cell r="J48">
            <v>27.28</v>
          </cell>
        </row>
        <row r="49">
          <cell r="A49" t="str">
            <v>000A4005</v>
          </cell>
          <cell r="B49" t="str">
            <v>PRUDENCE ULTRA RESISTENTE</v>
          </cell>
          <cell r="C49" t="str">
            <v>PRESERVATIVO MASCULINO</v>
          </cell>
          <cell r="D49" t="str">
            <v>PERFORMANCE</v>
          </cell>
          <cell r="E49" t="str">
            <v>PREMIUM+AFFAIR</v>
          </cell>
          <cell r="F49">
            <v>763.25</v>
          </cell>
          <cell r="G49">
            <v>53571.72</v>
          </cell>
          <cell r="H49">
            <v>9450.0499999999993</v>
          </cell>
          <cell r="I49">
            <v>70.19</v>
          </cell>
          <cell r="J49">
            <v>12.38</v>
          </cell>
        </row>
        <row r="50">
          <cell r="A50" t="str">
            <v>000A4010</v>
          </cell>
          <cell r="B50" t="str">
            <v>PRUDENCE EXTRA GRANDE</v>
          </cell>
          <cell r="C50" t="str">
            <v>PRESERVATIVO MASCULINO</v>
          </cell>
          <cell r="D50" t="str">
            <v>PERFORMANCE</v>
          </cell>
          <cell r="E50" t="str">
            <v>PREMIUM+AFFAIR</v>
          </cell>
          <cell r="F50">
            <v>1706.23</v>
          </cell>
          <cell r="G50">
            <v>117169.77</v>
          </cell>
          <cell r="H50">
            <v>20668.740000000002</v>
          </cell>
          <cell r="I50">
            <v>68.67</v>
          </cell>
          <cell r="J50">
            <v>12.11</v>
          </cell>
        </row>
        <row r="51">
          <cell r="A51" t="str">
            <v>000A4011</v>
          </cell>
          <cell r="B51" t="str">
            <v>PRUCENCE EXTRA GDE ULTRA</v>
          </cell>
          <cell r="C51" t="str">
            <v>PRESERVATIVO MASCULINO</v>
          </cell>
          <cell r="D51" t="str">
            <v>PERFORMANCE</v>
          </cell>
          <cell r="E51" t="str">
            <v>PREMIUM+AFFAIR</v>
          </cell>
          <cell r="F51">
            <v>2702.21</v>
          </cell>
          <cell r="G51">
            <v>149541.85</v>
          </cell>
          <cell r="H51">
            <v>26379.18</v>
          </cell>
          <cell r="I51">
            <v>55.34</v>
          </cell>
          <cell r="J51">
            <v>9.76</v>
          </cell>
        </row>
        <row r="52">
          <cell r="A52" t="str">
            <v>000A4012</v>
          </cell>
          <cell r="B52" t="str">
            <v>PRUCENCE EXTRA GDE ULTRA</v>
          </cell>
          <cell r="C52" t="str">
            <v>PRESERVATIVO MASCULINO</v>
          </cell>
          <cell r="D52" t="str">
            <v>PERFORMANCE</v>
          </cell>
          <cell r="E52" t="str">
            <v>PREMIUM+AFFAIR</v>
          </cell>
          <cell r="F52">
            <v>2525.44</v>
          </cell>
          <cell r="G52">
            <v>178661.5</v>
          </cell>
          <cell r="H52">
            <v>31515.88</v>
          </cell>
          <cell r="I52">
            <v>70.739999999999995</v>
          </cell>
          <cell r="J52">
            <v>12.48</v>
          </cell>
        </row>
        <row r="53">
          <cell r="A53" t="str">
            <v>000A4013</v>
          </cell>
          <cell r="B53" t="str">
            <v>PRUDENCE EXTRA GDE ULTRA</v>
          </cell>
          <cell r="C53" t="str">
            <v>PRESERVATIVO MASCULINO</v>
          </cell>
          <cell r="D53" t="str">
            <v>PERFORMANCE</v>
          </cell>
          <cell r="E53" t="str">
            <v>PREMIUM+AFFAIR</v>
          </cell>
          <cell r="F53">
            <v>7139.12</v>
          </cell>
          <cell r="G53">
            <v>619367.25</v>
          </cell>
          <cell r="H53">
            <v>109256.36</v>
          </cell>
          <cell r="I53">
            <v>86.76</v>
          </cell>
          <cell r="J53">
            <v>15.3</v>
          </cell>
        </row>
        <row r="54">
          <cell r="A54" t="str">
            <v>00012</v>
          </cell>
          <cell r="B54" t="str">
            <v>SUTRA</v>
          </cell>
          <cell r="C54" t="str">
            <v>PRESERVATIVO MASCULINO</v>
          </cell>
          <cell r="D54" t="str">
            <v>SUTRA - LOW PRICE</v>
          </cell>
          <cell r="E54" t="str">
            <v>LOW PRICE</v>
          </cell>
          <cell r="F54">
            <v>3693</v>
          </cell>
          <cell r="G54">
            <v>143550.29999999999</v>
          </cell>
          <cell r="H54">
            <v>25322.27</v>
          </cell>
          <cell r="I54">
            <v>38.869999999999997</v>
          </cell>
          <cell r="J54">
            <v>6.86</v>
          </cell>
        </row>
        <row r="55">
          <cell r="A55" t="str">
            <v>00013</v>
          </cell>
          <cell r="B55" t="str">
            <v>SUTRA MORANGO</v>
          </cell>
          <cell r="C55" t="str">
            <v>PRESERVATIVO MASCULINO</v>
          </cell>
          <cell r="D55" t="str">
            <v>SUTRA - LOW PRICE</v>
          </cell>
          <cell r="E55" t="str">
            <v>LOW PRICE</v>
          </cell>
          <cell r="F55">
            <v>331</v>
          </cell>
          <cell r="G55">
            <v>13733.05</v>
          </cell>
          <cell r="H55">
            <v>2422.5100000000002</v>
          </cell>
          <cell r="I55">
            <v>41.49</v>
          </cell>
          <cell r="J55">
            <v>7.32</v>
          </cell>
        </row>
        <row r="56">
          <cell r="A56" t="str">
            <v>00014</v>
          </cell>
          <cell r="B56" t="str">
            <v>SUTRA HORTELA</v>
          </cell>
          <cell r="C56" t="str">
            <v>PRESERVATIVO MASCULINO</v>
          </cell>
          <cell r="D56" t="str">
            <v>SUTRA - LOW PRICE</v>
          </cell>
          <cell r="E56" t="str">
            <v>LOW PRICE</v>
          </cell>
          <cell r="F56">
            <v>124</v>
          </cell>
          <cell r="G56">
            <v>5315.31</v>
          </cell>
          <cell r="H56">
            <v>937.62</v>
          </cell>
          <cell r="I56">
            <v>42.87</v>
          </cell>
          <cell r="J56">
            <v>7.56</v>
          </cell>
        </row>
        <row r="57">
          <cell r="A57" t="str">
            <v>00017</v>
          </cell>
          <cell r="B57" t="str">
            <v>SUTRA SENSITIVE</v>
          </cell>
          <cell r="C57" t="str">
            <v>PRESERVATIVO MASCULINO</v>
          </cell>
          <cell r="D57" t="str">
            <v>SUTRA - LOW PRICE</v>
          </cell>
          <cell r="E57" t="str">
            <v>LOW PRICE</v>
          </cell>
          <cell r="F57">
            <v>66</v>
          </cell>
          <cell r="G57">
            <v>2793.08</v>
          </cell>
          <cell r="H57">
            <v>492.7</v>
          </cell>
          <cell r="I57">
            <v>42.32</v>
          </cell>
          <cell r="J57">
            <v>7.47</v>
          </cell>
        </row>
        <row r="58">
          <cell r="A58" t="str">
            <v>000A7061</v>
          </cell>
          <cell r="B58" t="str">
            <v>PRUDENCE ULTRA SENSIVEL 1</v>
          </cell>
          <cell r="C58" t="str">
            <v>PRESERVATIVO MASCULINO</v>
          </cell>
          <cell r="D58" t="str">
            <v>PACK PROMOCIONAL</v>
          </cell>
          <cell r="E58" t="str">
            <v>PROMOTIONAL PACK</v>
          </cell>
          <cell r="F58">
            <v>0</v>
          </cell>
          <cell r="G58">
            <v>0.08</v>
          </cell>
          <cell r="H58">
            <v>0.01</v>
          </cell>
          <cell r="I58">
            <v>0</v>
          </cell>
          <cell r="J58">
            <v>0</v>
          </cell>
        </row>
        <row r="59">
          <cell r="A59" t="str">
            <v>000P0030</v>
          </cell>
          <cell r="B59" t="str">
            <v>PRUDENCE SUPER SENSITIVE</v>
          </cell>
          <cell r="C59" t="str">
            <v>PRESERVATIVO MASCULINO</v>
          </cell>
          <cell r="D59" t="str">
            <v>AMOSTRA UNITARIA / LP</v>
          </cell>
          <cell r="E59" t="str">
            <v>MALE SAMPLE</v>
          </cell>
          <cell r="F59">
            <v>3169</v>
          </cell>
          <cell r="G59">
            <v>336038.41</v>
          </cell>
          <cell r="H59">
            <v>59277.16</v>
          </cell>
          <cell r="I59">
            <v>106.04</v>
          </cell>
          <cell r="J59">
            <v>18.71</v>
          </cell>
        </row>
        <row r="60">
          <cell r="A60" t="str">
            <v>000A4091</v>
          </cell>
          <cell r="B60" t="str">
            <v>PRUDENCE NAO LUBRIFICADO</v>
          </cell>
          <cell r="C60" t="str">
            <v>PRESERVATIVO MASCULINO</v>
          </cell>
          <cell r="D60" t="str">
            <v>LICITACAO</v>
          </cell>
          <cell r="E60" t="str">
            <v>MALE - PUBLIC SECTOR</v>
          </cell>
          <cell r="F60">
            <v>0.08</v>
          </cell>
          <cell r="G60">
            <v>1.31</v>
          </cell>
          <cell r="H60">
            <v>0.23</v>
          </cell>
          <cell r="I60">
            <v>16.38</v>
          </cell>
          <cell r="J60">
            <v>2.88</v>
          </cell>
        </row>
        <row r="61">
          <cell r="A61" t="str">
            <v>000C1082</v>
          </cell>
          <cell r="B61" t="str">
            <v>PRUDENCE CORES E SABORES</v>
          </cell>
          <cell r="C61" t="str">
            <v>PRESERVATIVO MASCULINO</v>
          </cell>
          <cell r="D61" t="str">
            <v>LICITACAO</v>
          </cell>
          <cell r="E61" t="str">
            <v>MALE - PUBLIC SECTOR</v>
          </cell>
          <cell r="F61">
            <v>0</v>
          </cell>
          <cell r="G61">
            <v>0.08</v>
          </cell>
          <cell r="H61">
            <v>0.01</v>
          </cell>
          <cell r="I61">
            <v>0</v>
          </cell>
          <cell r="J61">
            <v>0</v>
          </cell>
        </row>
        <row r="62">
          <cell r="A62" t="str">
            <v>000A5014</v>
          </cell>
          <cell r="B62" t="str">
            <v>GEL PRUD MORANGO FIRE 60G</v>
          </cell>
          <cell r="C62" t="str">
            <v>LUBRIFICANTES INTIMOS</v>
          </cell>
          <cell r="D62" t="str">
            <v>LUBRIFICACAO</v>
          </cell>
          <cell r="E62" t="str">
            <v>GEL TUBO 60G</v>
          </cell>
          <cell r="F62">
            <v>3.27</v>
          </cell>
          <cell r="G62">
            <v>274.64999999999998</v>
          </cell>
          <cell r="H62">
            <v>48.45</v>
          </cell>
          <cell r="I62">
            <v>83.99</v>
          </cell>
          <cell r="J62">
            <v>14.82</v>
          </cell>
        </row>
        <row r="63">
          <cell r="A63" t="str">
            <v>000A5023</v>
          </cell>
          <cell r="B63" t="str">
            <v>PRUDENCE GEL SABORES CHOC</v>
          </cell>
          <cell r="C63" t="str">
            <v>LUBRIFICANTES INTIMOS</v>
          </cell>
          <cell r="D63" t="str">
            <v>LUBRIFICACAO</v>
          </cell>
          <cell r="E63" t="str">
            <v>GEL TUBO 60G</v>
          </cell>
          <cell r="F63">
            <v>2.75</v>
          </cell>
          <cell r="G63">
            <v>244.22</v>
          </cell>
          <cell r="H63">
            <v>43.08</v>
          </cell>
          <cell r="I63">
            <v>88.81</v>
          </cell>
          <cell r="J63">
            <v>15.67</v>
          </cell>
        </row>
        <row r="64">
          <cell r="A64" t="str">
            <v>000A5024</v>
          </cell>
          <cell r="B64" t="str">
            <v>GEL NEUTRO SACHE</v>
          </cell>
          <cell r="C64" t="str">
            <v>LUBRIFICANTES INTIMOS</v>
          </cell>
          <cell r="D64" t="str">
            <v>LUBRIFICACAO</v>
          </cell>
          <cell r="E64" t="str">
            <v>GEL SACHE</v>
          </cell>
          <cell r="F64">
            <v>2.17</v>
          </cell>
          <cell r="G64">
            <v>240.27</v>
          </cell>
          <cell r="H64">
            <v>42.38</v>
          </cell>
          <cell r="I64">
            <v>110.72</v>
          </cell>
          <cell r="J64">
            <v>19.53</v>
          </cell>
        </row>
        <row r="65">
          <cell r="A65" t="str">
            <v>000A5027</v>
          </cell>
          <cell r="B65" t="str">
            <v>GEL MIX SACHE</v>
          </cell>
          <cell r="C65" t="str">
            <v>LUBRIFICANTES INTIMOS</v>
          </cell>
          <cell r="D65" t="str">
            <v>LUBRIFICACAO</v>
          </cell>
          <cell r="E65" t="str">
            <v>GEL SACHE</v>
          </cell>
          <cell r="F65">
            <v>7.19</v>
          </cell>
          <cell r="G65">
            <v>912.8</v>
          </cell>
          <cell r="H65">
            <v>161.02000000000001</v>
          </cell>
          <cell r="I65">
            <v>126.95</v>
          </cell>
          <cell r="J65">
            <v>22.39</v>
          </cell>
        </row>
        <row r="66">
          <cell r="A66" t="str">
            <v>000A5028</v>
          </cell>
          <cell r="B66" t="str">
            <v>GEL PRUDENCE SEM AROMA FE</v>
          </cell>
          <cell r="C66" t="str">
            <v>LUBRIFICANTES INTIMOS</v>
          </cell>
          <cell r="D66" t="str">
            <v>LUBRIFICACAO</v>
          </cell>
          <cell r="E66" t="str">
            <v>MALE SAMPLE</v>
          </cell>
          <cell r="F66">
            <v>43.87</v>
          </cell>
          <cell r="G66">
            <v>4529.07</v>
          </cell>
          <cell r="H66">
            <v>798.93</v>
          </cell>
          <cell r="I66">
            <v>103.24</v>
          </cell>
          <cell r="J66">
            <v>18.21</v>
          </cell>
        </row>
        <row r="67">
          <cell r="A67" t="str">
            <v>000A5034</v>
          </cell>
          <cell r="B67" t="str">
            <v>PRUDENCE GEL NEUTRO 100G</v>
          </cell>
          <cell r="C67" t="str">
            <v>LUBRIFICANTES INTIMOS</v>
          </cell>
          <cell r="D67" t="str">
            <v>LUBRIFICACAO</v>
          </cell>
          <cell r="E67" t="str">
            <v>GEL TUBO 100G</v>
          </cell>
          <cell r="F67">
            <v>5.68</v>
          </cell>
          <cell r="G67">
            <v>567.97</v>
          </cell>
          <cell r="H67">
            <v>100.19</v>
          </cell>
          <cell r="I67">
            <v>99.99</v>
          </cell>
          <cell r="J67">
            <v>17.64</v>
          </cell>
        </row>
        <row r="68">
          <cell r="A68" t="str">
            <v>000A5035</v>
          </cell>
          <cell r="B68" t="str">
            <v>PRUDENCE GEL MORANGO 100G</v>
          </cell>
          <cell r="C68" t="str">
            <v>LUBRIFICANTES INTIMOS</v>
          </cell>
          <cell r="D68" t="str">
            <v>LUBRIFICACAO</v>
          </cell>
          <cell r="E68" t="str">
            <v>GEL TUBO 100G</v>
          </cell>
          <cell r="F68">
            <v>1.25</v>
          </cell>
          <cell r="G68">
            <v>133</v>
          </cell>
          <cell r="H68">
            <v>23.46</v>
          </cell>
          <cell r="I68">
            <v>106.4</v>
          </cell>
          <cell r="J68">
            <v>18.77</v>
          </cell>
        </row>
        <row r="69">
          <cell r="A69" t="str">
            <v>000A5036</v>
          </cell>
          <cell r="B69" t="str">
            <v>GEL PRUDENCE HORTELA 100G</v>
          </cell>
          <cell r="C69" t="str">
            <v>LUBRIFICANTES INTIMOS</v>
          </cell>
          <cell r="D69" t="str">
            <v>LUBRIFICACAO</v>
          </cell>
          <cell r="E69" t="str">
            <v>GEL TUBO 100G</v>
          </cell>
          <cell r="F69">
            <v>1.68</v>
          </cell>
          <cell r="G69">
            <v>182.22</v>
          </cell>
          <cell r="H69">
            <v>32.14</v>
          </cell>
          <cell r="I69">
            <v>108.46</v>
          </cell>
          <cell r="J69">
            <v>19.13</v>
          </cell>
        </row>
        <row r="70">
          <cell r="A70" t="str">
            <v>000A5037</v>
          </cell>
          <cell r="B70" t="str">
            <v>GEL PRUDENCE CHICLETE 100</v>
          </cell>
          <cell r="C70" t="str">
            <v>LUBRIFICANTES INTIMOS</v>
          </cell>
          <cell r="D70" t="str">
            <v>LUBRIFICACAO</v>
          </cell>
          <cell r="E70" t="str">
            <v>GEL TUBO 100G</v>
          </cell>
          <cell r="F70">
            <v>10.26</v>
          </cell>
          <cell r="G70">
            <v>1118.9000000000001</v>
          </cell>
          <cell r="H70">
            <v>197.37</v>
          </cell>
          <cell r="I70">
            <v>109.05</v>
          </cell>
          <cell r="J70">
            <v>19.239999999999998</v>
          </cell>
        </row>
        <row r="71">
          <cell r="A71" t="str">
            <v>000H1003</v>
          </cell>
          <cell r="B71" t="str">
            <v>PRUDENCE SOFTCUP</v>
          </cell>
          <cell r="C71" t="str">
            <v>PRUDENCE INTIMA</v>
          </cell>
          <cell r="D71" t="str">
            <v>HIGIENE</v>
          </cell>
          <cell r="E71" t="str">
            <v>INTIMA</v>
          </cell>
          <cell r="F71">
            <v>3.17</v>
          </cell>
          <cell r="G71">
            <v>177.45</v>
          </cell>
          <cell r="H71">
            <v>31.3</v>
          </cell>
          <cell r="I71">
            <v>55.98</v>
          </cell>
          <cell r="J71">
            <v>9.8699999999999992</v>
          </cell>
        </row>
        <row r="72">
          <cell r="A72" t="str">
            <v>000H1013</v>
          </cell>
          <cell r="B72" t="str">
            <v>PRUDENCE INTIMA - LENCO U</v>
          </cell>
          <cell r="C72" t="str">
            <v>PRUDENCE INTIMA</v>
          </cell>
          <cell r="D72" t="str">
            <v>HIGIENE</v>
          </cell>
          <cell r="E72" t="str">
            <v>INTIMA</v>
          </cell>
          <cell r="F72">
            <v>1410.94</v>
          </cell>
          <cell r="G72">
            <v>47163.97</v>
          </cell>
          <cell r="H72">
            <v>8319.7199999999993</v>
          </cell>
          <cell r="I72">
            <v>33.43</v>
          </cell>
          <cell r="J72">
            <v>5.9</v>
          </cell>
        </row>
        <row r="73">
          <cell r="A73" t="str">
            <v>000P0103</v>
          </cell>
          <cell r="B73" t="str">
            <v>PRUDENCE SOFTCUP UNIT AMO</v>
          </cell>
          <cell r="C73" t="str">
            <v>PRUDENCE INTIMA</v>
          </cell>
          <cell r="D73" t="str">
            <v>HIGIENE</v>
          </cell>
          <cell r="E73" t="str">
            <v>INTIMA</v>
          </cell>
          <cell r="F73">
            <v>0</v>
          </cell>
          <cell r="G73">
            <v>0.03</v>
          </cell>
          <cell r="H73">
            <v>0.01</v>
          </cell>
          <cell r="I73">
            <v>0</v>
          </cell>
          <cell r="J73">
            <v>0</v>
          </cell>
        </row>
        <row r="74">
          <cell r="A74" t="str">
            <v>000H1002</v>
          </cell>
          <cell r="B74" t="str">
            <v>COL MENSTR DESC SOFTCUP U</v>
          </cell>
          <cell r="C74" t="str">
            <v>PRUDENCE INTIMA</v>
          </cell>
          <cell r="D74" t="str">
            <v>COLETOR MENSTRUAL</v>
          </cell>
          <cell r="E74" t="str">
            <v>INTIMA</v>
          </cell>
          <cell r="F74">
            <v>6</v>
          </cell>
          <cell r="G74">
            <v>0.24</v>
          </cell>
          <cell r="H74">
            <v>0.04</v>
          </cell>
          <cell r="I74">
            <v>0.04</v>
          </cell>
          <cell r="J74">
            <v>0.01</v>
          </cell>
        </row>
        <row r="75">
          <cell r="A75" t="str">
            <v>000X0101</v>
          </cell>
          <cell r="B75" t="str">
            <v>ASPIRADOR IPAS MVA  AMIU</v>
          </cell>
          <cell r="C75" t="str">
            <v>INSTRUMENTOS MEDICOS</v>
          </cell>
          <cell r="D75" t="str">
            <v>ASPIRADOR</v>
          </cell>
          <cell r="E75" t="str">
            <v>ASPIRATOR</v>
          </cell>
          <cell r="F75">
            <v>2306</v>
          </cell>
          <cell r="G75">
            <v>202809.25</v>
          </cell>
          <cell r="H75">
            <v>35775.54</v>
          </cell>
          <cell r="I75">
            <v>87.95</v>
          </cell>
          <cell r="J75">
            <v>15.51</v>
          </cell>
        </row>
        <row r="76">
          <cell r="A76" t="str">
            <v>000XE101</v>
          </cell>
          <cell r="B76" t="str">
            <v>ASPIRADOR IPAS AMIU DVS</v>
          </cell>
          <cell r="C76" t="str">
            <v>INSTRUMENTOS MEDICOS</v>
          </cell>
          <cell r="D76" t="str">
            <v>ASPIRADOR</v>
          </cell>
          <cell r="E76" t="str">
            <v>ASPIRATOR</v>
          </cell>
          <cell r="F76">
            <v>105</v>
          </cell>
          <cell r="G76">
            <v>8774.07</v>
          </cell>
          <cell r="H76">
            <v>1547.75</v>
          </cell>
          <cell r="I76">
            <v>83.56</v>
          </cell>
          <cell r="J76">
            <v>14.74</v>
          </cell>
        </row>
        <row r="77">
          <cell r="A77" t="str">
            <v>000X0102</v>
          </cell>
          <cell r="B77" t="str">
            <v>SR4 CANULA IPAS ENGATE RA</v>
          </cell>
          <cell r="C77" t="str">
            <v>INSTRUMENTOS MEDICOS</v>
          </cell>
          <cell r="D77" t="str">
            <v>CANULAS</v>
          </cell>
          <cell r="E77" t="str">
            <v>CANNULAE</v>
          </cell>
          <cell r="F77">
            <v>2662</v>
          </cell>
          <cell r="G77">
            <v>26696.45</v>
          </cell>
          <cell r="H77">
            <v>4709.25</v>
          </cell>
          <cell r="I77">
            <v>10.029999999999999</v>
          </cell>
          <cell r="J77">
            <v>1.77</v>
          </cell>
        </row>
        <row r="78">
          <cell r="A78" t="str">
            <v>000X0103</v>
          </cell>
          <cell r="B78" t="str">
            <v>SR5 CANULA IPAS ENGATE RA</v>
          </cell>
          <cell r="C78" t="str">
            <v>INSTRUMENTOS MEDICOS</v>
          </cell>
          <cell r="D78" t="str">
            <v>CANULAS</v>
          </cell>
          <cell r="E78" t="str">
            <v>CANNULAE</v>
          </cell>
          <cell r="F78">
            <v>1595</v>
          </cell>
          <cell r="G78">
            <v>16052.64</v>
          </cell>
          <cell r="H78">
            <v>2831.69</v>
          </cell>
          <cell r="I78">
            <v>10.06</v>
          </cell>
          <cell r="J78">
            <v>1.78</v>
          </cell>
        </row>
        <row r="79">
          <cell r="A79" t="str">
            <v>000X0104</v>
          </cell>
          <cell r="B79" t="str">
            <v>SR6 CANULA IPAS ENGATE RA</v>
          </cell>
          <cell r="C79" t="str">
            <v>INSTRUMENTOS MEDICOS</v>
          </cell>
          <cell r="D79" t="str">
            <v>CANULAS</v>
          </cell>
          <cell r="E79" t="str">
            <v>CANNULAE</v>
          </cell>
          <cell r="F79">
            <v>1643</v>
          </cell>
          <cell r="G79">
            <v>16567.52</v>
          </cell>
          <cell r="H79">
            <v>2922.51</v>
          </cell>
          <cell r="I79">
            <v>10.08</v>
          </cell>
          <cell r="J79">
            <v>1.78</v>
          </cell>
        </row>
        <row r="80">
          <cell r="A80" t="str">
            <v>000X0105</v>
          </cell>
          <cell r="B80" t="str">
            <v>SR7 CANULA IPAS ENGATE RA</v>
          </cell>
          <cell r="C80" t="str">
            <v>INSTRUMENTOS MEDICOS</v>
          </cell>
          <cell r="D80" t="str">
            <v>CANULAS</v>
          </cell>
          <cell r="E80" t="str">
            <v>CANNULAE</v>
          </cell>
          <cell r="F80">
            <v>2983</v>
          </cell>
          <cell r="G80">
            <v>29392.400000000001</v>
          </cell>
          <cell r="H80">
            <v>5184.82</v>
          </cell>
          <cell r="I80">
            <v>9.85</v>
          </cell>
          <cell r="J80">
            <v>1.74</v>
          </cell>
        </row>
        <row r="81">
          <cell r="A81" t="str">
            <v>000X0106</v>
          </cell>
          <cell r="B81" t="str">
            <v>SR8 CANULA IPAS ENGATE RA</v>
          </cell>
          <cell r="C81" t="str">
            <v>INSTRUMENTOS MEDICOS</v>
          </cell>
          <cell r="D81" t="str">
            <v>CANULAS</v>
          </cell>
          <cell r="E81" t="str">
            <v>CANNULAE</v>
          </cell>
          <cell r="F81">
            <v>1793</v>
          </cell>
          <cell r="G81">
            <v>17324.77</v>
          </cell>
          <cell r="H81">
            <v>3056.09</v>
          </cell>
          <cell r="I81">
            <v>9.66</v>
          </cell>
          <cell r="J81">
            <v>1.7</v>
          </cell>
        </row>
        <row r="82">
          <cell r="A82" t="str">
            <v>000X0107</v>
          </cell>
          <cell r="B82" t="str">
            <v>SR9 CANULA IPAS ENGATE RA</v>
          </cell>
          <cell r="C82" t="str">
            <v>INSTRUMENTOS MEDICOS</v>
          </cell>
          <cell r="D82" t="str">
            <v>CANULAS</v>
          </cell>
          <cell r="E82" t="str">
            <v>CANNULAE</v>
          </cell>
          <cell r="F82">
            <v>3546</v>
          </cell>
          <cell r="G82">
            <v>36855.08</v>
          </cell>
          <cell r="H82">
            <v>6501.23</v>
          </cell>
          <cell r="I82">
            <v>10.39</v>
          </cell>
          <cell r="J82">
            <v>1.83</v>
          </cell>
        </row>
        <row r="83">
          <cell r="A83" t="str">
            <v>000X0108</v>
          </cell>
          <cell r="B83" t="str">
            <v>SR10 CANULA IPAS ENGATE R</v>
          </cell>
          <cell r="C83" t="str">
            <v>INSTRUMENTOS MEDICOS</v>
          </cell>
          <cell r="D83" t="str">
            <v>CANULAS</v>
          </cell>
          <cell r="E83" t="str">
            <v>CANNULAE</v>
          </cell>
          <cell r="F83">
            <v>1709</v>
          </cell>
          <cell r="G83">
            <v>18213.16</v>
          </cell>
          <cell r="H83">
            <v>3212.8</v>
          </cell>
          <cell r="I83">
            <v>10.66</v>
          </cell>
          <cell r="J83">
            <v>1.88</v>
          </cell>
        </row>
        <row r="84">
          <cell r="A84" t="str">
            <v>000X0109</v>
          </cell>
          <cell r="B84" t="str">
            <v>SR12 CANULA IPAS ENGATE R</v>
          </cell>
          <cell r="C84" t="str">
            <v>INSTRUMENTOS MEDICOS</v>
          </cell>
          <cell r="D84" t="str">
            <v>CANULAS</v>
          </cell>
          <cell r="E84" t="str">
            <v>CANNULAE</v>
          </cell>
          <cell r="F84">
            <v>2800</v>
          </cell>
          <cell r="G84">
            <v>29803.78</v>
          </cell>
          <cell r="H84">
            <v>5257.39</v>
          </cell>
          <cell r="I84">
            <v>10.64</v>
          </cell>
          <cell r="J84">
            <v>1.88</v>
          </cell>
        </row>
        <row r="85">
          <cell r="A85" t="str">
            <v>000Z0035</v>
          </cell>
          <cell r="B85" t="str">
            <v>HISTEROMETRO ANDALAN</v>
          </cell>
          <cell r="C85" t="str">
            <v>INSTRUMENTOS MEDICOS</v>
          </cell>
          <cell r="D85" t="str">
            <v>HISTEROMETRO</v>
          </cell>
          <cell r="E85" t="str">
            <v>HYSTEROMETER</v>
          </cell>
          <cell r="F85">
            <v>48165</v>
          </cell>
          <cell r="G85">
            <v>138931.97</v>
          </cell>
          <cell r="H85">
            <v>24507.59</v>
          </cell>
          <cell r="I85">
            <v>2.88</v>
          </cell>
          <cell r="J85">
            <v>0.51</v>
          </cell>
        </row>
        <row r="86">
          <cell r="A86" t="str">
            <v>000Z0038</v>
          </cell>
          <cell r="B86" t="str">
            <v>DIU ESTERIL (INSERCAO)</v>
          </cell>
          <cell r="C86" t="str">
            <v>INSTRUMENTOS MEDICOS</v>
          </cell>
          <cell r="D86" t="str">
            <v>MATERIAL PROMOCIONAL</v>
          </cell>
          <cell r="E86" t="str">
            <v>HYSTEROMETER</v>
          </cell>
          <cell r="F86">
            <v>304</v>
          </cell>
          <cell r="G86">
            <v>9768.4699999999993</v>
          </cell>
          <cell r="H86">
            <v>1723.16</v>
          </cell>
          <cell r="I86">
            <v>32.130000000000003</v>
          </cell>
          <cell r="J86">
            <v>5.67</v>
          </cell>
        </row>
        <row r="87">
          <cell r="A87" t="str">
            <v>000Z0009</v>
          </cell>
          <cell r="B87" t="str">
            <v>ANDALAN COMFORT MINI CU 3</v>
          </cell>
          <cell r="C87" t="str">
            <v>CONTRACEPTIVOS</v>
          </cell>
          <cell r="D87" t="str">
            <v>AIUS</v>
          </cell>
          <cell r="E87" t="str">
            <v>CONTRACEPTIVE</v>
          </cell>
          <cell r="F87">
            <v>5176</v>
          </cell>
          <cell r="G87">
            <v>40084.78</v>
          </cell>
          <cell r="H87">
            <v>7070.95</v>
          </cell>
          <cell r="I87">
            <v>7.74</v>
          </cell>
          <cell r="J87">
            <v>1.37</v>
          </cell>
        </row>
        <row r="88">
          <cell r="A88" t="str">
            <v>000Z0010</v>
          </cell>
          <cell r="B88" t="str">
            <v>ANDALAN COMFORT CU 250</v>
          </cell>
          <cell r="C88" t="str">
            <v>CONTRACEPTIVOS</v>
          </cell>
          <cell r="D88" t="str">
            <v>AIUS</v>
          </cell>
          <cell r="E88" t="str">
            <v>CONTRACEPTIVE</v>
          </cell>
          <cell r="F88">
            <v>45</v>
          </cell>
          <cell r="G88">
            <v>330.94</v>
          </cell>
          <cell r="H88">
            <v>58.38</v>
          </cell>
          <cell r="I88">
            <v>7.35</v>
          </cell>
          <cell r="J88">
            <v>1.3</v>
          </cell>
        </row>
        <row r="89">
          <cell r="A89" t="str">
            <v>000Z0011</v>
          </cell>
          <cell r="B89" t="str">
            <v>ANDALAN COMFORT CU 375</v>
          </cell>
          <cell r="C89" t="str">
            <v>CONTRACEPTIVOS</v>
          </cell>
          <cell r="D89" t="str">
            <v>AIUS</v>
          </cell>
          <cell r="E89" t="str">
            <v>CONTRACEPTIVE</v>
          </cell>
          <cell r="F89">
            <v>7795</v>
          </cell>
          <cell r="G89">
            <v>61738.57</v>
          </cell>
          <cell r="H89">
            <v>10890.68</v>
          </cell>
          <cell r="I89">
            <v>7.92</v>
          </cell>
          <cell r="J89">
            <v>1.4</v>
          </cell>
        </row>
        <row r="90">
          <cell r="A90" t="str">
            <v>000Z0012</v>
          </cell>
          <cell r="B90" t="str">
            <v>ANDALAN SILVERFLEX CU 380</v>
          </cell>
          <cell r="C90" t="str">
            <v>CONTRACEPTIVOS</v>
          </cell>
          <cell r="D90" t="str">
            <v>AIUS</v>
          </cell>
          <cell r="E90" t="str">
            <v>CONTRACEPTIVE</v>
          </cell>
          <cell r="F90">
            <v>10889</v>
          </cell>
          <cell r="G90">
            <v>413301.15</v>
          </cell>
          <cell r="H90">
            <v>72906.31</v>
          </cell>
          <cell r="I90">
            <v>37.96</v>
          </cell>
          <cell r="J90">
            <v>6.7</v>
          </cell>
        </row>
        <row r="91">
          <cell r="A91" t="str">
            <v>000Z0013</v>
          </cell>
          <cell r="B91" t="str">
            <v>ANDALAN CLASSIC CU 380</v>
          </cell>
          <cell r="C91" t="str">
            <v>CONTRACEPTIVOS</v>
          </cell>
          <cell r="D91" t="str">
            <v>AIUS</v>
          </cell>
          <cell r="E91" t="str">
            <v>CONTRACEPTIVE</v>
          </cell>
          <cell r="F91">
            <v>13736</v>
          </cell>
          <cell r="G91">
            <v>103538.57</v>
          </cell>
          <cell r="H91">
            <v>18264.2</v>
          </cell>
          <cell r="I91">
            <v>7.54</v>
          </cell>
          <cell r="J91">
            <v>1.33</v>
          </cell>
        </row>
        <row r="92">
          <cell r="A92" t="str">
            <v>000Z0015</v>
          </cell>
          <cell r="B92" t="str">
            <v>ANDALAN CLASSIC POS-PARTO</v>
          </cell>
          <cell r="C92" t="str">
            <v>CONTRACEPTIVOS</v>
          </cell>
          <cell r="D92" t="str">
            <v>AIUS</v>
          </cell>
          <cell r="E92" t="str">
            <v>CONTRACEPTIVE</v>
          </cell>
          <cell r="F92">
            <v>3</v>
          </cell>
          <cell r="G92">
            <v>21.45</v>
          </cell>
          <cell r="H92">
            <v>3.78</v>
          </cell>
          <cell r="I92">
            <v>7.15</v>
          </cell>
          <cell r="J92">
            <v>1.26</v>
          </cell>
        </row>
        <row r="93">
          <cell r="A93" t="str">
            <v>000Z0016</v>
          </cell>
          <cell r="B93" t="str">
            <v>ANDALAN SILVERFLEX MINI C</v>
          </cell>
          <cell r="C93" t="str">
            <v>CONTRACEPTIVOS</v>
          </cell>
          <cell r="D93" t="str">
            <v>AIUS</v>
          </cell>
          <cell r="E93" t="str">
            <v>CONTRACEPTIVE</v>
          </cell>
          <cell r="F93">
            <v>6690</v>
          </cell>
          <cell r="G93">
            <v>247315.69</v>
          </cell>
          <cell r="H93">
            <v>43626.48</v>
          </cell>
          <cell r="I93">
            <v>36.97</v>
          </cell>
          <cell r="J93">
            <v>6.52</v>
          </cell>
        </row>
        <row r="94">
          <cell r="A94" t="str">
            <v>000Z0017</v>
          </cell>
          <cell r="B94" t="str">
            <v>ANDALAN COPPERFLEX Y MINI</v>
          </cell>
          <cell r="C94" t="str">
            <v>CONTRACEPTIVOS</v>
          </cell>
          <cell r="D94" t="str">
            <v>AIUS</v>
          </cell>
          <cell r="E94" t="str">
            <v>CONTRACEPTIVE</v>
          </cell>
          <cell r="F94">
            <v>8947</v>
          </cell>
          <cell r="G94">
            <v>108779.94</v>
          </cell>
          <cell r="H94">
            <v>19188.78</v>
          </cell>
          <cell r="I94">
            <v>12.16</v>
          </cell>
          <cell r="J94">
            <v>2.14</v>
          </cell>
        </row>
        <row r="95">
          <cell r="A95" t="str">
            <v>000Z0018</v>
          </cell>
          <cell r="B95" t="str">
            <v>ANDALAN COPPERFLEX Y CU 3</v>
          </cell>
          <cell r="C95" t="str">
            <v>CONTRACEPTIVOS</v>
          </cell>
          <cell r="D95" t="str">
            <v>AIUS</v>
          </cell>
          <cell r="E95" t="str">
            <v>CONTRACEPTIVE</v>
          </cell>
          <cell r="F95">
            <v>8847</v>
          </cell>
          <cell r="G95">
            <v>107187.95</v>
          </cell>
          <cell r="H95">
            <v>18907.95</v>
          </cell>
          <cell r="I95">
            <v>12.12</v>
          </cell>
          <cell r="J95">
            <v>2.14</v>
          </cell>
        </row>
        <row r="96">
          <cell r="A96" t="str">
            <v>000Z0019</v>
          </cell>
          <cell r="B96" t="str">
            <v>ANDALAN CLASSIC FASTLOAD</v>
          </cell>
          <cell r="C96" t="str">
            <v>CONTRACEPTIVOS</v>
          </cell>
          <cell r="D96" t="str">
            <v>AIUS</v>
          </cell>
          <cell r="E96" t="str">
            <v>CONTRACEPTIVE</v>
          </cell>
          <cell r="F96">
            <v>27</v>
          </cell>
          <cell r="G96">
            <v>1239.6300000000001</v>
          </cell>
          <cell r="H96">
            <v>218.67</v>
          </cell>
          <cell r="I96">
            <v>45.91</v>
          </cell>
          <cell r="J96">
            <v>8.1</v>
          </cell>
        </row>
        <row r="97">
          <cell r="A97" t="str">
            <v>000EC0001</v>
          </cell>
          <cell r="B97" t="str">
            <v>SAYA CONTROL</v>
          </cell>
          <cell r="C97" t="str">
            <v>CONTRACEPTIVOS EMERGENCIA</v>
          </cell>
          <cell r="D97" t="str">
            <v>PILULA</v>
          </cell>
          <cell r="E97" t="str">
            <v>CONTRACEPTIVE</v>
          </cell>
          <cell r="F97">
            <v>23270</v>
          </cell>
          <cell r="G97">
            <v>47668.91</v>
          </cell>
          <cell r="H97">
            <v>8408.7900000000009</v>
          </cell>
          <cell r="I97">
            <v>2.0499999999999998</v>
          </cell>
          <cell r="J97">
            <v>0.36</v>
          </cell>
        </row>
        <row r="98">
          <cell r="A98" t="str">
            <v>000IC0001</v>
          </cell>
          <cell r="B98" t="str">
            <v>LYNDAVEL UNO (AMP 25MG +</v>
          </cell>
          <cell r="C98" t="str">
            <v>INJETAVEL</v>
          </cell>
          <cell r="D98" t="str">
            <v>INJETAVEL</v>
          </cell>
          <cell r="E98" t="str">
            <v>CONTRACEPTIVE</v>
          </cell>
          <cell r="F98">
            <v>37800</v>
          </cell>
          <cell r="G98">
            <v>851328.01</v>
          </cell>
          <cell r="H98">
            <v>150174.23000000001</v>
          </cell>
          <cell r="I98">
            <v>22.52</v>
          </cell>
          <cell r="J98">
            <v>3.97</v>
          </cell>
        </row>
        <row r="99">
          <cell r="A99" t="str">
            <v>000Z0041</v>
          </cell>
          <cell r="B99" t="str">
            <v>ANDALAN CAYA GEL</v>
          </cell>
          <cell r="C99" t="str">
            <v>DIAFRAGMA</v>
          </cell>
          <cell r="D99" t="str">
            <v>GEL CONTRACEPTIVO</v>
          </cell>
          <cell r="E99" t="str">
            <v>DIAFRAGMA</v>
          </cell>
          <cell r="F99">
            <v>3</v>
          </cell>
          <cell r="G99">
            <v>84.01</v>
          </cell>
          <cell r="H99">
            <v>14.82</v>
          </cell>
          <cell r="I99">
            <v>28</v>
          </cell>
          <cell r="J99">
            <v>4.9400000000000004</v>
          </cell>
        </row>
        <row r="100">
          <cell r="A100" t="str">
            <v>000Z0040</v>
          </cell>
          <cell r="B100" t="str">
            <v>ANDALAN CAYA DIAFRAGMA</v>
          </cell>
          <cell r="C100" t="str">
            <v>DIAFRAGMA</v>
          </cell>
          <cell r="D100" t="str">
            <v>DIAFRAGMA</v>
          </cell>
          <cell r="E100" t="str">
            <v>DIAFRAGMA</v>
          </cell>
          <cell r="F100">
            <v>17</v>
          </cell>
          <cell r="G100">
            <v>670.16</v>
          </cell>
          <cell r="H100">
            <v>118.22</v>
          </cell>
          <cell r="I100">
            <v>39.42</v>
          </cell>
          <cell r="J100">
            <v>6.95</v>
          </cell>
        </row>
        <row r="101">
          <cell r="A101" t="str">
            <v>00206304</v>
          </cell>
          <cell r="B101" t="str">
            <v>PRUDENCE MIX - NECESSAIRE</v>
          </cell>
          <cell r="C101" t="str">
            <v>BRINDE</v>
          </cell>
          <cell r="D101" t="str">
            <v>PACK PROMOCIONAL</v>
          </cell>
          <cell r="E101" t="str">
            <v>N/A</v>
          </cell>
          <cell r="F101">
            <v>919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A102" t="str">
            <v>000P0037</v>
          </cell>
          <cell r="B102" t="str">
            <v>CHAVEIRO PRUDENCE FEST</v>
          </cell>
          <cell r="C102" t="str">
            <v>BRINDE</v>
          </cell>
          <cell r="D102" t="str">
            <v>MATERIAL PROMOCIONAL</v>
          </cell>
          <cell r="E102" t="str">
            <v>SOCIAL MARKETING</v>
          </cell>
          <cell r="F102">
            <v>35850</v>
          </cell>
          <cell r="G102">
            <v>5035.71</v>
          </cell>
          <cell r="H102">
            <v>888.3</v>
          </cell>
          <cell r="I102">
            <v>0.14000000000000001</v>
          </cell>
          <cell r="J102">
            <v>0.02</v>
          </cell>
        </row>
        <row r="103">
          <cell r="A103" t="str">
            <v>00203002</v>
          </cell>
          <cell r="B103" t="str">
            <v>CANETA PROMOCIONAL</v>
          </cell>
          <cell r="C103" t="str">
            <v>BRINDE</v>
          </cell>
          <cell r="D103" t="str">
            <v>MATERIAL PROMOCIONAL</v>
          </cell>
          <cell r="E103" t="str">
            <v>N/A</v>
          </cell>
          <cell r="F103">
            <v>0</v>
          </cell>
          <cell r="G103">
            <v>0.03</v>
          </cell>
          <cell r="H103">
            <v>0.01</v>
          </cell>
          <cell r="I103">
            <v>0</v>
          </cell>
          <cell r="J103">
            <v>0</v>
          </cell>
        </row>
        <row r="104">
          <cell r="A104" t="str">
            <v>00206254</v>
          </cell>
          <cell r="B104" t="str">
            <v>ENVELOPE</v>
          </cell>
          <cell r="C104" t="str">
            <v>BRINDE</v>
          </cell>
          <cell r="D104" t="str">
            <v>GENERICO</v>
          </cell>
          <cell r="E104" t="str">
            <v>N/A</v>
          </cell>
          <cell r="F104">
            <v>0</v>
          </cell>
          <cell r="G104">
            <v>7.0000000000000007E-2</v>
          </cell>
          <cell r="H104">
            <v>0.01</v>
          </cell>
          <cell r="I104">
            <v>0</v>
          </cell>
          <cell r="J104">
            <v>0</v>
          </cell>
        </row>
        <row r="105">
          <cell r="A105" t="str">
            <v>000K01051</v>
          </cell>
          <cell r="B105" t="str">
            <v>POTE EXPOSITOR</v>
          </cell>
          <cell r="C105" t="str">
            <v>KIT PRODUCAO</v>
          </cell>
          <cell r="D105" t="str">
            <v>PACK PROMOCIONAL</v>
          </cell>
          <cell r="E105" t="str">
            <v>N/A</v>
          </cell>
          <cell r="F105">
            <v>0</v>
          </cell>
          <cell r="G105">
            <v>0.35</v>
          </cell>
          <cell r="H105">
            <v>0.06</v>
          </cell>
          <cell r="I105">
            <v>0</v>
          </cell>
          <cell r="J105">
            <v>0</v>
          </cell>
        </row>
        <row r="106">
          <cell r="A106" t="str">
            <v>000K01052</v>
          </cell>
          <cell r="B106" t="str">
            <v>TAMPA LACRE</v>
          </cell>
          <cell r="C106" t="str">
            <v>KIT PRODUCAO</v>
          </cell>
          <cell r="D106" t="str">
            <v>PACK PROMOCIONAL</v>
          </cell>
          <cell r="E106" t="str">
            <v>N/A</v>
          </cell>
          <cell r="F106">
            <v>0</v>
          </cell>
          <cell r="G106">
            <v>0.31</v>
          </cell>
          <cell r="H106">
            <v>0.05</v>
          </cell>
          <cell r="I106">
            <v>0</v>
          </cell>
          <cell r="J106">
            <v>0</v>
          </cell>
        </row>
        <row r="107">
          <cell r="A107" t="str">
            <v>00609056</v>
          </cell>
          <cell r="B107" t="str">
            <v>BOLSA DE AGUA QUENTE</v>
          </cell>
          <cell r="C107" t="str">
            <v>MATERIAL ESCRITORIO / CONSUMO</v>
          </cell>
          <cell r="D107" t="str">
            <v>GENERICO</v>
          </cell>
          <cell r="E107" t="str">
            <v>N/A</v>
          </cell>
          <cell r="F107">
            <v>0</v>
          </cell>
          <cell r="G107">
            <v>0.02</v>
          </cell>
          <cell r="H107">
            <v>0</v>
          </cell>
          <cell r="I107">
            <v>0</v>
          </cell>
          <cell r="J107">
            <v>0</v>
          </cell>
        </row>
        <row r="108">
          <cell r="A108" t="str">
            <v>BNT00011</v>
          </cell>
          <cell r="B108" t="str">
            <v>ETIQUETA SUPER SENSITIVE</v>
          </cell>
          <cell r="C108" t="str">
            <v>MATERIAL ESCRITORIO / CONSUMO</v>
          </cell>
          <cell r="D108" t="str">
            <v>GENERICO</v>
          </cell>
          <cell r="E108" t="str">
            <v>N/A</v>
          </cell>
          <cell r="F108">
            <v>3055</v>
          </cell>
          <cell r="G108">
            <v>960.32</v>
          </cell>
          <cell r="H108">
            <v>169.4</v>
          </cell>
          <cell r="I108">
            <v>0.31</v>
          </cell>
          <cell r="J108">
            <v>0.06</v>
          </cell>
        </row>
        <row r="109">
          <cell r="A109" t="str">
            <v>BNT00012</v>
          </cell>
          <cell r="B109" t="str">
            <v>ETIQUETA SUPER SENSITIVE</v>
          </cell>
          <cell r="C109" t="str">
            <v>MATERIAL ESCRITORIO / CONSUMO</v>
          </cell>
          <cell r="D109" t="str">
            <v>GENERICO</v>
          </cell>
          <cell r="E109" t="str">
            <v>N/A</v>
          </cell>
          <cell r="F109">
            <v>2748</v>
          </cell>
          <cell r="G109">
            <v>540.62</v>
          </cell>
          <cell r="H109">
            <v>95.37</v>
          </cell>
          <cell r="I109">
            <v>0.2</v>
          </cell>
          <cell r="J109">
            <v>0.03</v>
          </cell>
        </row>
        <row r="110">
          <cell r="A110" t="str">
            <v>00205007</v>
          </cell>
          <cell r="B110" t="str">
            <v>BULA SOFTCUP</v>
          </cell>
          <cell r="C110" t="str">
            <v>MATERIA PRIMA</v>
          </cell>
          <cell r="D110" t="str">
            <v>COLETOR MENSTRUAL</v>
          </cell>
          <cell r="E110" t="str">
            <v>N/A</v>
          </cell>
          <cell r="F110">
            <v>0</v>
          </cell>
          <cell r="G110">
            <v>1.69</v>
          </cell>
          <cell r="H110">
            <v>0.3</v>
          </cell>
          <cell r="I110">
            <v>0</v>
          </cell>
          <cell r="J110">
            <v>0</v>
          </cell>
        </row>
        <row r="111">
          <cell r="A111" t="str">
            <v>00205010</v>
          </cell>
          <cell r="B111" t="str">
            <v>BULA SOFTCUP</v>
          </cell>
          <cell r="C111" t="str">
            <v>MATERIA PRIMA</v>
          </cell>
          <cell r="D111" t="str">
            <v>COLETOR MENSTRUAL</v>
          </cell>
          <cell r="E111" t="str">
            <v>N/A</v>
          </cell>
          <cell r="F111">
            <v>2600</v>
          </cell>
          <cell r="G111">
            <v>274.57</v>
          </cell>
          <cell r="H111">
            <v>48.43</v>
          </cell>
          <cell r="I111">
            <v>0.11</v>
          </cell>
          <cell r="J111">
            <v>0.02</v>
          </cell>
        </row>
        <row r="112">
          <cell r="A112" t="str">
            <v>00082</v>
          </cell>
          <cell r="B112" t="str">
            <v>CARTUCHO SOFTCUP</v>
          </cell>
          <cell r="C112" t="str">
            <v>MATERIA PRIMA</v>
          </cell>
          <cell r="D112" t="str">
            <v>MATERIAL PROMOCIONAL</v>
          </cell>
          <cell r="E112" t="str">
            <v>N/A</v>
          </cell>
          <cell r="F112">
            <v>0</v>
          </cell>
          <cell r="G112">
            <v>2.1</v>
          </cell>
          <cell r="H112">
            <v>0.37</v>
          </cell>
          <cell r="I112">
            <v>0</v>
          </cell>
          <cell r="J112">
            <v>0</v>
          </cell>
        </row>
        <row r="113">
          <cell r="A113" t="str">
            <v>000821</v>
          </cell>
          <cell r="B113" t="str">
            <v>CARTUCHO SOFTCUP - AMOSTR</v>
          </cell>
          <cell r="C113" t="str">
            <v>MATERIA PRIMA</v>
          </cell>
          <cell r="D113" t="str">
            <v>MATERIAL PROMOCIONAL</v>
          </cell>
          <cell r="E113" t="str">
            <v>N/A</v>
          </cell>
          <cell r="F113">
            <v>746</v>
          </cell>
          <cell r="G113">
            <v>365.93</v>
          </cell>
          <cell r="H113">
            <v>64.55</v>
          </cell>
          <cell r="I113">
            <v>0.49</v>
          </cell>
          <cell r="J113">
            <v>0.09</v>
          </cell>
        </row>
        <row r="114">
          <cell r="A114" t="str">
            <v>000B01004</v>
          </cell>
          <cell r="B114" t="str">
            <v>LATA COMEMORATIVA PRUDENC</v>
          </cell>
          <cell r="C114" t="str">
            <v>MATERIA PRIMA</v>
          </cell>
          <cell r="D114" t="str">
            <v>MATERIAL PROMOCIONAL</v>
          </cell>
          <cell r="E114" t="str">
            <v>N/A</v>
          </cell>
          <cell r="F114">
            <v>6988</v>
          </cell>
          <cell r="G114">
            <v>10121.06</v>
          </cell>
          <cell r="H114">
            <v>1785.35</v>
          </cell>
          <cell r="I114">
            <v>1.45</v>
          </cell>
          <cell r="J114">
            <v>0.26</v>
          </cell>
        </row>
        <row r="115">
          <cell r="A115" t="str">
            <v>00205009</v>
          </cell>
          <cell r="B115" t="str">
            <v>BULA SOFTCUP</v>
          </cell>
          <cell r="C115" t="str">
            <v>MATERIA PRIMA</v>
          </cell>
          <cell r="D115" t="str">
            <v>MATERIAL PROMOCIONAL</v>
          </cell>
          <cell r="E115" t="str">
            <v>N/A</v>
          </cell>
          <cell r="F115">
            <v>0</v>
          </cell>
          <cell r="G115">
            <v>0.05</v>
          </cell>
          <cell r="H115">
            <v>0.01</v>
          </cell>
          <cell r="I115">
            <v>0</v>
          </cell>
          <cell r="J115">
            <v>0</v>
          </cell>
        </row>
        <row r="116">
          <cell r="A116" t="str">
            <v>000645</v>
          </cell>
          <cell r="B116" t="str">
            <v>SACO FLOWPACKAO PRUDENCE</v>
          </cell>
          <cell r="C116" t="str">
            <v>MATERIA PRIMA</v>
          </cell>
          <cell r="D116" t="str">
            <v>GENERICO</v>
          </cell>
          <cell r="E116" t="str">
            <v>N/A</v>
          </cell>
          <cell r="F116">
            <v>16731</v>
          </cell>
          <cell r="G116">
            <v>8591.06</v>
          </cell>
          <cell r="H116">
            <v>1515.46</v>
          </cell>
          <cell r="I116">
            <v>0.51</v>
          </cell>
          <cell r="J116">
            <v>0.09</v>
          </cell>
        </row>
        <row r="117">
          <cell r="A117" t="str">
            <v>000646</v>
          </cell>
          <cell r="B117" t="str">
            <v>SACO FLOWPACKAO PRUDENCE</v>
          </cell>
          <cell r="C117" t="str">
            <v>MATERIA PRIMA</v>
          </cell>
          <cell r="D117" t="str">
            <v>GENERICO</v>
          </cell>
          <cell r="E117" t="str">
            <v>N/A</v>
          </cell>
          <cell r="F117">
            <v>0</v>
          </cell>
          <cell r="G117">
            <v>0.96</v>
          </cell>
          <cell r="H117">
            <v>0.17</v>
          </cell>
          <cell r="I117">
            <v>0</v>
          </cell>
          <cell r="J117">
            <v>0</v>
          </cell>
        </row>
        <row r="118">
          <cell r="A118" t="str">
            <v>000647</v>
          </cell>
          <cell r="B118" t="str">
            <v>SACO FLOWPACKAO PRUDENCE</v>
          </cell>
          <cell r="C118" t="str">
            <v>MATERIA PRIMA</v>
          </cell>
          <cell r="D118" t="str">
            <v>GENERICO</v>
          </cell>
          <cell r="E118" t="str">
            <v>N/A</v>
          </cell>
          <cell r="F118">
            <v>0</v>
          </cell>
          <cell r="G118">
            <v>0.96</v>
          </cell>
          <cell r="H118">
            <v>0.17</v>
          </cell>
          <cell r="I118">
            <v>0</v>
          </cell>
          <cell r="J118">
            <v>0</v>
          </cell>
        </row>
        <row r="119">
          <cell r="A119" t="str">
            <v>000648</v>
          </cell>
          <cell r="B119" t="str">
            <v>SACO FLOWPACKAO PRUDENCE</v>
          </cell>
          <cell r="C119" t="str">
            <v>MATERIA PRIMA</v>
          </cell>
          <cell r="D119" t="str">
            <v>GENERICO</v>
          </cell>
          <cell r="E119" t="str">
            <v>N/A</v>
          </cell>
          <cell r="F119">
            <v>0</v>
          </cell>
          <cell r="G119">
            <v>0.68</v>
          </cell>
          <cell r="H119">
            <v>0.12</v>
          </cell>
          <cell r="I119">
            <v>0</v>
          </cell>
          <cell r="J119">
            <v>0</v>
          </cell>
        </row>
        <row r="120">
          <cell r="A120" t="str">
            <v>000649</v>
          </cell>
          <cell r="B120" t="str">
            <v>SACO FLOWPACKAO PRUDENCE</v>
          </cell>
          <cell r="C120" t="str">
            <v>MATERIA PRIMA</v>
          </cell>
          <cell r="D120" t="str">
            <v>GENERICO</v>
          </cell>
          <cell r="E120" t="str">
            <v>N/A</v>
          </cell>
          <cell r="F120">
            <v>0</v>
          </cell>
          <cell r="G120">
            <v>0.95</v>
          </cell>
          <cell r="H120">
            <v>0.17</v>
          </cell>
          <cell r="I120">
            <v>0</v>
          </cell>
          <cell r="J120">
            <v>0</v>
          </cell>
        </row>
        <row r="121">
          <cell r="A121" t="str">
            <v>000650</v>
          </cell>
          <cell r="B121" t="str">
            <v>SACO FLOWPACKAO PRUDENCE</v>
          </cell>
          <cell r="C121" t="str">
            <v>MATERIA PRIMA</v>
          </cell>
          <cell r="D121" t="str">
            <v>GENERICO</v>
          </cell>
          <cell r="E121" t="str">
            <v>N/A</v>
          </cell>
          <cell r="F121">
            <v>0</v>
          </cell>
          <cell r="G121">
            <v>0.68</v>
          </cell>
          <cell r="H121">
            <v>0.12</v>
          </cell>
          <cell r="I121">
            <v>0</v>
          </cell>
          <cell r="J121">
            <v>0</v>
          </cell>
        </row>
        <row r="122">
          <cell r="A122" t="str">
            <v>000651</v>
          </cell>
          <cell r="B122" t="str">
            <v>SACO FLOWPACKAO PRUDENCE</v>
          </cell>
          <cell r="C122" t="str">
            <v>MATERIA PRIMA</v>
          </cell>
          <cell r="D122" t="str">
            <v>GENERICO</v>
          </cell>
          <cell r="E122" t="str">
            <v>N/A</v>
          </cell>
          <cell r="F122">
            <v>0</v>
          </cell>
          <cell r="G122">
            <v>0.96</v>
          </cell>
          <cell r="H122">
            <v>0.17</v>
          </cell>
          <cell r="I122">
            <v>0</v>
          </cell>
          <cell r="J122">
            <v>0</v>
          </cell>
        </row>
        <row r="123">
          <cell r="A123" t="str">
            <v>000652</v>
          </cell>
          <cell r="B123" t="str">
            <v>SACO FLOWPACKAO PRUDENCE</v>
          </cell>
          <cell r="C123" t="str">
            <v>MATERIA PRIMA</v>
          </cell>
          <cell r="D123" t="str">
            <v>GENERICO</v>
          </cell>
          <cell r="E123" t="str">
            <v>N/A</v>
          </cell>
          <cell r="F123">
            <v>0</v>
          </cell>
          <cell r="G123">
            <v>0.68</v>
          </cell>
          <cell r="H123">
            <v>0.12</v>
          </cell>
          <cell r="I123">
            <v>0</v>
          </cell>
          <cell r="J123">
            <v>0</v>
          </cell>
        </row>
        <row r="124">
          <cell r="A124" t="str">
            <v>000653</v>
          </cell>
          <cell r="B124" t="str">
            <v>SACO FLOWPACKAO PRUDENCE</v>
          </cell>
          <cell r="C124" t="str">
            <v>MATERIA PRIMA</v>
          </cell>
          <cell r="D124" t="str">
            <v>GENERICO</v>
          </cell>
          <cell r="E124" t="str">
            <v>N/A</v>
          </cell>
          <cell r="F124">
            <v>0</v>
          </cell>
          <cell r="G124">
            <v>0.96</v>
          </cell>
          <cell r="H124">
            <v>0.17</v>
          </cell>
          <cell r="I124">
            <v>0</v>
          </cell>
          <cell r="J124">
            <v>0</v>
          </cell>
        </row>
        <row r="125">
          <cell r="A125" t="str">
            <v>000654</v>
          </cell>
          <cell r="B125" t="str">
            <v>SACO FLOWPACKAO PRUDENCE</v>
          </cell>
          <cell r="C125" t="str">
            <v>MATERIA PRIMA</v>
          </cell>
          <cell r="D125" t="str">
            <v>GENERICO</v>
          </cell>
          <cell r="E125" t="str">
            <v>N/A</v>
          </cell>
          <cell r="F125">
            <v>0</v>
          </cell>
          <cell r="G125">
            <v>0.68</v>
          </cell>
          <cell r="H125">
            <v>0.12</v>
          </cell>
          <cell r="I125">
            <v>0</v>
          </cell>
          <cell r="J125">
            <v>0</v>
          </cell>
        </row>
        <row r="126">
          <cell r="A126" t="str">
            <v>000666</v>
          </cell>
          <cell r="B126" t="str">
            <v>CAIXA EMBARQUE PRUDENCE A</v>
          </cell>
          <cell r="C126" t="str">
            <v>MATERIA PRIMA</v>
          </cell>
          <cell r="D126" t="str">
            <v>GENERICO</v>
          </cell>
          <cell r="E126" t="str">
            <v>N/A</v>
          </cell>
          <cell r="F126">
            <v>0</v>
          </cell>
          <cell r="G126">
            <v>0.06</v>
          </cell>
          <cell r="H126">
            <v>0.01</v>
          </cell>
          <cell r="I126">
            <v>0</v>
          </cell>
          <cell r="J126">
            <v>0</v>
          </cell>
        </row>
        <row r="127">
          <cell r="A127" t="str">
            <v>000667</v>
          </cell>
          <cell r="B127" t="str">
            <v>CAIXA EMBARQUE PRUDENCE A</v>
          </cell>
          <cell r="C127" t="str">
            <v>MATERIA PRIMA</v>
          </cell>
          <cell r="D127" t="str">
            <v>GENERICO</v>
          </cell>
          <cell r="E127" t="str">
            <v>N/A</v>
          </cell>
          <cell r="F127">
            <v>0</v>
          </cell>
          <cell r="G127">
            <v>0.06</v>
          </cell>
          <cell r="H127">
            <v>0.01</v>
          </cell>
          <cell r="I127">
            <v>0</v>
          </cell>
          <cell r="J127">
            <v>0</v>
          </cell>
        </row>
        <row r="128">
          <cell r="A128" t="str">
            <v>000668</v>
          </cell>
          <cell r="B128" t="str">
            <v>CAIXA EMBARQUE PRUDENCE C</v>
          </cell>
          <cell r="C128" t="str">
            <v>MATERIA PRIMA</v>
          </cell>
          <cell r="D128" t="str">
            <v>GENERICO</v>
          </cell>
          <cell r="E128" t="str">
            <v>N/A</v>
          </cell>
          <cell r="F128">
            <v>0</v>
          </cell>
          <cell r="G128">
            <v>0.06</v>
          </cell>
          <cell r="H128">
            <v>0.01</v>
          </cell>
          <cell r="I128">
            <v>0</v>
          </cell>
          <cell r="J128">
            <v>0</v>
          </cell>
        </row>
        <row r="129">
          <cell r="A129" t="str">
            <v>000669</v>
          </cell>
          <cell r="B129" t="str">
            <v>CAIXA EMBARQUE PRUDENCE C</v>
          </cell>
          <cell r="C129" t="str">
            <v>MATERIA PRIMA</v>
          </cell>
          <cell r="D129" t="str">
            <v>GENERICO</v>
          </cell>
          <cell r="E129" t="str">
            <v>N/A</v>
          </cell>
          <cell r="F129">
            <v>0</v>
          </cell>
          <cell r="G129">
            <v>7.0000000000000007E-2</v>
          </cell>
          <cell r="H129">
            <v>0.01</v>
          </cell>
          <cell r="I129">
            <v>0</v>
          </cell>
          <cell r="J129">
            <v>0</v>
          </cell>
        </row>
        <row r="130">
          <cell r="A130" t="str">
            <v>000670</v>
          </cell>
          <cell r="B130" t="str">
            <v>CAIXA EMBARQUE PRUDENCE M</v>
          </cell>
          <cell r="C130" t="str">
            <v>MATERIA PRIMA</v>
          </cell>
          <cell r="D130" t="str">
            <v>GENERICO</v>
          </cell>
          <cell r="E130" t="str">
            <v>N/A</v>
          </cell>
          <cell r="F130">
            <v>0</v>
          </cell>
          <cell r="G130">
            <v>0.06</v>
          </cell>
          <cell r="H130">
            <v>0.01</v>
          </cell>
          <cell r="I130">
            <v>0</v>
          </cell>
          <cell r="J130">
            <v>0</v>
          </cell>
        </row>
        <row r="131">
          <cell r="A131" t="str">
            <v>000671</v>
          </cell>
          <cell r="B131" t="str">
            <v>CAIXA EMBARQUE PRUDENCE M</v>
          </cell>
          <cell r="C131" t="str">
            <v>MATERIA PRIMA</v>
          </cell>
          <cell r="D131" t="str">
            <v>GENERICO</v>
          </cell>
          <cell r="E131" t="str">
            <v>N/A</v>
          </cell>
          <cell r="F131">
            <v>0</v>
          </cell>
          <cell r="G131">
            <v>7.0000000000000007E-2</v>
          </cell>
          <cell r="H131">
            <v>0.01</v>
          </cell>
          <cell r="I131">
            <v>0</v>
          </cell>
          <cell r="J131">
            <v>0</v>
          </cell>
        </row>
        <row r="132">
          <cell r="A132" t="str">
            <v>000672</v>
          </cell>
          <cell r="B132" t="str">
            <v>CAIXA EMBARQUE PRUDENCE S</v>
          </cell>
          <cell r="C132" t="str">
            <v>MATERIA PRIMA</v>
          </cell>
          <cell r="D132" t="str">
            <v>GENERICO</v>
          </cell>
          <cell r="E132" t="str">
            <v>N/A</v>
          </cell>
          <cell r="F132">
            <v>0</v>
          </cell>
          <cell r="G132">
            <v>0.06</v>
          </cell>
          <cell r="H132">
            <v>0.01</v>
          </cell>
          <cell r="I132">
            <v>0</v>
          </cell>
          <cell r="J132">
            <v>0</v>
          </cell>
        </row>
        <row r="133">
          <cell r="A133" t="str">
            <v>000673</v>
          </cell>
          <cell r="B133" t="str">
            <v>CAIXA EMBARQUE PRUDENCE S</v>
          </cell>
          <cell r="C133" t="str">
            <v>MATERIA PRIMA</v>
          </cell>
          <cell r="D133" t="str">
            <v>GENERICO</v>
          </cell>
          <cell r="E133" t="str">
            <v>N/A</v>
          </cell>
          <cell r="F133">
            <v>0</v>
          </cell>
          <cell r="G133">
            <v>0.06</v>
          </cell>
          <cell r="H133">
            <v>0.01</v>
          </cell>
          <cell r="I133">
            <v>0</v>
          </cell>
          <cell r="J133">
            <v>0</v>
          </cell>
        </row>
        <row r="134">
          <cell r="A134" t="str">
            <v>000674</v>
          </cell>
          <cell r="B134" t="str">
            <v>CAIXA EMBARQUE PRUDENCE U</v>
          </cell>
          <cell r="C134" t="str">
            <v>MATERIA PRIMA</v>
          </cell>
          <cell r="D134" t="str">
            <v>GENERICO</v>
          </cell>
          <cell r="E134" t="str">
            <v>N/A</v>
          </cell>
          <cell r="F134">
            <v>0</v>
          </cell>
          <cell r="G134">
            <v>7.0000000000000007E-2</v>
          </cell>
          <cell r="H134">
            <v>0.01</v>
          </cell>
          <cell r="I134">
            <v>0</v>
          </cell>
          <cell r="J134">
            <v>0</v>
          </cell>
        </row>
        <row r="135">
          <cell r="A135" t="str">
            <v>00710013</v>
          </cell>
          <cell r="B135" t="str">
            <v>CX PAP MN DKT SOFTCUP</v>
          </cell>
          <cell r="C135" t="str">
            <v>MATERIA PRIMA</v>
          </cell>
          <cell r="D135" t="str">
            <v>GENERICO</v>
          </cell>
          <cell r="E135" t="str">
            <v>N/A</v>
          </cell>
          <cell r="F135">
            <v>1673</v>
          </cell>
          <cell r="G135">
            <v>1782.09</v>
          </cell>
          <cell r="H135">
            <v>314.36</v>
          </cell>
          <cell r="I135">
            <v>1.07</v>
          </cell>
          <cell r="J135">
            <v>0.19</v>
          </cell>
        </row>
        <row r="136">
          <cell r="A136" t="str">
            <v>00710022</v>
          </cell>
          <cell r="B136" t="str">
            <v>FILME 250X80 PRUDENCE INT</v>
          </cell>
          <cell r="C136" t="str">
            <v>MATERIA PRIMA</v>
          </cell>
          <cell r="D136" t="str">
            <v>GENERICO</v>
          </cell>
          <cell r="E136" t="str">
            <v>N/A</v>
          </cell>
          <cell r="F136">
            <v>1172.9100000000001</v>
          </cell>
          <cell r="G136">
            <v>19544.55</v>
          </cell>
          <cell r="H136">
            <v>3447.66</v>
          </cell>
          <cell r="I136">
            <v>16.66</v>
          </cell>
          <cell r="J136">
            <v>2.94</v>
          </cell>
        </row>
        <row r="137">
          <cell r="A137" t="str">
            <v>00710023</v>
          </cell>
          <cell r="B137" t="str">
            <v>FILME PRUDENCE INTIMA LEN</v>
          </cell>
          <cell r="C137" t="str">
            <v>MATERIA PRIMA</v>
          </cell>
          <cell r="D137" t="str">
            <v>GENERICO</v>
          </cell>
          <cell r="E137" t="str">
            <v>N/A</v>
          </cell>
          <cell r="F137">
            <v>40.28</v>
          </cell>
          <cell r="G137">
            <v>659.78</v>
          </cell>
          <cell r="H137">
            <v>116.39</v>
          </cell>
          <cell r="I137">
            <v>16.38</v>
          </cell>
          <cell r="J137">
            <v>2.89</v>
          </cell>
        </row>
        <row r="138">
          <cell r="A138" t="str">
            <v>00710025</v>
          </cell>
          <cell r="B138" t="str">
            <v>FILME 170X62 PRUDENCE INT</v>
          </cell>
          <cell r="C138" t="str">
            <v>MATERIA PRIMA</v>
          </cell>
          <cell r="D138" t="str">
            <v>GENERICO</v>
          </cell>
          <cell r="E138" t="str">
            <v>N/A</v>
          </cell>
          <cell r="F138">
            <v>113.05</v>
          </cell>
          <cell r="G138">
            <v>2467.6</v>
          </cell>
          <cell r="H138">
            <v>435.28</v>
          </cell>
          <cell r="I138">
            <v>21.83</v>
          </cell>
          <cell r="J138">
            <v>3.85</v>
          </cell>
        </row>
        <row r="139">
          <cell r="A139" t="str">
            <v>00710027</v>
          </cell>
          <cell r="B139" t="str">
            <v>FILME 250X80 PRUDENCE INT</v>
          </cell>
          <cell r="C139" t="str">
            <v>MATERIA PRIMA</v>
          </cell>
          <cell r="D139" t="str">
            <v>GENERICO</v>
          </cell>
          <cell r="E139" t="str">
            <v>N/A</v>
          </cell>
          <cell r="F139">
            <v>47.45</v>
          </cell>
          <cell r="G139">
            <v>1834.36</v>
          </cell>
          <cell r="H139">
            <v>323.58</v>
          </cell>
          <cell r="I139">
            <v>38.659999999999997</v>
          </cell>
          <cell r="J139">
            <v>6.82</v>
          </cell>
        </row>
        <row r="140">
          <cell r="A140" t="str">
            <v>00710028</v>
          </cell>
          <cell r="B140" t="str">
            <v>FILME 250X69 PRUDENCE INT</v>
          </cell>
          <cell r="C140" t="str">
            <v>MATERIA PRIMA</v>
          </cell>
          <cell r="D140" t="str">
            <v>GENERICO</v>
          </cell>
          <cell r="E140" t="str">
            <v>N/A</v>
          </cell>
          <cell r="F140">
            <v>197</v>
          </cell>
          <cell r="G140">
            <v>3907.92</v>
          </cell>
          <cell r="H140">
            <v>689.36</v>
          </cell>
          <cell r="I140">
            <v>19.84</v>
          </cell>
          <cell r="J140">
            <v>3.5</v>
          </cell>
        </row>
        <row r="141">
          <cell r="A141" t="str">
            <v>00710029</v>
          </cell>
          <cell r="B141" t="str">
            <v>FILME PIG.BCO PRUDENCE IN</v>
          </cell>
          <cell r="C141" t="str">
            <v>MATERIA PRIMA</v>
          </cell>
          <cell r="D141" t="str">
            <v>GENERICO</v>
          </cell>
          <cell r="E141" t="str">
            <v>N/A</v>
          </cell>
          <cell r="F141">
            <v>0</v>
          </cell>
          <cell r="G141">
            <v>0.04</v>
          </cell>
          <cell r="H141">
            <v>0.01</v>
          </cell>
          <cell r="I141">
            <v>0</v>
          </cell>
          <cell r="J141">
            <v>0</v>
          </cell>
        </row>
        <row r="142">
          <cell r="A142" t="str">
            <v>BNT00007</v>
          </cell>
          <cell r="B142" t="str">
            <v>BLISTER P/ KIT LATA+PRESE</v>
          </cell>
          <cell r="C142" t="str">
            <v>MATERIA PRIMA</v>
          </cell>
          <cell r="D142" t="str">
            <v>GENERICO</v>
          </cell>
          <cell r="E142" t="str">
            <v>N/A</v>
          </cell>
          <cell r="F142">
            <v>19.23</v>
          </cell>
          <cell r="G142">
            <v>1723.74</v>
          </cell>
          <cell r="H142">
            <v>304.07</v>
          </cell>
          <cell r="I142">
            <v>89.64</v>
          </cell>
          <cell r="J142">
            <v>15.81</v>
          </cell>
        </row>
        <row r="143">
          <cell r="A143" t="str">
            <v>00206020</v>
          </cell>
          <cell r="B143" t="str">
            <v>DISPLAY CARONA</v>
          </cell>
          <cell r="C143" t="str">
            <v>MATERIAL PROMOCIONAL</v>
          </cell>
          <cell r="D143" t="str">
            <v>MATERIAL PROMOCIONAL - DISPLAY</v>
          </cell>
          <cell r="E143" t="str">
            <v>N/A</v>
          </cell>
          <cell r="F143">
            <v>31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</row>
        <row r="144">
          <cell r="A144" t="str">
            <v>00206053</v>
          </cell>
          <cell r="B144" t="str">
            <v>DISPLAY SOFTCUP</v>
          </cell>
          <cell r="C144" t="str">
            <v>MATERIAL PROMOCIONAL</v>
          </cell>
          <cell r="D144" t="str">
            <v>MATERIAL PROMOCIONAL - DISPLAY</v>
          </cell>
          <cell r="E144" t="str">
            <v>N/A</v>
          </cell>
          <cell r="F144">
            <v>22</v>
          </cell>
          <cell r="G144">
            <v>371.8</v>
          </cell>
          <cell r="H144">
            <v>65.59</v>
          </cell>
          <cell r="I144">
            <v>16.899999999999999</v>
          </cell>
          <cell r="J144">
            <v>2.98</v>
          </cell>
        </row>
        <row r="145">
          <cell r="A145" t="str">
            <v>00206085</v>
          </cell>
          <cell r="B145" t="str">
            <v>DISPLAY DE CHAO PRUDENCE</v>
          </cell>
          <cell r="C145" t="str">
            <v>MATERIAL PROMOCIONAL</v>
          </cell>
          <cell r="D145" t="str">
            <v>MATERIAL PROMOCIONAL - DISPLAY</v>
          </cell>
          <cell r="E145" t="str">
            <v>N/A</v>
          </cell>
          <cell r="F145">
            <v>8</v>
          </cell>
          <cell r="G145">
            <v>2350.7399999999998</v>
          </cell>
          <cell r="H145">
            <v>414.67</v>
          </cell>
          <cell r="I145">
            <v>293.83999999999997</v>
          </cell>
          <cell r="J145">
            <v>51.83</v>
          </cell>
        </row>
        <row r="146">
          <cell r="A146" t="str">
            <v>00206215</v>
          </cell>
          <cell r="B146" t="str">
            <v>DISPLAY CARONA - 8 GANCHO</v>
          </cell>
          <cell r="C146" t="str">
            <v>MATERIAL PROMOCIONAL</v>
          </cell>
          <cell r="D146" t="str">
            <v>MATERIAL PROMOCIONAL - DISPLAY</v>
          </cell>
          <cell r="E146" t="str">
            <v>N/A</v>
          </cell>
          <cell r="F146">
            <v>2</v>
          </cell>
          <cell r="G146">
            <v>31.1</v>
          </cell>
          <cell r="H146">
            <v>5.49</v>
          </cell>
          <cell r="I146">
            <v>15.55</v>
          </cell>
          <cell r="J146">
            <v>2.75</v>
          </cell>
        </row>
        <row r="147">
          <cell r="A147" t="str">
            <v>00206225</v>
          </cell>
          <cell r="B147" t="str">
            <v>DISPLAY BALCAO PRUDENCE -</v>
          </cell>
          <cell r="C147" t="str">
            <v>MATERIAL PROMOCIONAL</v>
          </cell>
          <cell r="D147" t="str">
            <v>MATERIAL PROMOCIONAL - DISPLAY</v>
          </cell>
          <cell r="E147" t="str">
            <v>N/A</v>
          </cell>
          <cell r="F147">
            <v>4</v>
          </cell>
          <cell r="G147">
            <v>239.34</v>
          </cell>
          <cell r="H147">
            <v>42.22</v>
          </cell>
          <cell r="I147">
            <v>59.84</v>
          </cell>
          <cell r="J147">
            <v>10.56</v>
          </cell>
        </row>
        <row r="148">
          <cell r="A148" t="str">
            <v>00206226</v>
          </cell>
          <cell r="B148" t="str">
            <v>DISPLAY CHAO PRUDENCE - K</v>
          </cell>
          <cell r="C148" t="str">
            <v>MATERIAL PROMOCIONAL</v>
          </cell>
          <cell r="D148" t="str">
            <v>MATERIAL PROMOCIONAL - DISPLAY</v>
          </cell>
          <cell r="E148" t="str">
            <v>N/A</v>
          </cell>
          <cell r="F148">
            <v>24</v>
          </cell>
          <cell r="G148">
            <v>7488</v>
          </cell>
          <cell r="H148">
            <v>1320.88</v>
          </cell>
          <cell r="I148">
            <v>312</v>
          </cell>
          <cell r="J148">
            <v>55.04</v>
          </cell>
        </row>
        <row r="149">
          <cell r="A149" t="str">
            <v>00206237</v>
          </cell>
          <cell r="B149" t="str">
            <v>SEPARADOR DE GONDOLA P 20</v>
          </cell>
          <cell r="C149" t="str">
            <v>MATERIAL PROMOCIONAL</v>
          </cell>
          <cell r="D149" t="str">
            <v>MATERIAL PROMOCIONAL - DISPLAY</v>
          </cell>
          <cell r="E149" t="str">
            <v>N/A</v>
          </cell>
          <cell r="F149">
            <v>289</v>
          </cell>
          <cell r="G149">
            <v>23721.119999999999</v>
          </cell>
          <cell r="H149">
            <v>4184.3999999999996</v>
          </cell>
          <cell r="I149">
            <v>82.08</v>
          </cell>
          <cell r="J149">
            <v>14.48</v>
          </cell>
        </row>
        <row r="150">
          <cell r="A150" t="str">
            <v>00206238</v>
          </cell>
          <cell r="B150" t="str">
            <v>SEPARADOR DE GONDOLA G 20</v>
          </cell>
          <cell r="C150" t="str">
            <v>MATERIAL PROMOCIONAL</v>
          </cell>
          <cell r="D150" t="str">
            <v>MATERIAL PROMOCIONAL - DISPLAY</v>
          </cell>
          <cell r="E150" t="str">
            <v>N/A</v>
          </cell>
          <cell r="F150">
            <v>283</v>
          </cell>
          <cell r="G150">
            <v>14342.44</v>
          </cell>
          <cell r="H150">
            <v>2530.0100000000002</v>
          </cell>
          <cell r="I150">
            <v>50.68</v>
          </cell>
          <cell r="J150">
            <v>8.94</v>
          </cell>
        </row>
        <row r="151">
          <cell r="A151" t="str">
            <v>00206239</v>
          </cell>
          <cell r="B151" t="str">
            <v>CARENAGEM SEPARADOR P 202</v>
          </cell>
          <cell r="C151" t="str">
            <v>MATERIAL PROMOCIONAL</v>
          </cell>
          <cell r="D151" t="str">
            <v>MATERIAL PROMOCIONAL - DISPLAY</v>
          </cell>
          <cell r="E151" t="str">
            <v>N/A</v>
          </cell>
          <cell r="F151">
            <v>300</v>
          </cell>
          <cell r="G151">
            <v>14394</v>
          </cell>
          <cell r="H151">
            <v>2539.1</v>
          </cell>
          <cell r="I151">
            <v>47.98</v>
          </cell>
          <cell r="J151">
            <v>8.4600000000000009</v>
          </cell>
        </row>
        <row r="152">
          <cell r="A152" t="str">
            <v>00206240</v>
          </cell>
          <cell r="B152" t="str">
            <v>CLIP STRIP MODULO VERTICA</v>
          </cell>
          <cell r="C152" t="str">
            <v>MATERIAL PROMOCIONAL</v>
          </cell>
          <cell r="D152" t="str">
            <v>MATERIAL PROMOCIONAL - DISPLAY</v>
          </cell>
          <cell r="E152" t="str">
            <v>N/A</v>
          </cell>
          <cell r="F152">
            <v>97</v>
          </cell>
          <cell r="G152">
            <v>15223.18</v>
          </cell>
          <cell r="H152">
            <v>2685.37</v>
          </cell>
          <cell r="I152">
            <v>156.94</v>
          </cell>
          <cell r="J152">
            <v>27.68</v>
          </cell>
        </row>
        <row r="153">
          <cell r="A153" t="str">
            <v>00206241</v>
          </cell>
          <cell r="B153" t="str">
            <v>BANDEJA MODULAR 2022</v>
          </cell>
          <cell r="C153" t="str">
            <v>MATERIAL PROMOCIONAL</v>
          </cell>
          <cell r="D153" t="str">
            <v>MATERIAL PROMOCIONAL - DISPLAY</v>
          </cell>
          <cell r="E153" t="str">
            <v>N/A</v>
          </cell>
          <cell r="F153">
            <v>97</v>
          </cell>
          <cell r="G153">
            <v>4764.6400000000003</v>
          </cell>
          <cell r="H153">
            <v>840.48</v>
          </cell>
          <cell r="I153">
            <v>49.12</v>
          </cell>
          <cell r="J153">
            <v>8.66</v>
          </cell>
        </row>
        <row r="154">
          <cell r="A154" t="str">
            <v>00206242</v>
          </cell>
          <cell r="B154" t="str">
            <v>TESTEIRA SOFT 2022</v>
          </cell>
          <cell r="C154" t="str">
            <v>MATERIAL PROMOCIONAL</v>
          </cell>
          <cell r="D154" t="str">
            <v>MATERIAL PROMOCIONAL - DISPLAY</v>
          </cell>
          <cell r="E154" t="str">
            <v>N/A</v>
          </cell>
          <cell r="F154">
            <v>300</v>
          </cell>
          <cell r="G154">
            <v>1452</v>
          </cell>
          <cell r="H154">
            <v>256.13</v>
          </cell>
          <cell r="I154">
            <v>4.84</v>
          </cell>
          <cell r="J154">
            <v>0.85</v>
          </cell>
        </row>
        <row r="155">
          <cell r="A155" t="str">
            <v>00206243</v>
          </cell>
          <cell r="B155" t="str">
            <v>CAN BASE 2022</v>
          </cell>
          <cell r="C155" t="str">
            <v>MATERIAL PROMOCIONAL</v>
          </cell>
          <cell r="D155" t="str">
            <v>MATERIAL PROMOCIONAL - DISPLAY</v>
          </cell>
          <cell r="E155" t="str">
            <v>N/A</v>
          </cell>
          <cell r="F155">
            <v>98</v>
          </cell>
          <cell r="G155">
            <v>12710.6</v>
          </cell>
          <cell r="H155">
            <v>2242.15</v>
          </cell>
          <cell r="I155">
            <v>129.69999999999999</v>
          </cell>
          <cell r="J155">
            <v>22.88</v>
          </cell>
        </row>
        <row r="156">
          <cell r="A156" t="str">
            <v>00206249</v>
          </cell>
          <cell r="B156" t="str">
            <v>BASE CLIP STRIP MODULO VE</v>
          </cell>
          <cell r="C156" t="str">
            <v>MATERIAL PROMOCIONAL</v>
          </cell>
          <cell r="D156" t="str">
            <v>MATERIAL PROMOCIONAL - DISPLAY</v>
          </cell>
          <cell r="E156" t="str">
            <v>N/A</v>
          </cell>
          <cell r="F156">
            <v>100</v>
          </cell>
          <cell r="G156">
            <v>9650</v>
          </cell>
          <cell r="H156">
            <v>1702.26</v>
          </cell>
          <cell r="I156">
            <v>96.5</v>
          </cell>
          <cell r="J156">
            <v>17.02</v>
          </cell>
        </row>
        <row r="157">
          <cell r="A157" t="str">
            <v>00206250</v>
          </cell>
          <cell r="B157" t="str">
            <v>DISPLAY CARONA BOLSO SIMP</v>
          </cell>
          <cell r="C157" t="str">
            <v>MATERIAL PROMOCIONAL</v>
          </cell>
          <cell r="D157" t="str">
            <v>MATERIAL PROMOCIONAL - DISPLAY</v>
          </cell>
          <cell r="E157" t="str">
            <v>N/A</v>
          </cell>
          <cell r="F157">
            <v>1455</v>
          </cell>
          <cell r="G157">
            <v>23480.27</v>
          </cell>
          <cell r="H157">
            <v>4141.92</v>
          </cell>
          <cell r="I157">
            <v>16.14</v>
          </cell>
          <cell r="J157">
            <v>2.85</v>
          </cell>
        </row>
        <row r="158">
          <cell r="A158" t="str">
            <v>00206252</v>
          </cell>
          <cell r="B158" t="str">
            <v>DISPLAY DE CHAO 2022</v>
          </cell>
          <cell r="C158" t="str">
            <v>MATERIAL PROMOCIONAL</v>
          </cell>
          <cell r="D158" t="str">
            <v>MATERIAL PROMOCIONAL - DISPLAY</v>
          </cell>
          <cell r="E158" t="str">
            <v>N/A</v>
          </cell>
          <cell r="F158">
            <v>132</v>
          </cell>
          <cell r="G158">
            <v>27705.49</v>
          </cell>
          <cell r="H158">
            <v>4887.25</v>
          </cell>
          <cell r="I158">
            <v>209.89</v>
          </cell>
          <cell r="J158">
            <v>37.020000000000003</v>
          </cell>
        </row>
        <row r="159">
          <cell r="A159" t="str">
            <v>00206257</v>
          </cell>
          <cell r="B159" t="str">
            <v>DISPLAY GEL SACHE</v>
          </cell>
          <cell r="C159" t="str">
            <v>MATERIAL PROMOCIONAL</v>
          </cell>
          <cell r="D159" t="str">
            <v>MATERIAL PROMOCIONAL - DISPLAY</v>
          </cell>
          <cell r="E159" t="str">
            <v>N/A</v>
          </cell>
          <cell r="F159">
            <v>612</v>
          </cell>
          <cell r="G159">
            <v>13337.66</v>
          </cell>
          <cell r="H159">
            <v>2352.7600000000002</v>
          </cell>
          <cell r="I159">
            <v>21.79</v>
          </cell>
          <cell r="J159">
            <v>3.84</v>
          </cell>
        </row>
        <row r="160">
          <cell r="A160" t="str">
            <v>00206264</v>
          </cell>
          <cell r="B160" t="str">
            <v>CANECA</v>
          </cell>
          <cell r="C160" t="str">
            <v>MATERIAL PROMOCIONAL</v>
          </cell>
          <cell r="D160" t="str">
            <v>MATERIAL PROMOCIONAL - DISPLAY</v>
          </cell>
          <cell r="E160" t="str">
            <v>N/A</v>
          </cell>
          <cell r="F160">
            <v>0</v>
          </cell>
          <cell r="G160">
            <v>0.09</v>
          </cell>
          <cell r="H160">
            <v>0.02</v>
          </cell>
          <cell r="I160">
            <v>0</v>
          </cell>
          <cell r="J160">
            <v>0</v>
          </cell>
        </row>
        <row r="161">
          <cell r="A161" t="str">
            <v>00206265</v>
          </cell>
          <cell r="B161" t="str">
            <v>TIRANTE</v>
          </cell>
          <cell r="C161" t="str">
            <v>MATERIAL PROMOCIONAL</v>
          </cell>
          <cell r="D161" t="str">
            <v>MATERIAL PROMOCIONAL - DISPLAY</v>
          </cell>
          <cell r="E161" t="str">
            <v>N/A</v>
          </cell>
          <cell r="F161">
            <v>0</v>
          </cell>
          <cell r="G161">
            <v>0.18</v>
          </cell>
          <cell r="H161">
            <v>0.03</v>
          </cell>
          <cell r="I161">
            <v>0</v>
          </cell>
          <cell r="J161">
            <v>0</v>
          </cell>
        </row>
        <row r="162">
          <cell r="A162" t="str">
            <v>00206266</v>
          </cell>
          <cell r="B162" t="str">
            <v>DISPLAY DE BALCAO CONVENI</v>
          </cell>
          <cell r="C162" t="str">
            <v>MATERIAL PROMOCIONAL</v>
          </cell>
          <cell r="D162" t="str">
            <v>MATERIAL PROMOCIONAL - DISPLAY</v>
          </cell>
          <cell r="E162" t="str">
            <v>N/A</v>
          </cell>
          <cell r="F162">
            <v>955</v>
          </cell>
          <cell r="G162">
            <v>53219.58</v>
          </cell>
          <cell r="H162">
            <v>9387.93</v>
          </cell>
          <cell r="I162">
            <v>55.73</v>
          </cell>
          <cell r="J162">
            <v>9.83</v>
          </cell>
        </row>
        <row r="163">
          <cell r="A163" t="str">
            <v>00206268</v>
          </cell>
          <cell r="B163" t="str">
            <v>DISPLAY BALCAO CONVENIENC</v>
          </cell>
          <cell r="C163" t="str">
            <v>MATERIAL PROMOCIONAL</v>
          </cell>
          <cell r="D163" t="str">
            <v>MATERIAL PROMOCIONAL - DISPLAY</v>
          </cell>
          <cell r="E163" t="str">
            <v>N/A</v>
          </cell>
          <cell r="F163">
            <v>70</v>
          </cell>
          <cell r="G163">
            <v>4058.46</v>
          </cell>
          <cell r="H163">
            <v>715.91</v>
          </cell>
          <cell r="I163">
            <v>57.98</v>
          </cell>
          <cell r="J163">
            <v>10.23</v>
          </cell>
        </row>
        <row r="164">
          <cell r="A164" t="str">
            <v>00206282</v>
          </cell>
          <cell r="B164" t="str">
            <v>DISPLAY PAREDE/BALCAO PRU</v>
          </cell>
          <cell r="C164" t="str">
            <v>MATERIAL PROMOCIONAL</v>
          </cell>
          <cell r="D164" t="str">
            <v>MATERIAL PROMOCIONAL - DISPLAY</v>
          </cell>
          <cell r="E164" t="str">
            <v>N/A</v>
          </cell>
          <cell r="F164">
            <v>1450</v>
          </cell>
          <cell r="G164">
            <v>4553</v>
          </cell>
          <cell r="H164">
            <v>803.15</v>
          </cell>
          <cell r="I164">
            <v>3.14</v>
          </cell>
          <cell r="J164">
            <v>0.55000000000000004</v>
          </cell>
        </row>
        <row r="165">
          <cell r="A165" t="str">
            <v>00206283</v>
          </cell>
          <cell r="B165" t="str">
            <v>DISPLAY PAREDE/BALCAO PRU</v>
          </cell>
          <cell r="C165" t="str">
            <v>MATERIAL PROMOCIONAL</v>
          </cell>
          <cell r="D165" t="str">
            <v>MATERIAL PROMOCIONAL - DISPLAY</v>
          </cell>
          <cell r="E165" t="str">
            <v>N/A</v>
          </cell>
          <cell r="F165">
            <v>1449</v>
          </cell>
          <cell r="G165">
            <v>4057.2</v>
          </cell>
          <cell r="H165">
            <v>715.69</v>
          </cell>
          <cell r="I165">
            <v>2.8</v>
          </cell>
          <cell r="J165">
            <v>0.49</v>
          </cell>
        </row>
        <row r="166">
          <cell r="A166" t="str">
            <v>00206068</v>
          </cell>
          <cell r="B166" t="str">
            <v>TOALHA PROMOCIONAL</v>
          </cell>
          <cell r="C166" t="str">
            <v>MATERIAL PROMOCIONAL</v>
          </cell>
          <cell r="D166" t="str">
            <v>MATERIAL PROMOCIONAL</v>
          </cell>
          <cell r="E166" t="str">
            <v>N/A</v>
          </cell>
          <cell r="F166">
            <v>0</v>
          </cell>
          <cell r="G166">
            <v>0.02</v>
          </cell>
          <cell r="H166">
            <v>0</v>
          </cell>
          <cell r="I166">
            <v>0</v>
          </cell>
          <cell r="J166">
            <v>0</v>
          </cell>
        </row>
        <row r="167">
          <cell r="A167" t="str">
            <v>00206200</v>
          </cell>
          <cell r="B167" t="str">
            <v>CHAVEIRO METAL</v>
          </cell>
          <cell r="C167" t="str">
            <v>MATERIAL PROMOCIONAL</v>
          </cell>
          <cell r="D167" t="str">
            <v>MATERIAL PROMOCIONAL</v>
          </cell>
          <cell r="E167" t="str">
            <v>N/A</v>
          </cell>
          <cell r="F167">
            <v>0</v>
          </cell>
          <cell r="G167">
            <v>0.02</v>
          </cell>
          <cell r="H167">
            <v>0</v>
          </cell>
          <cell r="I167">
            <v>0</v>
          </cell>
          <cell r="J167">
            <v>0</v>
          </cell>
        </row>
        <row r="168">
          <cell r="A168" t="str">
            <v>00206300</v>
          </cell>
          <cell r="B168" t="str">
            <v>PRUDENDE HYPERGEAR DRY BA</v>
          </cell>
          <cell r="C168" t="str">
            <v>MATERIAL PROMOCIONAL</v>
          </cell>
          <cell r="D168" t="str">
            <v>MATERIAL PROMOCIONAL</v>
          </cell>
          <cell r="E168" t="str">
            <v>N/A</v>
          </cell>
          <cell r="F168">
            <v>655</v>
          </cell>
          <cell r="G168">
            <v>20828.93</v>
          </cell>
          <cell r="H168">
            <v>3674.22</v>
          </cell>
          <cell r="I168">
            <v>31.8</v>
          </cell>
          <cell r="J168">
            <v>5.61</v>
          </cell>
        </row>
        <row r="169">
          <cell r="A169" t="str">
            <v>00206301</v>
          </cell>
          <cell r="B169" t="str">
            <v>PRUDENCE HYPERGEAR DRY BA</v>
          </cell>
          <cell r="C169" t="str">
            <v>MATERIAL PROMOCIONAL</v>
          </cell>
          <cell r="D169" t="str">
            <v>MATERIAL PROMOCIONAL</v>
          </cell>
          <cell r="E169" t="str">
            <v>N/A</v>
          </cell>
          <cell r="F169">
            <v>156</v>
          </cell>
          <cell r="G169">
            <v>4861.79</v>
          </cell>
          <cell r="H169">
            <v>857.62</v>
          </cell>
          <cell r="I169">
            <v>31.17</v>
          </cell>
          <cell r="J169">
            <v>5.5</v>
          </cell>
        </row>
        <row r="170">
          <cell r="A170" t="str">
            <v>00206305</v>
          </cell>
          <cell r="B170" t="str">
            <v>ESPECULO VAGINAL</v>
          </cell>
          <cell r="C170" t="str">
            <v>MATERIAL PROMOCIONAL</v>
          </cell>
          <cell r="D170" t="str">
            <v>MATERIAL PROMOCIONAL</v>
          </cell>
          <cell r="E170" t="str">
            <v>N/A</v>
          </cell>
          <cell r="F170">
            <v>0</v>
          </cell>
          <cell r="G170">
            <v>0.05</v>
          </cell>
          <cell r="H170">
            <v>0.01</v>
          </cell>
          <cell r="I170">
            <v>0</v>
          </cell>
          <cell r="J170">
            <v>0</v>
          </cell>
        </row>
        <row r="171">
          <cell r="A171" t="str">
            <v>00206306</v>
          </cell>
          <cell r="B171" t="str">
            <v>MODELO UTERINO ACRILICO R</v>
          </cell>
          <cell r="C171" t="str">
            <v>MATERIAL PROMOCIONAL</v>
          </cell>
          <cell r="D171" t="str">
            <v>MATERIAL PROMOCIONAL</v>
          </cell>
          <cell r="E171" t="str">
            <v>N/A</v>
          </cell>
          <cell r="F171">
            <v>0</v>
          </cell>
          <cell r="G171">
            <v>0.15</v>
          </cell>
          <cell r="H171">
            <v>0.03</v>
          </cell>
          <cell r="I171">
            <v>0</v>
          </cell>
          <cell r="J171">
            <v>0</v>
          </cell>
        </row>
        <row r="172">
          <cell r="A172" t="str">
            <v>00206021</v>
          </cell>
          <cell r="B172" t="str">
            <v>CLIP STRIP COD DE BARRAS</v>
          </cell>
          <cell r="C172" t="str">
            <v>MATERIAL PROMOCIONAL</v>
          </cell>
          <cell r="D172" t="str">
            <v>MATERIAL PROMOCIONAL - CLIPSTRIP</v>
          </cell>
          <cell r="E172" t="str">
            <v>N/A</v>
          </cell>
          <cell r="F172">
            <v>13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</row>
        <row r="173">
          <cell r="A173" t="str">
            <v>00206118</v>
          </cell>
          <cell r="B173" t="str">
            <v>CLIP STRIP SUPER SENSITIV</v>
          </cell>
          <cell r="C173" t="str">
            <v>MATERIAL PROMOCIONAL</v>
          </cell>
          <cell r="D173" t="str">
            <v>MATERIAL PROMOCIONAL - CLIPSTRIP</v>
          </cell>
          <cell r="E173" t="str">
            <v>N/A</v>
          </cell>
          <cell r="F173">
            <v>750</v>
          </cell>
          <cell r="G173">
            <v>2250</v>
          </cell>
          <cell r="H173">
            <v>396.9</v>
          </cell>
          <cell r="I173">
            <v>3</v>
          </cell>
          <cell r="J173">
            <v>0.53</v>
          </cell>
        </row>
        <row r="174">
          <cell r="A174" t="str">
            <v>00206148</v>
          </cell>
          <cell r="B174" t="str">
            <v>BANDEJA LENCO UMEDECIDO</v>
          </cell>
          <cell r="C174" t="str">
            <v>MATERIAL PROMOCIONAL</v>
          </cell>
          <cell r="D174" t="str">
            <v>MATERIAL PROMOCIONAL - CLIPSTRIP</v>
          </cell>
          <cell r="E174" t="str">
            <v>N/A</v>
          </cell>
          <cell r="F174">
            <v>331</v>
          </cell>
          <cell r="G174">
            <v>3210.7</v>
          </cell>
          <cell r="H174">
            <v>566.37</v>
          </cell>
          <cell r="I174">
            <v>9.6999999999999993</v>
          </cell>
          <cell r="J174">
            <v>1.71</v>
          </cell>
        </row>
        <row r="175">
          <cell r="A175" t="str">
            <v>00206198</v>
          </cell>
          <cell r="B175" t="str">
            <v>CLIP STRIP - PRUDENCE</v>
          </cell>
          <cell r="C175" t="str">
            <v>MATERIAL PROMOCIONAL</v>
          </cell>
          <cell r="D175" t="str">
            <v>MATERIAL PROMOCIONAL - CLIPSTRIP</v>
          </cell>
          <cell r="E175" t="str">
            <v>N/A</v>
          </cell>
          <cell r="F175">
            <v>200</v>
          </cell>
          <cell r="G175">
            <v>19083.240000000002</v>
          </cell>
          <cell r="H175">
            <v>3366.28</v>
          </cell>
          <cell r="I175">
            <v>95.42</v>
          </cell>
          <cell r="J175">
            <v>16.829999999999998</v>
          </cell>
        </row>
        <row r="176">
          <cell r="A176" t="str">
            <v>00206207</v>
          </cell>
          <cell r="B176" t="str">
            <v>DISPLAY CARONA BOLSO DUPL</v>
          </cell>
          <cell r="C176" t="str">
            <v>MATERIAL PROMOCIONAL</v>
          </cell>
          <cell r="D176" t="str">
            <v>MATERIAL PROMOCIONAL - CLIPSTRIP</v>
          </cell>
          <cell r="E176" t="str">
            <v>N/A</v>
          </cell>
          <cell r="F176">
            <v>4251</v>
          </cell>
          <cell r="G176">
            <v>66540.84</v>
          </cell>
          <cell r="H176">
            <v>11737.8</v>
          </cell>
          <cell r="I176">
            <v>15.65</v>
          </cell>
          <cell r="J176">
            <v>2.76</v>
          </cell>
        </row>
        <row r="177">
          <cell r="A177" t="str">
            <v>000P0001</v>
          </cell>
          <cell r="B177" t="str">
            <v>PRUDENCE C S MORANGO UNIT</v>
          </cell>
          <cell r="C177" t="str">
            <v>MASCULINO UNIDADE</v>
          </cell>
          <cell r="D177" t="str">
            <v>AMOSTRA UNITARIA / LP</v>
          </cell>
          <cell r="E177" t="str">
            <v>MALE SAMPLE</v>
          </cell>
          <cell r="F177">
            <v>0</v>
          </cell>
          <cell r="G177">
            <v>7.0000000000000007E-2</v>
          </cell>
          <cell r="H177">
            <v>0.01</v>
          </cell>
          <cell r="I177">
            <v>0</v>
          </cell>
          <cell r="J177">
            <v>0</v>
          </cell>
        </row>
        <row r="178">
          <cell r="A178" t="str">
            <v>000P0011</v>
          </cell>
          <cell r="B178" t="str">
            <v>PRUDENCE C S CHICLETE UNI</v>
          </cell>
          <cell r="C178" t="str">
            <v>MASCULINO UNIDADE</v>
          </cell>
          <cell r="D178" t="str">
            <v>AMOSTRA UNITARIA / LP</v>
          </cell>
          <cell r="E178" t="str">
            <v>MALE SAMPLE</v>
          </cell>
          <cell r="F178">
            <v>0</v>
          </cell>
          <cell r="G178">
            <v>0.02</v>
          </cell>
          <cell r="H178">
            <v>0</v>
          </cell>
          <cell r="I178">
            <v>0</v>
          </cell>
          <cell r="J178">
            <v>0</v>
          </cell>
        </row>
        <row r="179">
          <cell r="A179" t="str">
            <v>000P0034</v>
          </cell>
          <cell r="B179" t="str">
            <v>PRUDENCE EXTRA GRANDE ULT</v>
          </cell>
          <cell r="C179" t="str">
            <v>MASCULINO UNIDADE</v>
          </cell>
          <cell r="D179" t="str">
            <v>AMOSTRA UNITARIA / LP</v>
          </cell>
          <cell r="E179" t="str">
            <v>MALE SAMPLE</v>
          </cell>
          <cell r="F179">
            <v>3</v>
          </cell>
          <cell r="G179">
            <v>235.91</v>
          </cell>
          <cell r="H179">
            <v>41.61</v>
          </cell>
          <cell r="I179">
            <v>78.64</v>
          </cell>
          <cell r="J179">
            <v>13.87</v>
          </cell>
        </row>
        <row r="180">
          <cell r="F180">
            <v>493654.6</v>
          </cell>
          <cell r="G180">
            <v>17153095.580000009</v>
          </cell>
          <cell r="H180">
            <v>3025805.3799999952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"/>
    </sheetNames>
    <sheetDataSet>
      <sheetData sheetId="0">
        <row r="1">
          <cell r="B1" t="str">
            <v>ID Produto</v>
          </cell>
          <cell r="C1" t="str">
            <v>Descrição</v>
          </cell>
          <cell r="D1" t="str">
            <v>Abr/2025</v>
          </cell>
          <cell r="E1" t="str">
            <v>Mai/2025</v>
          </cell>
          <cell r="F1" t="str">
            <v>Jun/2025</v>
          </cell>
          <cell r="G1" t="str">
            <v>Jul/2025</v>
          </cell>
          <cell r="H1" t="str">
            <v>Ago/2025</v>
          </cell>
          <cell r="I1" t="str">
            <v>Set/2025</v>
          </cell>
          <cell r="J1" t="str">
            <v>Out/2025</v>
          </cell>
          <cell r="K1" t="str">
            <v>Nov/2025</v>
          </cell>
          <cell r="L1" t="str">
            <v>Dez/2025</v>
          </cell>
          <cell r="M1" t="str">
            <v>Jan/2026</v>
          </cell>
          <cell r="N1" t="str">
            <v>Fev/2026</v>
          </cell>
          <cell r="O1" t="str">
            <v>Mar/2026</v>
          </cell>
          <cell r="P1" t="str">
            <v>Abr/2026</v>
          </cell>
          <cell r="Q1" t="str">
            <v>Mai/2026</v>
          </cell>
        </row>
        <row r="2">
          <cell r="B2" t="str">
            <v>000A1001</v>
          </cell>
          <cell r="C2" t="str">
            <v>PRUDENCE C S MORANGO</v>
          </cell>
          <cell r="D2">
            <v>3100</v>
          </cell>
          <cell r="E2">
            <v>2243</v>
          </cell>
          <cell r="F2">
            <v>3663</v>
          </cell>
          <cell r="G2">
            <v>5466</v>
          </cell>
          <cell r="H2">
            <v>1928</v>
          </cell>
          <cell r="I2">
            <v>3023</v>
          </cell>
          <cell r="J2">
            <v>3501</v>
          </cell>
          <cell r="K2">
            <v>5000</v>
          </cell>
          <cell r="L2">
            <v>5000</v>
          </cell>
          <cell r="M2">
            <v>5000</v>
          </cell>
          <cell r="N2">
            <v>5000</v>
          </cell>
          <cell r="O2">
            <v>6500</v>
          </cell>
          <cell r="P2">
            <v>3500</v>
          </cell>
          <cell r="Q2">
            <v>5000</v>
          </cell>
        </row>
        <row r="3">
          <cell r="B3" t="str">
            <v>000A1002</v>
          </cell>
          <cell r="C3" t="str">
            <v>PRUDENCE C S HORTELA</v>
          </cell>
          <cell r="D3">
            <v>1840</v>
          </cell>
          <cell r="E3">
            <v>1658</v>
          </cell>
          <cell r="F3">
            <v>2496</v>
          </cell>
          <cell r="G3">
            <v>3909</v>
          </cell>
          <cell r="H3">
            <v>1450</v>
          </cell>
          <cell r="I3">
            <v>2030</v>
          </cell>
          <cell r="J3">
            <v>2446</v>
          </cell>
          <cell r="K3">
            <v>3000</v>
          </cell>
          <cell r="L3">
            <v>3000</v>
          </cell>
          <cell r="M3">
            <v>3000</v>
          </cell>
          <cell r="N3">
            <v>3000</v>
          </cell>
          <cell r="O3">
            <v>3900</v>
          </cell>
          <cell r="P3">
            <v>2100</v>
          </cell>
          <cell r="Q3">
            <v>3000</v>
          </cell>
        </row>
        <row r="4">
          <cell r="B4" t="str">
            <v>000A1003</v>
          </cell>
          <cell r="C4" t="str">
            <v>PRUDENCE C S UVA</v>
          </cell>
          <cell r="D4">
            <v>1393</v>
          </cell>
          <cell r="E4">
            <v>888</v>
          </cell>
          <cell r="F4">
            <v>1739</v>
          </cell>
          <cell r="G4">
            <v>2553</v>
          </cell>
          <cell r="H4">
            <v>841</v>
          </cell>
          <cell r="I4">
            <v>1302</v>
          </cell>
          <cell r="J4">
            <v>1602</v>
          </cell>
          <cell r="K4">
            <v>3000</v>
          </cell>
          <cell r="L4">
            <v>3000</v>
          </cell>
          <cell r="M4">
            <v>3000</v>
          </cell>
          <cell r="N4">
            <v>3000</v>
          </cell>
          <cell r="O4">
            <v>4500</v>
          </cell>
          <cell r="P4">
            <v>1500</v>
          </cell>
          <cell r="Q4">
            <v>3000</v>
          </cell>
        </row>
        <row r="5">
          <cell r="B5" t="str">
            <v>000A1004</v>
          </cell>
          <cell r="C5" t="str">
            <v>PRUDENCE C S CHOCOLATE</v>
          </cell>
          <cell r="D5">
            <v>744</v>
          </cell>
          <cell r="E5">
            <v>501</v>
          </cell>
          <cell r="F5">
            <v>857</v>
          </cell>
          <cell r="G5">
            <v>1208</v>
          </cell>
          <cell r="H5">
            <v>448</v>
          </cell>
          <cell r="I5">
            <v>644</v>
          </cell>
          <cell r="J5">
            <v>825</v>
          </cell>
          <cell r="K5">
            <v>1500</v>
          </cell>
          <cell r="L5">
            <v>1500</v>
          </cell>
          <cell r="M5">
            <v>1500</v>
          </cell>
          <cell r="N5">
            <v>1500</v>
          </cell>
          <cell r="O5">
            <v>1950</v>
          </cell>
          <cell r="P5">
            <v>1050</v>
          </cell>
          <cell r="Q5">
            <v>1500</v>
          </cell>
        </row>
        <row r="6">
          <cell r="B6" t="str">
            <v>000A1006</v>
          </cell>
          <cell r="C6" t="str">
            <v>PRUDENCE C S TUTTI-FRUTTI</v>
          </cell>
          <cell r="D6">
            <v>1118</v>
          </cell>
          <cell r="E6">
            <v>1088</v>
          </cell>
          <cell r="F6">
            <v>1723</v>
          </cell>
          <cell r="G6">
            <v>2614</v>
          </cell>
          <cell r="H6">
            <v>947</v>
          </cell>
          <cell r="I6">
            <v>1394</v>
          </cell>
          <cell r="J6">
            <v>1759</v>
          </cell>
          <cell r="K6">
            <v>1900</v>
          </cell>
          <cell r="L6">
            <v>1900</v>
          </cell>
          <cell r="M6">
            <v>1900</v>
          </cell>
          <cell r="N6">
            <v>1900</v>
          </cell>
          <cell r="O6">
            <v>2470</v>
          </cell>
          <cell r="P6">
            <v>1330</v>
          </cell>
          <cell r="Q6">
            <v>1900</v>
          </cell>
        </row>
        <row r="7">
          <cell r="B7" t="str">
            <v>000A1012</v>
          </cell>
          <cell r="C7" t="str">
            <v>PRUDENCE C S MELANCIA</v>
          </cell>
          <cell r="D7">
            <v>640</v>
          </cell>
          <cell r="E7">
            <v>465</v>
          </cell>
          <cell r="F7">
            <v>786</v>
          </cell>
          <cell r="G7">
            <v>1141</v>
          </cell>
          <cell r="H7">
            <v>402</v>
          </cell>
          <cell r="I7">
            <v>601</v>
          </cell>
          <cell r="J7">
            <v>701</v>
          </cell>
          <cell r="K7">
            <v>590</v>
          </cell>
          <cell r="L7">
            <v>670</v>
          </cell>
          <cell r="M7">
            <v>802</v>
          </cell>
          <cell r="N7">
            <v>700</v>
          </cell>
          <cell r="O7">
            <v>832</v>
          </cell>
          <cell r="P7">
            <v>135</v>
          </cell>
          <cell r="Q7">
            <v>556</v>
          </cell>
        </row>
        <row r="8">
          <cell r="B8" t="str">
            <v>000A1017</v>
          </cell>
          <cell r="C8" t="str">
            <v>PRUDENCE C S MORANGAO</v>
          </cell>
          <cell r="D8">
            <v>366</v>
          </cell>
          <cell r="E8">
            <v>247</v>
          </cell>
          <cell r="F8">
            <v>408</v>
          </cell>
          <cell r="G8">
            <v>589</v>
          </cell>
          <cell r="H8">
            <v>243</v>
          </cell>
          <cell r="I8">
            <v>314</v>
          </cell>
          <cell r="J8">
            <v>388</v>
          </cell>
          <cell r="K8">
            <v>322</v>
          </cell>
          <cell r="L8">
            <v>385</v>
          </cell>
          <cell r="M8">
            <v>423</v>
          </cell>
          <cell r="N8">
            <v>536</v>
          </cell>
          <cell r="O8">
            <v>413</v>
          </cell>
          <cell r="P8">
            <v>25</v>
          </cell>
          <cell r="Q8">
            <v>325</v>
          </cell>
        </row>
        <row r="9">
          <cell r="B9" t="str">
            <v>000A1019</v>
          </cell>
          <cell r="C9" t="str">
            <v>PRUDENCE C S CHICLETE</v>
          </cell>
          <cell r="D9">
            <v>774</v>
          </cell>
          <cell r="E9">
            <v>565</v>
          </cell>
          <cell r="F9">
            <v>841</v>
          </cell>
          <cell r="G9">
            <v>1204</v>
          </cell>
          <cell r="H9">
            <v>490</v>
          </cell>
          <cell r="I9">
            <v>612</v>
          </cell>
          <cell r="J9">
            <v>879</v>
          </cell>
          <cell r="K9">
            <v>651</v>
          </cell>
          <cell r="L9">
            <v>858</v>
          </cell>
          <cell r="M9">
            <v>870</v>
          </cell>
          <cell r="N9">
            <v>865</v>
          </cell>
          <cell r="O9">
            <v>1279</v>
          </cell>
          <cell r="P9">
            <v>844</v>
          </cell>
          <cell r="Q9">
            <v>996</v>
          </cell>
        </row>
        <row r="10">
          <cell r="B10" t="str">
            <v>000A1021</v>
          </cell>
          <cell r="C10" t="str">
            <v>PRUDENCE C S MORANGO C/6</v>
          </cell>
          <cell r="D10">
            <v>1063</v>
          </cell>
          <cell r="E10">
            <v>897</v>
          </cell>
          <cell r="F10">
            <v>1365</v>
          </cell>
          <cell r="G10">
            <v>1711</v>
          </cell>
          <cell r="H10">
            <v>750</v>
          </cell>
          <cell r="I10">
            <v>1029</v>
          </cell>
          <cell r="J10">
            <v>1260</v>
          </cell>
          <cell r="K10">
            <v>979</v>
          </cell>
          <cell r="L10">
            <v>1152</v>
          </cell>
          <cell r="M10">
            <v>578</v>
          </cell>
          <cell r="N10">
            <v>578</v>
          </cell>
          <cell r="O10">
            <v>621</v>
          </cell>
          <cell r="P10">
            <v>256</v>
          </cell>
          <cell r="Q10">
            <v>334</v>
          </cell>
        </row>
        <row r="11">
          <cell r="B11" t="str">
            <v>000A1025</v>
          </cell>
          <cell r="C11" t="str">
            <v>PRUDENCE C S CAIPIRINHA</v>
          </cell>
          <cell r="D11">
            <v>562</v>
          </cell>
          <cell r="E11">
            <v>424</v>
          </cell>
          <cell r="F11">
            <v>657</v>
          </cell>
          <cell r="G11">
            <v>925</v>
          </cell>
          <cell r="H11">
            <v>333</v>
          </cell>
          <cell r="I11">
            <v>502</v>
          </cell>
          <cell r="J11">
            <v>615</v>
          </cell>
          <cell r="K11">
            <v>531</v>
          </cell>
          <cell r="L11">
            <v>563</v>
          </cell>
          <cell r="M11">
            <v>712</v>
          </cell>
          <cell r="N11">
            <v>820</v>
          </cell>
          <cell r="O11">
            <v>621</v>
          </cell>
          <cell r="P11">
            <v>353</v>
          </cell>
          <cell r="Q11">
            <v>598</v>
          </cell>
        </row>
        <row r="12">
          <cell r="B12" t="str">
            <v>000A1028</v>
          </cell>
          <cell r="C12" t="str">
            <v>PRUDENCE C S MIX/FLOWPACK</v>
          </cell>
          <cell r="D12">
            <v>531</v>
          </cell>
          <cell r="E12">
            <v>452</v>
          </cell>
          <cell r="F12">
            <v>667</v>
          </cell>
          <cell r="G12">
            <v>900</v>
          </cell>
          <cell r="H12">
            <v>338</v>
          </cell>
          <cell r="I12">
            <v>543</v>
          </cell>
          <cell r="J12">
            <v>626</v>
          </cell>
          <cell r="K12">
            <v>513</v>
          </cell>
          <cell r="L12">
            <v>574</v>
          </cell>
          <cell r="M12">
            <v>575</v>
          </cell>
          <cell r="N12">
            <v>591</v>
          </cell>
          <cell r="O12">
            <v>601</v>
          </cell>
          <cell r="P12">
            <v>676</v>
          </cell>
          <cell r="Q12">
            <v>623</v>
          </cell>
        </row>
        <row r="13">
          <cell r="B13" t="str">
            <v>000A1031</v>
          </cell>
          <cell r="C13" t="str">
            <v>PRUDENCE C S MIX LEVE 8 PAGUE 6</v>
          </cell>
          <cell r="D13">
            <v>1681</v>
          </cell>
          <cell r="E13">
            <v>1323</v>
          </cell>
          <cell r="F13">
            <v>2124</v>
          </cell>
          <cell r="G13">
            <v>2929</v>
          </cell>
          <cell r="H13">
            <v>1139</v>
          </cell>
          <cell r="I13">
            <v>1629</v>
          </cell>
          <cell r="J13">
            <v>1920</v>
          </cell>
          <cell r="K13">
            <v>1596</v>
          </cell>
          <cell r="L13">
            <v>1738</v>
          </cell>
          <cell r="M13">
            <v>1951</v>
          </cell>
          <cell r="N13">
            <v>1878</v>
          </cell>
          <cell r="O13">
            <v>2200</v>
          </cell>
          <cell r="P13">
            <v>1330</v>
          </cell>
          <cell r="Q13">
            <v>1803</v>
          </cell>
        </row>
        <row r="14">
          <cell r="B14" t="str">
            <v>000A1034</v>
          </cell>
          <cell r="C14" t="str">
            <v>PRUDENCE C S MIX TROPICAL L8P6</v>
          </cell>
          <cell r="D14">
            <v>615</v>
          </cell>
          <cell r="E14">
            <v>488</v>
          </cell>
          <cell r="F14">
            <v>728</v>
          </cell>
          <cell r="G14">
            <v>920</v>
          </cell>
          <cell r="H14">
            <v>397</v>
          </cell>
          <cell r="I14">
            <v>571</v>
          </cell>
          <cell r="J14">
            <v>651</v>
          </cell>
          <cell r="K14">
            <v>553</v>
          </cell>
          <cell r="L14">
            <v>647</v>
          </cell>
          <cell r="M14">
            <v>651</v>
          </cell>
          <cell r="N14">
            <v>686</v>
          </cell>
          <cell r="O14">
            <v>694</v>
          </cell>
          <cell r="P14">
            <v>768</v>
          </cell>
          <cell r="Q14">
            <v>716</v>
          </cell>
        </row>
        <row r="15">
          <cell r="B15" t="str">
            <v>000A2001</v>
          </cell>
          <cell r="C15" t="str">
            <v>PRUDENCE ULTRA SENSIVEL</v>
          </cell>
          <cell r="D15">
            <v>1800</v>
          </cell>
          <cell r="E15">
            <v>1326</v>
          </cell>
          <cell r="F15">
            <v>2387</v>
          </cell>
          <cell r="G15">
            <v>3280</v>
          </cell>
          <cell r="H15">
            <v>1256</v>
          </cell>
          <cell r="I15">
            <v>1787</v>
          </cell>
          <cell r="J15">
            <v>1918</v>
          </cell>
          <cell r="K15">
            <v>1772</v>
          </cell>
          <cell r="L15">
            <v>1770</v>
          </cell>
          <cell r="M15">
            <v>2122</v>
          </cell>
          <cell r="N15">
            <v>1914</v>
          </cell>
          <cell r="O15">
            <v>1994</v>
          </cell>
          <cell r="P15">
            <v>1577</v>
          </cell>
          <cell r="Q15">
            <v>1828</v>
          </cell>
        </row>
        <row r="16">
          <cell r="B16" t="str">
            <v>000A2005</v>
          </cell>
          <cell r="C16" t="str">
            <v>PRUDENCE ULTRA SENSIVEL LEVE 8 PAGUE 6</v>
          </cell>
          <cell r="D16">
            <v>5500</v>
          </cell>
          <cell r="E16">
            <v>3141</v>
          </cell>
          <cell r="F16">
            <v>6543</v>
          </cell>
          <cell r="G16">
            <v>7973</v>
          </cell>
          <cell r="H16">
            <v>3507</v>
          </cell>
          <cell r="I16">
            <v>4216</v>
          </cell>
          <cell r="J16">
            <v>5879</v>
          </cell>
          <cell r="K16">
            <v>4681</v>
          </cell>
          <cell r="L16">
            <v>4981</v>
          </cell>
          <cell r="M16">
            <v>5068</v>
          </cell>
          <cell r="N16">
            <v>5888</v>
          </cell>
          <cell r="O16">
            <v>5495</v>
          </cell>
          <cell r="P16">
            <v>5152</v>
          </cell>
          <cell r="Q16">
            <v>5512</v>
          </cell>
        </row>
        <row r="17">
          <cell r="B17" t="str">
            <v>000A2007</v>
          </cell>
          <cell r="C17" t="str">
            <v>PRUDENCE SUPER SENSITIVE</v>
          </cell>
          <cell r="D17">
            <v>817</v>
          </cell>
          <cell r="E17">
            <v>528</v>
          </cell>
          <cell r="F17">
            <v>913</v>
          </cell>
          <cell r="G17">
            <v>1229</v>
          </cell>
          <cell r="H17">
            <v>480</v>
          </cell>
          <cell r="I17">
            <v>713</v>
          </cell>
          <cell r="J17">
            <v>869</v>
          </cell>
          <cell r="K17">
            <v>784</v>
          </cell>
          <cell r="L17">
            <v>773</v>
          </cell>
          <cell r="M17">
            <v>949</v>
          </cell>
          <cell r="N17">
            <v>884</v>
          </cell>
          <cell r="O17">
            <v>856</v>
          </cell>
          <cell r="P17">
            <v>1238</v>
          </cell>
          <cell r="Q17">
            <v>993</v>
          </cell>
        </row>
        <row r="18">
          <cell r="B18" t="str">
            <v>000A2011</v>
          </cell>
          <cell r="C18" t="str">
            <v>PRUDENCE SENSACOES SENSITIVE RETARDANTE 3</v>
          </cell>
          <cell r="D18">
            <v>278</v>
          </cell>
          <cell r="E18">
            <v>303</v>
          </cell>
          <cell r="F18">
            <v>375</v>
          </cell>
          <cell r="G18">
            <v>538</v>
          </cell>
          <cell r="H18">
            <v>303</v>
          </cell>
          <cell r="I18">
            <v>338</v>
          </cell>
          <cell r="J18">
            <v>423</v>
          </cell>
          <cell r="K18">
            <v>367</v>
          </cell>
          <cell r="L18">
            <v>390</v>
          </cell>
          <cell r="M18">
            <v>446</v>
          </cell>
          <cell r="N18">
            <v>447</v>
          </cell>
          <cell r="O18">
            <v>433</v>
          </cell>
          <cell r="P18">
            <v>378</v>
          </cell>
          <cell r="Q18">
            <v>419</v>
          </cell>
        </row>
        <row r="19">
          <cell r="B19" t="str">
            <v>000A2014</v>
          </cell>
          <cell r="C19" t="str">
            <v>PRUDENCE SUPER SENSITIVE L8P6</v>
          </cell>
          <cell r="D19">
            <v>1200</v>
          </cell>
          <cell r="E19">
            <v>1282</v>
          </cell>
          <cell r="F19">
            <v>2200</v>
          </cell>
          <cell r="G19">
            <v>3469</v>
          </cell>
          <cell r="H19">
            <v>1528</v>
          </cell>
          <cell r="I19">
            <v>1753</v>
          </cell>
          <cell r="J19">
            <v>2918</v>
          </cell>
          <cell r="K19">
            <v>2043</v>
          </cell>
          <cell r="L19">
            <v>2138</v>
          </cell>
          <cell r="M19">
            <v>2112</v>
          </cell>
          <cell r="N19">
            <v>2693</v>
          </cell>
          <cell r="O19">
            <v>4500</v>
          </cell>
          <cell r="P19">
            <v>2406</v>
          </cell>
          <cell r="Q19">
            <v>3200</v>
          </cell>
        </row>
        <row r="20">
          <cell r="B20" t="str">
            <v>000A2015</v>
          </cell>
          <cell r="C20" t="str">
            <v>PRUDENCE SUPER SENSITIVE L12P10</v>
          </cell>
          <cell r="D20">
            <v>394</v>
          </cell>
          <cell r="E20">
            <v>231</v>
          </cell>
          <cell r="F20">
            <v>426</v>
          </cell>
          <cell r="G20">
            <v>540</v>
          </cell>
          <cell r="H20">
            <v>285</v>
          </cell>
          <cell r="I20">
            <v>373</v>
          </cell>
          <cell r="J20">
            <v>500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1500</v>
          </cell>
          <cell r="P20">
            <v>500</v>
          </cell>
          <cell r="Q20">
            <v>1000</v>
          </cell>
        </row>
        <row r="21">
          <cell r="B21" t="str">
            <v>000A2018</v>
          </cell>
          <cell r="C21" t="str">
            <v>PRUDENCE SUPER SENSITIVE INTENSE 3</v>
          </cell>
          <cell r="D21">
            <v>450</v>
          </cell>
          <cell r="E21">
            <v>450</v>
          </cell>
          <cell r="F21">
            <v>450</v>
          </cell>
          <cell r="G21">
            <v>450</v>
          </cell>
          <cell r="H21">
            <v>450</v>
          </cell>
          <cell r="I21">
            <v>450</v>
          </cell>
          <cell r="J21">
            <v>450</v>
          </cell>
          <cell r="K21">
            <v>500</v>
          </cell>
          <cell r="L21">
            <v>500</v>
          </cell>
          <cell r="M21">
            <v>500</v>
          </cell>
          <cell r="N21">
            <v>500</v>
          </cell>
          <cell r="O21">
            <v>650</v>
          </cell>
          <cell r="P21">
            <v>350</v>
          </cell>
          <cell r="Q21">
            <v>500</v>
          </cell>
        </row>
        <row r="22">
          <cell r="B22" t="str">
            <v>000A2019</v>
          </cell>
          <cell r="C22" t="str">
            <v>PRUDENCE SUPER SENSITIVE INTENSE 6</v>
          </cell>
          <cell r="D22">
            <v>685</v>
          </cell>
          <cell r="E22">
            <v>685</v>
          </cell>
          <cell r="F22">
            <v>685</v>
          </cell>
          <cell r="G22">
            <v>685</v>
          </cell>
          <cell r="H22">
            <v>685</v>
          </cell>
          <cell r="I22">
            <v>685</v>
          </cell>
          <cell r="J22">
            <v>685</v>
          </cell>
          <cell r="K22">
            <v>700</v>
          </cell>
          <cell r="L22">
            <v>700</v>
          </cell>
          <cell r="M22">
            <v>700</v>
          </cell>
          <cell r="N22">
            <v>700</v>
          </cell>
          <cell r="O22">
            <v>910</v>
          </cell>
          <cell r="P22">
            <v>490</v>
          </cell>
          <cell r="Q22">
            <v>700</v>
          </cell>
        </row>
        <row r="23">
          <cell r="B23" t="str">
            <v>000A3005</v>
          </cell>
          <cell r="C23" t="str">
            <v>PRUDENCE EFEITO RETARDANTE</v>
          </cell>
          <cell r="D23">
            <v>1651</v>
          </cell>
          <cell r="E23">
            <v>1272</v>
          </cell>
          <cell r="F23">
            <v>2138</v>
          </cell>
          <cell r="G23">
            <v>3022</v>
          </cell>
          <cell r="H23">
            <v>1255</v>
          </cell>
          <cell r="I23">
            <v>1679</v>
          </cell>
          <cell r="J23">
            <v>2295</v>
          </cell>
          <cell r="K23">
            <v>2022</v>
          </cell>
          <cell r="L23">
            <v>1905</v>
          </cell>
          <cell r="M23">
            <v>2279</v>
          </cell>
          <cell r="N23">
            <v>1807</v>
          </cell>
          <cell r="O23">
            <v>2714</v>
          </cell>
          <cell r="P23">
            <v>1369</v>
          </cell>
          <cell r="Q23">
            <v>1963</v>
          </cell>
        </row>
        <row r="24">
          <cell r="B24" t="str">
            <v>000A3009</v>
          </cell>
          <cell r="C24" t="str">
            <v>PRUDENCE EFEITO RETARDANTE L8P6</v>
          </cell>
          <cell r="D24">
            <v>2250</v>
          </cell>
          <cell r="E24">
            <v>1634</v>
          </cell>
          <cell r="F24">
            <v>2598</v>
          </cell>
          <cell r="G24">
            <v>3913</v>
          </cell>
          <cell r="H24">
            <v>1652</v>
          </cell>
          <cell r="I24">
            <v>2138</v>
          </cell>
          <cell r="J24">
            <v>2943</v>
          </cell>
          <cell r="K24">
            <v>2281</v>
          </cell>
          <cell r="L24">
            <v>2282</v>
          </cell>
          <cell r="M24">
            <v>2583</v>
          </cell>
          <cell r="N24">
            <v>2555</v>
          </cell>
          <cell r="O24">
            <v>2480</v>
          </cell>
          <cell r="P24">
            <v>1544</v>
          </cell>
          <cell r="Q24">
            <v>2193</v>
          </cell>
        </row>
        <row r="25">
          <cell r="B25" t="str">
            <v>000A3014</v>
          </cell>
          <cell r="C25" t="str">
            <v>PRUDENCE EXTRA TEXTURIZADO C/6</v>
          </cell>
          <cell r="D25">
            <v>179</v>
          </cell>
          <cell r="E25">
            <v>495</v>
          </cell>
          <cell r="F25">
            <v>779</v>
          </cell>
          <cell r="G25">
            <v>1083</v>
          </cell>
          <cell r="H25">
            <v>412</v>
          </cell>
          <cell r="I25">
            <v>675</v>
          </cell>
          <cell r="J25">
            <v>759</v>
          </cell>
          <cell r="K25">
            <v>612</v>
          </cell>
          <cell r="L25">
            <v>675</v>
          </cell>
          <cell r="M25">
            <v>714</v>
          </cell>
          <cell r="N25">
            <v>773</v>
          </cell>
          <cell r="O25">
            <v>751</v>
          </cell>
          <cell r="P25">
            <v>60</v>
          </cell>
          <cell r="Q25">
            <v>528</v>
          </cell>
        </row>
        <row r="26">
          <cell r="B26" t="str">
            <v>000A3018</v>
          </cell>
          <cell r="C26" t="str">
            <v>PRUDENCE SENSACOES TEXTURIZADO RETARDANTE C/6</v>
          </cell>
          <cell r="D26">
            <v>271</v>
          </cell>
          <cell r="E26">
            <v>257</v>
          </cell>
          <cell r="F26">
            <v>359</v>
          </cell>
          <cell r="G26">
            <v>619</v>
          </cell>
          <cell r="H26">
            <v>282</v>
          </cell>
          <cell r="I26">
            <v>326</v>
          </cell>
          <cell r="J26">
            <v>425</v>
          </cell>
          <cell r="K26">
            <v>320</v>
          </cell>
          <cell r="L26">
            <v>350</v>
          </cell>
          <cell r="M26">
            <v>364</v>
          </cell>
          <cell r="N26">
            <v>407</v>
          </cell>
          <cell r="O26">
            <v>337</v>
          </cell>
          <cell r="P26">
            <v>431</v>
          </cell>
          <cell r="Q26">
            <v>392</v>
          </cell>
        </row>
        <row r="27">
          <cell r="B27" t="str">
            <v>000A3050</v>
          </cell>
          <cell r="C27" t="str">
            <v>PRUDENCE NEON</v>
          </cell>
          <cell r="D27">
            <v>189</v>
          </cell>
          <cell r="E27">
            <v>117</v>
          </cell>
          <cell r="F27">
            <v>181</v>
          </cell>
          <cell r="G27">
            <v>250</v>
          </cell>
          <cell r="H27">
            <v>96</v>
          </cell>
          <cell r="I27">
            <v>134</v>
          </cell>
          <cell r="J27">
            <v>175</v>
          </cell>
          <cell r="K27">
            <v>164</v>
          </cell>
          <cell r="L27">
            <v>176</v>
          </cell>
          <cell r="M27">
            <v>196</v>
          </cell>
          <cell r="N27">
            <v>287</v>
          </cell>
          <cell r="O27">
            <v>185</v>
          </cell>
          <cell r="P27">
            <v>305</v>
          </cell>
          <cell r="Q27">
            <v>259</v>
          </cell>
        </row>
        <row r="28">
          <cell r="B28" t="str">
            <v>000A4005</v>
          </cell>
          <cell r="C28" t="str">
            <v>PRUDENCE ULTRA RESISTENTE</v>
          </cell>
          <cell r="D28">
            <v>150</v>
          </cell>
          <cell r="E28">
            <v>98</v>
          </cell>
          <cell r="F28">
            <v>177</v>
          </cell>
          <cell r="G28">
            <v>248</v>
          </cell>
          <cell r="H28">
            <v>62</v>
          </cell>
          <cell r="I28">
            <v>131</v>
          </cell>
          <cell r="J28">
            <v>177</v>
          </cell>
          <cell r="K28">
            <v>165</v>
          </cell>
          <cell r="L28">
            <v>165</v>
          </cell>
          <cell r="M28">
            <v>192</v>
          </cell>
          <cell r="N28">
            <v>193</v>
          </cell>
          <cell r="O28">
            <v>181</v>
          </cell>
          <cell r="P28">
            <v>95</v>
          </cell>
          <cell r="Q28">
            <v>156</v>
          </cell>
        </row>
        <row r="29">
          <cell r="B29" t="str">
            <v>000A4010</v>
          </cell>
          <cell r="C29" t="str">
            <v>PRUDENCE EXTRA GRANDE</v>
          </cell>
          <cell r="D29">
            <v>599</v>
          </cell>
          <cell r="E29">
            <v>643</v>
          </cell>
          <cell r="F29">
            <v>1137</v>
          </cell>
          <cell r="G29">
            <v>1593</v>
          </cell>
          <cell r="H29">
            <v>551</v>
          </cell>
          <cell r="I29">
            <v>910</v>
          </cell>
          <cell r="J29">
            <v>1190</v>
          </cell>
          <cell r="K29">
            <v>986</v>
          </cell>
          <cell r="L29">
            <v>951</v>
          </cell>
          <cell r="M29">
            <v>1131</v>
          </cell>
          <cell r="N29">
            <v>1079</v>
          </cell>
          <cell r="O29">
            <v>1255</v>
          </cell>
          <cell r="P29">
            <v>1522</v>
          </cell>
          <cell r="Q29">
            <v>1285</v>
          </cell>
        </row>
        <row r="30">
          <cell r="B30" t="str">
            <v>000A4012</v>
          </cell>
          <cell r="C30" t="str">
            <v>PRUCENCE EXTRA GDE ULTRA SENSIVEL C/3</v>
          </cell>
          <cell r="D30">
            <v>306</v>
          </cell>
          <cell r="E30">
            <v>213</v>
          </cell>
          <cell r="F30">
            <v>362</v>
          </cell>
          <cell r="G30">
            <v>491</v>
          </cell>
          <cell r="H30">
            <v>191</v>
          </cell>
          <cell r="I30">
            <v>316</v>
          </cell>
          <cell r="J30">
            <v>338</v>
          </cell>
          <cell r="K30">
            <v>312</v>
          </cell>
          <cell r="L30">
            <v>322</v>
          </cell>
          <cell r="M30">
            <v>371</v>
          </cell>
          <cell r="N30">
            <v>373</v>
          </cell>
          <cell r="O30">
            <v>368</v>
          </cell>
          <cell r="P30">
            <v>353</v>
          </cell>
          <cell r="Q30">
            <v>365</v>
          </cell>
        </row>
        <row r="31">
          <cell r="B31" t="str">
            <v>000A4013</v>
          </cell>
          <cell r="C31" t="str">
            <v>PRUDENCE EXTRA GDE ULTRA SENSIVEL L8P6</v>
          </cell>
          <cell r="D31">
            <v>2800</v>
          </cell>
          <cell r="E31">
            <v>1776</v>
          </cell>
          <cell r="F31">
            <v>3219</v>
          </cell>
          <cell r="G31">
            <v>4376</v>
          </cell>
          <cell r="H31">
            <v>1967</v>
          </cell>
          <cell r="I31">
            <v>2349</v>
          </cell>
          <cell r="J31">
            <v>3135</v>
          </cell>
          <cell r="K31">
            <v>2573</v>
          </cell>
          <cell r="L31">
            <v>2776</v>
          </cell>
          <cell r="M31">
            <v>2853</v>
          </cell>
          <cell r="N31">
            <v>2900</v>
          </cell>
          <cell r="O31">
            <v>3296</v>
          </cell>
          <cell r="P31">
            <v>2407</v>
          </cell>
          <cell r="Q31">
            <v>2868</v>
          </cell>
        </row>
        <row r="32">
          <cell r="B32" t="str">
            <v>000A4023</v>
          </cell>
          <cell r="C32" t="str">
            <v>PRUDENCE CLASSICO 3</v>
          </cell>
          <cell r="D32">
            <v>3220</v>
          </cell>
          <cell r="E32">
            <v>4360</v>
          </cell>
          <cell r="F32">
            <v>6981</v>
          </cell>
          <cell r="G32">
            <v>10027</v>
          </cell>
          <cell r="H32">
            <v>3796</v>
          </cell>
          <cell r="I32">
            <v>5704</v>
          </cell>
          <cell r="J32">
            <v>8000</v>
          </cell>
          <cell r="K32">
            <v>8000</v>
          </cell>
          <cell r="L32">
            <v>8000</v>
          </cell>
          <cell r="M32">
            <v>8000</v>
          </cell>
          <cell r="N32">
            <v>8000</v>
          </cell>
          <cell r="O32">
            <v>10400</v>
          </cell>
          <cell r="P32">
            <v>5600</v>
          </cell>
          <cell r="Q32">
            <v>8000</v>
          </cell>
        </row>
        <row r="33">
          <cell r="B33" t="str">
            <v>000A4025</v>
          </cell>
          <cell r="C33" t="str">
            <v>PRUDENCE CLASSICO 8</v>
          </cell>
          <cell r="D33">
            <v>4100</v>
          </cell>
          <cell r="E33">
            <v>2697</v>
          </cell>
          <cell r="F33">
            <v>5522</v>
          </cell>
          <cell r="G33">
            <v>7339</v>
          </cell>
          <cell r="H33">
            <v>2768</v>
          </cell>
          <cell r="I33">
            <v>4143</v>
          </cell>
          <cell r="J33">
            <v>4147</v>
          </cell>
          <cell r="K33">
            <v>5000</v>
          </cell>
          <cell r="L33">
            <v>5000</v>
          </cell>
          <cell r="M33">
            <v>5000</v>
          </cell>
          <cell r="N33">
            <v>5000</v>
          </cell>
          <cell r="O33">
            <v>6500</v>
          </cell>
          <cell r="P33">
            <v>3500</v>
          </cell>
          <cell r="Q33">
            <v>5000</v>
          </cell>
        </row>
        <row r="34">
          <cell r="B34" t="str">
            <v>000A4026</v>
          </cell>
          <cell r="C34" t="str">
            <v>PRUDENCE CLASSICO 12</v>
          </cell>
          <cell r="D34">
            <v>2300</v>
          </cell>
          <cell r="E34">
            <v>1114</v>
          </cell>
          <cell r="F34">
            <v>1981</v>
          </cell>
          <cell r="G34">
            <v>2737</v>
          </cell>
          <cell r="H34">
            <v>1070</v>
          </cell>
          <cell r="I34">
            <v>1447</v>
          </cell>
          <cell r="J34">
            <v>1896</v>
          </cell>
          <cell r="K34">
            <v>2500</v>
          </cell>
          <cell r="L34">
            <v>2500</v>
          </cell>
          <cell r="M34">
            <v>2500</v>
          </cell>
          <cell r="N34">
            <v>2500</v>
          </cell>
          <cell r="O34">
            <v>3250</v>
          </cell>
          <cell r="P34">
            <v>1750</v>
          </cell>
          <cell r="Q34">
            <v>2500</v>
          </cell>
        </row>
        <row r="35">
          <cell r="B35" t="str">
            <v>000A4028</v>
          </cell>
          <cell r="C35" t="str">
            <v>PRUDENCE 3  THAI NIPPON</v>
          </cell>
          <cell r="D35">
            <v>3500</v>
          </cell>
          <cell r="E35">
            <v>3500</v>
          </cell>
          <cell r="F35">
            <v>3500</v>
          </cell>
          <cell r="G35">
            <v>3500</v>
          </cell>
          <cell r="H35">
            <v>3500</v>
          </cell>
          <cell r="I35">
            <v>3500</v>
          </cell>
          <cell r="J35">
            <v>3500</v>
          </cell>
          <cell r="K35">
            <v>5000</v>
          </cell>
          <cell r="L35">
            <v>5000</v>
          </cell>
          <cell r="M35">
            <v>5000</v>
          </cell>
          <cell r="N35">
            <v>5000</v>
          </cell>
          <cell r="O35">
            <v>6500</v>
          </cell>
          <cell r="P35">
            <v>3500</v>
          </cell>
          <cell r="Q35">
            <v>5000</v>
          </cell>
        </row>
        <row r="36">
          <cell r="B36" t="str">
            <v>000A4029</v>
          </cell>
          <cell r="C36" t="str">
            <v>PRUDENCE 8 THAI NIPPON</v>
          </cell>
          <cell r="D36">
            <v>6000</v>
          </cell>
          <cell r="E36">
            <v>6000</v>
          </cell>
          <cell r="F36">
            <v>6000</v>
          </cell>
          <cell r="G36">
            <v>6000</v>
          </cell>
          <cell r="H36">
            <v>6000</v>
          </cell>
          <cell r="I36">
            <v>6000</v>
          </cell>
          <cell r="J36">
            <v>6000</v>
          </cell>
          <cell r="K36">
            <v>6000</v>
          </cell>
          <cell r="L36">
            <v>6000</v>
          </cell>
          <cell r="M36">
            <v>6000</v>
          </cell>
          <cell r="N36">
            <v>6000</v>
          </cell>
          <cell r="O36">
            <v>7800</v>
          </cell>
          <cell r="P36">
            <v>4200</v>
          </cell>
          <cell r="Q36">
            <v>6000</v>
          </cell>
        </row>
        <row r="37">
          <cell r="B37" t="str">
            <v>000A4030</v>
          </cell>
          <cell r="C37" t="str">
            <v>PRUDENCE 12  THAI NIPPON</v>
          </cell>
          <cell r="D37">
            <v>4000</v>
          </cell>
          <cell r="E37">
            <v>4000</v>
          </cell>
          <cell r="F37">
            <v>4000</v>
          </cell>
          <cell r="G37">
            <v>4000</v>
          </cell>
          <cell r="H37">
            <v>4000</v>
          </cell>
          <cell r="I37">
            <v>4000</v>
          </cell>
          <cell r="J37">
            <v>4000</v>
          </cell>
          <cell r="K37">
            <v>4000</v>
          </cell>
          <cell r="L37">
            <v>4000</v>
          </cell>
          <cell r="M37">
            <v>4000</v>
          </cell>
          <cell r="N37">
            <v>4000</v>
          </cell>
          <cell r="O37">
            <v>5200</v>
          </cell>
          <cell r="P37">
            <v>2800</v>
          </cell>
          <cell r="Q37">
            <v>4000</v>
          </cell>
        </row>
        <row r="38">
          <cell r="B38" t="str">
            <v>000A5014</v>
          </cell>
          <cell r="C38" t="str">
            <v>GEL PRUD MORANGO FIRE 60G</v>
          </cell>
          <cell r="D38">
            <v>1603</v>
          </cell>
          <cell r="E38">
            <v>106</v>
          </cell>
          <cell r="F38">
            <v>171</v>
          </cell>
          <cell r="G38">
            <v>205</v>
          </cell>
          <cell r="H38">
            <v>82</v>
          </cell>
          <cell r="I38">
            <v>144</v>
          </cell>
          <cell r="J38">
            <v>159</v>
          </cell>
          <cell r="K38">
            <v>319</v>
          </cell>
          <cell r="L38">
            <v>391</v>
          </cell>
          <cell r="M38">
            <v>406</v>
          </cell>
          <cell r="N38">
            <v>329</v>
          </cell>
          <cell r="O38">
            <v>409</v>
          </cell>
          <cell r="P38">
            <v>329</v>
          </cell>
          <cell r="Q38">
            <v>356</v>
          </cell>
        </row>
        <row r="39">
          <cell r="B39" t="str">
            <v>000A5034</v>
          </cell>
          <cell r="C39" t="str">
            <v>PRUDENCE GEL NEUTRO 100G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166</v>
          </cell>
          <cell r="Q39">
            <v>55</v>
          </cell>
        </row>
        <row r="40">
          <cell r="B40" t="str">
            <v>000A5035</v>
          </cell>
          <cell r="C40" t="str">
            <v>PRUDENCE GEL MORANGO 100G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1471</v>
          </cell>
          <cell r="Q40">
            <v>490</v>
          </cell>
        </row>
        <row r="41">
          <cell r="B41" t="str">
            <v>000A5036</v>
          </cell>
          <cell r="C41" t="str">
            <v>GEL PRUDENCE HORTELA 100G.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524</v>
          </cell>
          <cell r="Q41">
            <v>175</v>
          </cell>
        </row>
        <row r="42">
          <cell r="B42" t="str">
            <v>000A5037</v>
          </cell>
          <cell r="C42" t="str">
            <v>GEL PRUDENCE CHICLETE 100 G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1063</v>
          </cell>
          <cell r="Q42">
            <v>354</v>
          </cell>
        </row>
        <row r="43">
          <cell r="B43" t="str">
            <v>000H1003</v>
          </cell>
          <cell r="C43" t="str">
            <v>PRUDENCE SOFTCUP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647</v>
          </cell>
          <cell r="Q43">
            <v>216</v>
          </cell>
        </row>
        <row r="44">
          <cell r="B44" t="str">
            <v>000H1013</v>
          </cell>
          <cell r="C44" t="str">
            <v>PRUDENCE INTIMA - LENCO UMEDECIDO LEVE 20,PAGUE 16</v>
          </cell>
          <cell r="D44">
            <v>467</v>
          </cell>
          <cell r="E44">
            <v>440</v>
          </cell>
          <cell r="F44">
            <v>561</v>
          </cell>
          <cell r="G44">
            <v>843</v>
          </cell>
          <cell r="H44">
            <v>425</v>
          </cell>
          <cell r="I44">
            <v>462</v>
          </cell>
          <cell r="J44">
            <v>665</v>
          </cell>
          <cell r="K44">
            <v>434</v>
          </cell>
          <cell r="L44">
            <v>426</v>
          </cell>
          <cell r="M44">
            <v>496</v>
          </cell>
          <cell r="N44">
            <v>487</v>
          </cell>
          <cell r="O44">
            <v>477</v>
          </cell>
          <cell r="P44">
            <v>935</v>
          </cell>
          <cell r="Q44">
            <v>633</v>
          </cell>
        </row>
        <row r="45">
          <cell r="B45">
            <v>12</v>
          </cell>
          <cell r="C45" t="str">
            <v>SUTRA</v>
          </cell>
          <cell r="D45">
            <v>639</v>
          </cell>
          <cell r="E45">
            <v>714</v>
          </cell>
          <cell r="F45">
            <v>1241</v>
          </cell>
          <cell r="G45">
            <v>515</v>
          </cell>
          <cell r="H45">
            <v>661</v>
          </cell>
          <cell r="I45">
            <v>1323</v>
          </cell>
          <cell r="J45">
            <v>1423</v>
          </cell>
          <cell r="K45">
            <v>2300</v>
          </cell>
          <cell r="L45">
            <v>2300</v>
          </cell>
          <cell r="M45">
            <v>2300</v>
          </cell>
          <cell r="N45">
            <v>2300</v>
          </cell>
          <cell r="O45">
            <v>2990</v>
          </cell>
          <cell r="P45">
            <v>1610</v>
          </cell>
          <cell r="Q45">
            <v>2300</v>
          </cell>
        </row>
        <row r="46">
          <cell r="B46">
            <v>13</v>
          </cell>
          <cell r="C46" t="str">
            <v>SUTRA MORANGO</v>
          </cell>
          <cell r="D46">
            <v>631</v>
          </cell>
          <cell r="E46">
            <v>722</v>
          </cell>
          <cell r="F46">
            <v>1118</v>
          </cell>
          <cell r="G46">
            <v>643</v>
          </cell>
          <cell r="H46">
            <v>708</v>
          </cell>
          <cell r="I46">
            <v>1208</v>
          </cell>
          <cell r="J46">
            <v>1086</v>
          </cell>
          <cell r="K46">
            <v>3000</v>
          </cell>
          <cell r="L46">
            <v>3000</v>
          </cell>
          <cell r="M46">
            <v>3000</v>
          </cell>
          <cell r="N46">
            <v>3000</v>
          </cell>
          <cell r="O46">
            <v>3900</v>
          </cell>
          <cell r="P46">
            <v>2100</v>
          </cell>
          <cell r="Q46">
            <v>3000</v>
          </cell>
        </row>
        <row r="47">
          <cell r="B47">
            <v>14</v>
          </cell>
          <cell r="C47" t="str">
            <v>SUTRA HORTELA</v>
          </cell>
          <cell r="D47">
            <v>555</v>
          </cell>
          <cell r="E47">
            <v>647</v>
          </cell>
          <cell r="F47">
            <v>1092</v>
          </cell>
          <cell r="G47">
            <v>825</v>
          </cell>
          <cell r="H47">
            <v>439</v>
          </cell>
          <cell r="I47">
            <v>796</v>
          </cell>
          <cell r="J47">
            <v>1200</v>
          </cell>
          <cell r="K47">
            <v>1500</v>
          </cell>
          <cell r="L47">
            <v>1500</v>
          </cell>
          <cell r="M47">
            <v>1500</v>
          </cell>
          <cell r="N47">
            <v>1500</v>
          </cell>
          <cell r="O47">
            <v>1950</v>
          </cell>
          <cell r="P47">
            <v>1050</v>
          </cell>
          <cell r="Q47">
            <v>1500</v>
          </cell>
        </row>
        <row r="48">
          <cell r="B48">
            <v>17</v>
          </cell>
          <cell r="C48" t="str">
            <v>SUTRA SENSITIVE</v>
          </cell>
          <cell r="D48">
            <v>1368</v>
          </cell>
          <cell r="E48">
            <v>828</v>
          </cell>
          <cell r="F48">
            <v>1133</v>
          </cell>
          <cell r="G48">
            <v>426</v>
          </cell>
          <cell r="H48">
            <v>608</v>
          </cell>
          <cell r="I48">
            <v>478</v>
          </cell>
          <cell r="J48">
            <v>900</v>
          </cell>
          <cell r="K48">
            <v>1000</v>
          </cell>
          <cell r="L48">
            <v>1000</v>
          </cell>
          <cell r="M48">
            <v>1000</v>
          </cell>
          <cell r="N48">
            <v>1000</v>
          </cell>
          <cell r="O48">
            <v>1300</v>
          </cell>
          <cell r="P48">
            <v>700</v>
          </cell>
          <cell r="Q48">
            <v>1000</v>
          </cell>
        </row>
        <row r="49">
          <cell r="B49" t="str">
            <v>000EC0001</v>
          </cell>
          <cell r="C49" t="str">
            <v>SAYA CONTROL</v>
          </cell>
          <cell r="D49">
            <v>350000</v>
          </cell>
          <cell r="E49">
            <v>20000</v>
          </cell>
          <cell r="F49">
            <v>110000</v>
          </cell>
          <cell r="G49">
            <v>120000</v>
          </cell>
          <cell r="H49">
            <v>120000</v>
          </cell>
          <cell r="I49">
            <v>120000</v>
          </cell>
          <cell r="J49">
            <v>120000</v>
          </cell>
          <cell r="K49">
            <v>100000</v>
          </cell>
          <cell r="L49">
            <v>150000</v>
          </cell>
          <cell r="M49">
            <v>60000</v>
          </cell>
          <cell r="N49">
            <v>60000</v>
          </cell>
          <cell r="O49">
            <v>496000</v>
          </cell>
          <cell r="P49">
            <v>124000</v>
          </cell>
        </row>
        <row r="50">
          <cell r="B50" t="str">
            <v>000IC0001</v>
          </cell>
          <cell r="C50" t="str">
            <v>LYNDAVEL UNO (AMP 25MG + CIP ESTRADIOL 5MG)</v>
          </cell>
          <cell r="D50">
            <v>2000</v>
          </cell>
          <cell r="E50">
            <v>4000</v>
          </cell>
          <cell r="F50">
            <v>4000</v>
          </cell>
          <cell r="G50">
            <v>1000</v>
          </cell>
          <cell r="H50">
            <v>2000</v>
          </cell>
          <cell r="I50">
            <v>2000</v>
          </cell>
          <cell r="J50">
            <v>2000</v>
          </cell>
          <cell r="K50">
            <v>2000</v>
          </cell>
          <cell r="L50">
            <v>2000</v>
          </cell>
          <cell r="M50">
            <v>2000</v>
          </cell>
          <cell r="N50">
            <v>2000</v>
          </cell>
          <cell r="O50">
            <v>4000</v>
          </cell>
          <cell r="P50">
            <v>1000</v>
          </cell>
        </row>
        <row r="51">
          <cell r="B51" t="str">
            <v>000X0101</v>
          </cell>
          <cell r="C51" t="str">
            <v>ASPIRADOR IPAS MVA  AMIU PLUS</v>
          </cell>
          <cell r="D51">
            <v>864</v>
          </cell>
          <cell r="E51">
            <v>1188</v>
          </cell>
          <cell r="F51">
            <v>1210</v>
          </cell>
          <cell r="G51">
            <v>1296</v>
          </cell>
          <cell r="H51">
            <v>1058</v>
          </cell>
          <cell r="I51">
            <v>1064</v>
          </cell>
          <cell r="J51">
            <v>1058</v>
          </cell>
          <cell r="K51">
            <v>1058</v>
          </cell>
          <cell r="L51">
            <v>1058</v>
          </cell>
          <cell r="M51">
            <v>1188</v>
          </cell>
          <cell r="N51">
            <v>764</v>
          </cell>
          <cell r="O51">
            <v>1188</v>
          </cell>
          <cell r="P51">
            <v>744</v>
          </cell>
        </row>
        <row r="52">
          <cell r="B52" t="str">
            <v>000X0102</v>
          </cell>
          <cell r="C52" t="str">
            <v>SR4 CANULA IPAS ENGATE RAPIDO</v>
          </cell>
          <cell r="D52">
            <v>651</v>
          </cell>
          <cell r="E52">
            <v>760</v>
          </cell>
          <cell r="F52">
            <v>651</v>
          </cell>
          <cell r="G52">
            <v>340</v>
          </cell>
          <cell r="H52">
            <v>557</v>
          </cell>
          <cell r="I52">
            <v>586</v>
          </cell>
          <cell r="J52">
            <v>694</v>
          </cell>
          <cell r="K52">
            <v>694</v>
          </cell>
          <cell r="L52">
            <v>694</v>
          </cell>
          <cell r="M52">
            <v>846</v>
          </cell>
          <cell r="N52">
            <v>651</v>
          </cell>
          <cell r="O52">
            <v>760</v>
          </cell>
          <cell r="P52">
            <v>539</v>
          </cell>
        </row>
        <row r="53">
          <cell r="B53" t="str">
            <v>000X0103</v>
          </cell>
          <cell r="C53" t="str">
            <v>SR5 CANULA IPAS ENGATE RAPIDO</v>
          </cell>
          <cell r="D53">
            <v>586</v>
          </cell>
          <cell r="E53">
            <v>651</v>
          </cell>
          <cell r="F53">
            <v>760</v>
          </cell>
          <cell r="G53">
            <v>709</v>
          </cell>
          <cell r="H53">
            <v>716</v>
          </cell>
          <cell r="I53">
            <v>716</v>
          </cell>
          <cell r="J53">
            <v>738</v>
          </cell>
          <cell r="K53">
            <v>738</v>
          </cell>
          <cell r="L53">
            <v>716</v>
          </cell>
          <cell r="M53">
            <v>705</v>
          </cell>
          <cell r="N53">
            <v>312</v>
          </cell>
          <cell r="O53">
            <v>651</v>
          </cell>
          <cell r="P53">
            <v>312</v>
          </cell>
        </row>
        <row r="54">
          <cell r="B54" t="str">
            <v>000X0104</v>
          </cell>
          <cell r="C54" t="str">
            <v>SR6 CANULA IPAS ENGATE RAPIDO</v>
          </cell>
          <cell r="D54">
            <v>651</v>
          </cell>
          <cell r="E54">
            <v>651</v>
          </cell>
          <cell r="F54">
            <v>760</v>
          </cell>
          <cell r="G54">
            <v>1042</v>
          </cell>
          <cell r="H54">
            <v>543</v>
          </cell>
          <cell r="I54">
            <v>521</v>
          </cell>
          <cell r="J54">
            <v>521</v>
          </cell>
          <cell r="K54">
            <v>499</v>
          </cell>
          <cell r="L54">
            <v>499</v>
          </cell>
          <cell r="M54">
            <v>705</v>
          </cell>
          <cell r="N54">
            <v>350</v>
          </cell>
          <cell r="O54">
            <v>651</v>
          </cell>
          <cell r="P54">
            <v>350</v>
          </cell>
        </row>
        <row r="55">
          <cell r="B55" t="str">
            <v>000X0105</v>
          </cell>
          <cell r="C55" t="str">
            <v>SR7 CANULA IPAS ENGATE RAPIDO</v>
          </cell>
          <cell r="D55">
            <v>1090</v>
          </cell>
          <cell r="E55">
            <v>1308</v>
          </cell>
          <cell r="F55">
            <v>1199</v>
          </cell>
          <cell r="G55">
            <v>934</v>
          </cell>
          <cell r="H55">
            <v>981</v>
          </cell>
          <cell r="I55">
            <v>981</v>
          </cell>
          <cell r="J55">
            <v>981</v>
          </cell>
          <cell r="K55">
            <v>872</v>
          </cell>
          <cell r="L55">
            <v>872</v>
          </cell>
          <cell r="M55">
            <v>1526</v>
          </cell>
          <cell r="N55">
            <v>1090</v>
          </cell>
          <cell r="O55">
            <v>1308</v>
          </cell>
          <cell r="P55">
            <v>870</v>
          </cell>
        </row>
        <row r="56">
          <cell r="B56" t="str">
            <v>000X0106</v>
          </cell>
          <cell r="C56" t="str">
            <v>SR8 CANULA IPAS ENGATE RAPIDO</v>
          </cell>
          <cell r="D56">
            <v>872</v>
          </cell>
          <cell r="E56">
            <v>1090</v>
          </cell>
          <cell r="F56">
            <v>981</v>
          </cell>
          <cell r="G56">
            <v>1068</v>
          </cell>
          <cell r="H56">
            <v>1068</v>
          </cell>
          <cell r="I56">
            <v>1068</v>
          </cell>
          <cell r="J56">
            <v>959</v>
          </cell>
          <cell r="K56">
            <v>981</v>
          </cell>
          <cell r="L56">
            <v>872</v>
          </cell>
          <cell r="M56">
            <v>1199</v>
          </cell>
          <cell r="N56">
            <v>872</v>
          </cell>
          <cell r="O56">
            <v>1090</v>
          </cell>
          <cell r="P56">
            <v>860</v>
          </cell>
        </row>
        <row r="57">
          <cell r="B57" t="str">
            <v>000X0107</v>
          </cell>
          <cell r="C57" t="str">
            <v>SR9 CANULA IPAS ENGATE RAPIDO</v>
          </cell>
          <cell r="D57">
            <v>654</v>
          </cell>
          <cell r="E57">
            <v>872</v>
          </cell>
          <cell r="F57">
            <v>872</v>
          </cell>
          <cell r="G57">
            <v>313</v>
          </cell>
          <cell r="H57">
            <v>654</v>
          </cell>
          <cell r="I57">
            <v>654</v>
          </cell>
          <cell r="J57">
            <v>610</v>
          </cell>
          <cell r="K57">
            <v>610</v>
          </cell>
          <cell r="L57">
            <v>610</v>
          </cell>
          <cell r="M57">
            <v>872</v>
          </cell>
          <cell r="N57">
            <v>654</v>
          </cell>
          <cell r="O57">
            <v>872</v>
          </cell>
          <cell r="P57">
            <v>412</v>
          </cell>
        </row>
        <row r="58">
          <cell r="B58" t="str">
            <v>000X0108</v>
          </cell>
          <cell r="C58" t="str">
            <v>SR10 CANULA IPAS ENGATE RAPIDO</v>
          </cell>
          <cell r="D58">
            <v>434</v>
          </cell>
          <cell r="E58">
            <v>651</v>
          </cell>
          <cell r="F58">
            <v>651</v>
          </cell>
          <cell r="G58">
            <v>593</v>
          </cell>
          <cell r="H58">
            <v>586</v>
          </cell>
          <cell r="I58">
            <v>586</v>
          </cell>
          <cell r="J58">
            <v>586</v>
          </cell>
          <cell r="K58">
            <v>597</v>
          </cell>
          <cell r="L58">
            <v>543</v>
          </cell>
          <cell r="M58">
            <v>651</v>
          </cell>
          <cell r="N58">
            <v>434</v>
          </cell>
          <cell r="O58">
            <v>651</v>
          </cell>
          <cell r="P58">
            <v>390</v>
          </cell>
        </row>
        <row r="59">
          <cell r="B59" t="str">
            <v>000X0109</v>
          </cell>
          <cell r="C59" t="str">
            <v>SR12 CANULA IPAS ENGATE RAPIDO</v>
          </cell>
          <cell r="D59">
            <v>217</v>
          </cell>
          <cell r="E59">
            <v>380</v>
          </cell>
          <cell r="F59">
            <v>380</v>
          </cell>
          <cell r="G59">
            <v>532</v>
          </cell>
          <cell r="H59">
            <v>416</v>
          </cell>
          <cell r="I59">
            <v>416</v>
          </cell>
          <cell r="J59">
            <v>416</v>
          </cell>
          <cell r="K59">
            <v>416</v>
          </cell>
          <cell r="L59">
            <v>416</v>
          </cell>
          <cell r="M59">
            <v>380</v>
          </cell>
          <cell r="N59">
            <v>217</v>
          </cell>
          <cell r="O59">
            <v>380</v>
          </cell>
          <cell r="P59">
            <v>121</v>
          </cell>
        </row>
        <row r="60">
          <cell r="B60" t="str">
            <v>000XE101</v>
          </cell>
          <cell r="C60" t="str">
            <v>ASPIRADOR IPAS AMIU DVS</v>
          </cell>
          <cell r="D60">
            <v>132</v>
          </cell>
          <cell r="E60">
            <v>363</v>
          </cell>
          <cell r="F60">
            <v>266</v>
          </cell>
          <cell r="G60">
            <v>372</v>
          </cell>
          <cell r="H60">
            <v>381</v>
          </cell>
          <cell r="I60">
            <v>363</v>
          </cell>
          <cell r="J60">
            <v>363</v>
          </cell>
          <cell r="K60">
            <v>264</v>
          </cell>
          <cell r="L60">
            <v>264</v>
          </cell>
          <cell r="M60">
            <v>319</v>
          </cell>
          <cell r="N60">
            <v>132</v>
          </cell>
          <cell r="O60">
            <v>363</v>
          </cell>
          <cell r="P60">
            <v>95</v>
          </cell>
        </row>
        <row r="61">
          <cell r="B61" t="str">
            <v>000Z0009</v>
          </cell>
          <cell r="C61" t="str">
            <v>ANDALAN COMFORT MINI CU 375</v>
          </cell>
          <cell r="D61">
            <v>310</v>
          </cell>
          <cell r="E61">
            <v>449</v>
          </cell>
          <cell r="F61">
            <v>524</v>
          </cell>
          <cell r="G61">
            <v>524</v>
          </cell>
          <cell r="H61">
            <v>589</v>
          </cell>
          <cell r="I61">
            <v>642</v>
          </cell>
          <cell r="J61">
            <v>642</v>
          </cell>
          <cell r="K61">
            <v>642</v>
          </cell>
          <cell r="L61">
            <v>610</v>
          </cell>
          <cell r="M61">
            <v>482</v>
          </cell>
          <cell r="N61">
            <v>310</v>
          </cell>
          <cell r="O61">
            <v>449</v>
          </cell>
          <cell r="P61">
            <v>112</v>
          </cell>
        </row>
        <row r="62">
          <cell r="B62" t="str">
            <v>000Z0011</v>
          </cell>
          <cell r="C62" t="str">
            <v>ANDALAN COMFORT CU 375</v>
          </cell>
          <cell r="D62">
            <v>215</v>
          </cell>
          <cell r="E62">
            <v>376</v>
          </cell>
          <cell r="F62">
            <v>538</v>
          </cell>
          <cell r="G62">
            <v>473</v>
          </cell>
          <cell r="H62">
            <v>269</v>
          </cell>
          <cell r="I62">
            <v>323</v>
          </cell>
          <cell r="J62">
            <v>323</v>
          </cell>
          <cell r="K62">
            <v>323</v>
          </cell>
          <cell r="L62">
            <v>323</v>
          </cell>
          <cell r="M62">
            <v>376</v>
          </cell>
          <cell r="N62">
            <v>215</v>
          </cell>
          <cell r="O62">
            <v>376</v>
          </cell>
          <cell r="P62">
            <v>190</v>
          </cell>
        </row>
        <row r="63">
          <cell r="B63" t="str">
            <v>000Z0012</v>
          </cell>
          <cell r="C63" t="str">
            <v>ANDALAN SILVERFLEX CU 380 AG</v>
          </cell>
          <cell r="D63">
            <v>1590</v>
          </cell>
          <cell r="E63">
            <v>3127</v>
          </cell>
          <cell r="F63">
            <v>2862</v>
          </cell>
          <cell r="G63">
            <v>2438</v>
          </cell>
          <cell r="H63">
            <v>2417</v>
          </cell>
          <cell r="I63">
            <v>2544</v>
          </cell>
          <cell r="J63">
            <v>2226</v>
          </cell>
          <cell r="K63">
            <v>2332</v>
          </cell>
          <cell r="L63">
            <v>2756</v>
          </cell>
          <cell r="M63">
            <v>3286</v>
          </cell>
          <cell r="N63">
            <v>1590</v>
          </cell>
          <cell r="O63">
            <v>3127</v>
          </cell>
          <cell r="P63">
            <v>1212</v>
          </cell>
        </row>
        <row r="64">
          <cell r="B64" t="str">
            <v>000Z0013</v>
          </cell>
          <cell r="C64" t="str">
            <v>ANDALAN CLASSIC CU 380</v>
          </cell>
          <cell r="D64">
            <v>4515</v>
          </cell>
          <cell r="E64">
            <v>5268</v>
          </cell>
          <cell r="F64">
            <v>5268</v>
          </cell>
          <cell r="G64">
            <v>5483</v>
          </cell>
          <cell r="H64">
            <v>6128</v>
          </cell>
          <cell r="I64">
            <v>6128</v>
          </cell>
          <cell r="J64">
            <v>6235</v>
          </cell>
          <cell r="K64">
            <v>6128</v>
          </cell>
          <cell r="L64">
            <v>6140</v>
          </cell>
          <cell r="M64">
            <v>4838</v>
          </cell>
          <cell r="N64">
            <v>3215</v>
          </cell>
          <cell r="O64">
            <v>5268</v>
          </cell>
          <cell r="P64">
            <v>3200</v>
          </cell>
        </row>
        <row r="65">
          <cell r="B65" t="str">
            <v>000Z0016</v>
          </cell>
          <cell r="C65" t="str">
            <v>ANDALAN SILVERFLEX MINI CU 380 AG</v>
          </cell>
          <cell r="D65">
            <v>1272</v>
          </cell>
          <cell r="E65">
            <v>1484</v>
          </cell>
          <cell r="F65">
            <v>1380</v>
          </cell>
          <cell r="G65">
            <v>1272</v>
          </cell>
          <cell r="H65">
            <v>1215</v>
          </cell>
          <cell r="I65">
            <v>1378</v>
          </cell>
          <cell r="J65">
            <v>1378</v>
          </cell>
          <cell r="K65">
            <v>1378</v>
          </cell>
          <cell r="L65">
            <v>1378</v>
          </cell>
          <cell r="M65">
            <v>1120</v>
          </cell>
          <cell r="N65">
            <v>1272</v>
          </cell>
          <cell r="O65">
            <v>1484</v>
          </cell>
          <cell r="P65">
            <v>1123</v>
          </cell>
        </row>
        <row r="66">
          <cell r="B66" t="str">
            <v>000Z0017</v>
          </cell>
          <cell r="C66" t="str">
            <v>ANDALAN COPPERFLEX Y MINI CU 380</v>
          </cell>
          <cell r="D66">
            <v>64</v>
          </cell>
          <cell r="E66">
            <v>64</v>
          </cell>
          <cell r="F66">
            <v>64</v>
          </cell>
          <cell r="G66">
            <v>150</v>
          </cell>
          <cell r="H66">
            <v>214</v>
          </cell>
          <cell r="I66">
            <v>321</v>
          </cell>
          <cell r="J66">
            <v>321</v>
          </cell>
          <cell r="K66">
            <v>321</v>
          </cell>
          <cell r="L66">
            <v>428</v>
          </cell>
          <cell r="M66">
            <v>64</v>
          </cell>
          <cell r="N66">
            <v>64</v>
          </cell>
          <cell r="O66">
            <v>180</v>
          </cell>
          <cell r="P66">
            <v>30</v>
          </cell>
        </row>
        <row r="67">
          <cell r="B67" t="str">
            <v>000Z0018</v>
          </cell>
          <cell r="C67" t="str">
            <v>ANDALAN COPPERFLEX Y CU 380</v>
          </cell>
          <cell r="D67">
            <v>128</v>
          </cell>
          <cell r="E67">
            <v>150</v>
          </cell>
          <cell r="F67">
            <v>150</v>
          </cell>
          <cell r="G67">
            <v>150</v>
          </cell>
          <cell r="H67">
            <v>235</v>
          </cell>
          <cell r="I67">
            <v>535</v>
          </cell>
          <cell r="J67">
            <v>535</v>
          </cell>
          <cell r="K67">
            <v>534</v>
          </cell>
          <cell r="L67">
            <v>534</v>
          </cell>
          <cell r="M67">
            <v>107</v>
          </cell>
          <cell r="N67">
            <v>128</v>
          </cell>
          <cell r="O67">
            <v>280</v>
          </cell>
          <cell r="P67">
            <v>120</v>
          </cell>
        </row>
        <row r="68">
          <cell r="B68" t="str">
            <v>000Z0035</v>
          </cell>
          <cell r="C68" t="str">
            <v>HISTEROMETRO ANDALAN</v>
          </cell>
          <cell r="D68">
            <v>1600</v>
          </cell>
          <cell r="E68">
            <v>8072</v>
          </cell>
          <cell r="F68">
            <v>8000</v>
          </cell>
          <cell r="G68">
            <v>9000</v>
          </cell>
          <cell r="H68">
            <v>8370</v>
          </cell>
          <cell r="I68">
            <v>8400</v>
          </cell>
          <cell r="J68">
            <v>7600</v>
          </cell>
          <cell r="K68">
            <v>7600</v>
          </cell>
          <cell r="L68">
            <v>7600</v>
          </cell>
          <cell r="M68">
            <v>6000</v>
          </cell>
          <cell r="N68">
            <v>1600</v>
          </cell>
          <cell r="O68">
            <v>8072</v>
          </cell>
          <cell r="P68">
            <v>1200</v>
          </cell>
        </row>
        <row r="69">
          <cell r="B69" t="str">
            <v>000A1001</v>
          </cell>
          <cell r="C69" t="str">
            <v>PRUDENCE C S MORANGO</v>
          </cell>
          <cell r="D69">
            <v>3047</v>
          </cell>
          <cell r="E69">
            <v>2620</v>
          </cell>
          <cell r="F69">
            <v>2991</v>
          </cell>
          <cell r="G69">
            <v>4007</v>
          </cell>
          <cell r="H69">
            <v>3420</v>
          </cell>
          <cell r="I69">
            <v>4054</v>
          </cell>
          <cell r="J69">
            <v>5000</v>
          </cell>
          <cell r="K69">
            <v>5000</v>
          </cell>
          <cell r="L69">
            <v>5000</v>
          </cell>
          <cell r="M69">
            <v>5000</v>
          </cell>
          <cell r="N69">
            <v>5000</v>
          </cell>
          <cell r="O69">
            <v>6500</v>
          </cell>
          <cell r="P69">
            <v>3500</v>
          </cell>
          <cell r="Q69">
            <v>0</v>
          </cell>
        </row>
        <row r="70">
          <cell r="B70" t="str">
            <v>000A1002</v>
          </cell>
          <cell r="C70" t="str">
            <v>PRUDENCE C S HORTELA</v>
          </cell>
          <cell r="D70">
            <v>1450</v>
          </cell>
          <cell r="E70">
            <v>2030</v>
          </cell>
          <cell r="F70">
            <v>2446</v>
          </cell>
          <cell r="G70">
            <v>2047</v>
          </cell>
          <cell r="H70">
            <v>2154</v>
          </cell>
          <cell r="I70">
            <v>2561</v>
          </cell>
          <cell r="J70">
            <v>3000</v>
          </cell>
          <cell r="K70">
            <v>3000</v>
          </cell>
          <cell r="L70">
            <v>3000</v>
          </cell>
          <cell r="M70">
            <v>3000</v>
          </cell>
          <cell r="N70">
            <v>3000</v>
          </cell>
          <cell r="O70">
            <v>3900</v>
          </cell>
          <cell r="P70">
            <v>2100</v>
          </cell>
          <cell r="Q70">
            <v>0</v>
          </cell>
        </row>
        <row r="71">
          <cell r="B71" t="str">
            <v>000A1003</v>
          </cell>
          <cell r="C71" t="str">
            <v>PRUDENCE C S UVA</v>
          </cell>
          <cell r="D71">
            <v>1550</v>
          </cell>
          <cell r="E71">
            <v>1455</v>
          </cell>
          <cell r="F71">
            <v>1325</v>
          </cell>
          <cell r="G71">
            <v>2512</v>
          </cell>
          <cell r="H71">
            <v>1371</v>
          </cell>
          <cell r="I71">
            <v>1541</v>
          </cell>
          <cell r="J71">
            <v>3000</v>
          </cell>
          <cell r="K71">
            <v>3000</v>
          </cell>
          <cell r="L71">
            <v>3000</v>
          </cell>
          <cell r="M71">
            <v>3000</v>
          </cell>
          <cell r="N71">
            <v>3000</v>
          </cell>
          <cell r="O71">
            <v>4500</v>
          </cell>
          <cell r="P71">
            <v>1500</v>
          </cell>
          <cell r="Q71">
            <v>0</v>
          </cell>
        </row>
        <row r="72">
          <cell r="B72" t="str">
            <v>000A1004</v>
          </cell>
          <cell r="C72" t="str">
            <v>PRUDENCE C S CHOCOLATE</v>
          </cell>
          <cell r="D72">
            <v>129</v>
          </cell>
          <cell r="E72">
            <v>672</v>
          </cell>
          <cell r="F72">
            <v>809</v>
          </cell>
          <cell r="G72">
            <v>818</v>
          </cell>
          <cell r="H72">
            <v>827</v>
          </cell>
          <cell r="I72">
            <v>624</v>
          </cell>
          <cell r="J72">
            <v>1500</v>
          </cell>
          <cell r="K72">
            <v>1500</v>
          </cell>
          <cell r="L72">
            <v>1500</v>
          </cell>
          <cell r="M72">
            <v>1500</v>
          </cell>
          <cell r="N72">
            <v>1500</v>
          </cell>
          <cell r="O72">
            <v>1950</v>
          </cell>
          <cell r="P72">
            <v>1050</v>
          </cell>
          <cell r="Q72">
            <v>0</v>
          </cell>
        </row>
        <row r="73">
          <cell r="B73" t="str">
            <v>000A1006</v>
          </cell>
          <cell r="C73" t="str">
            <v>PRUDENCE C S TUTTI-FRUTTI</v>
          </cell>
          <cell r="D73">
            <v>947</v>
          </cell>
          <cell r="E73">
            <v>1394</v>
          </cell>
          <cell r="F73">
            <v>1759</v>
          </cell>
          <cell r="G73">
            <v>1221</v>
          </cell>
          <cell r="H73">
            <v>1424</v>
          </cell>
          <cell r="I73">
            <v>1709</v>
          </cell>
          <cell r="J73">
            <v>1664</v>
          </cell>
          <cell r="K73">
            <v>1900</v>
          </cell>
          <cell r="L73">
            <v>1900</v>
          </cell>
          <cell r="M73">
            <v>1900</v>
          </cell>
          <cell r="N73">
            <v>1900</v>
          </cell>
          <cell r="O73">
            <v>2470</v>
          </cell>
          <cell r="P73">
            <v>1330</v>
          </cell>
          <cell r="Q73">
            <v>0</v>
          </cell>
        </row>
        <row r="74">
          <cell r="B74" t="str">
            <v>000A1012</v>
          </cell>
          <cell r="C74" t="str">
            <v>PRUDENCE C S MELANCIA</v>
          </cell>
          <cell r="D74">
            <v>402</v>
          </cell>
          <cell r="E74">
            <v>601</v>
          </cell>
          <cell r="F74">
            <v>701</v>
          </cell>
          <cell r="G74">
            <v>590</v>
          </cell>
          <cell r="H74">
            <v>670</v>
          </cell>
          <cell r="I74">
            <v>802</v>
          </cell>
          <cell r="J74">
            <v>832</v>
          </cell>
          <cell r="K74">
            <v>590</v>
          </cell>
          <cell r="L74">
            <v>670</v>
          </cell>
          <cell r="M74">
            <v>802</v>
          </cell>
          <cell r="N74">
            <v>700</v>
          </cell>
          <cell r="O74">
            <v>832</v>
          </cell>
          <cell r="P74">
            <v>135</v>
          </cell>
          <cell r="Q74">
            <v>0</v>
          </cell>
        </row>
        <row r="75">
          <cell r="B75" t="str">
            <v>000A1017</v>
          </cell>
          <cell r="C75" t="str">
            <v>PRUDENCE C S MORANGAO</v>
          </cell>
          <cell r="D75">
            <v>243</v>
          </cell>
          <cell r="E75">
            <v>314</v>
          </cell>
          <cell r="F75">
            <v>388</v>
          </cell>
          <cell r="G75">
            <v>322</v>
          </cell>
          <cell r="H75">
            <v>385</v>
          </cell>
          <cell r="I75">
            <v>423</v>
          </cell>
          <cell r="J75">
            <v>536</v>
          </cell>
          <cell r="K75">
            <v>322</v>
          </cell>
          <cell r="L75">
            <v>385</v>
          </cell>
          <cell r="M75">
            <v>423</v>
          </cell>
          <cell r="N75">
            <v>536</v>
          </cell>
          <cell r="O75">
            <v>413</v>
          </cell>
          <cell r="P75">
            <v>25</v>
          </cell>
          <cell r="Q75">
            <v>0</v>
          </cell>
        </row>
        <row r="76">
          <cell r="B76" t="str">
            <v>000A1019</v>
          </cell>
          <cell r="C76" t="str">
            <v>PRUDENCE C S CHICLETE</v>
          </cell>
          <cell r="D76">
            <v>490</v>
          </cell>
          <cell r="E76">
            <v>612</v>
          </cell>
          <cell r="F76">
            <v>879</v>
          </cell>
          <cell r="G76">
            <v>651</v>
          </cell>
          <cell r="H76">
            <v>858</v>
          </cell>
          <cell r="I76">
            <v>870</v>
          </cell>
          <cell r="J76">
            <v>800</v>
          </cell>
          <cell r="K76">
            <v>651</v>
          </cell>
          <cell r="L76">
            <v>858</v>
          </cell>
          <cell r="M76">
            <v>870</v>
          </cell>
          <cell r="N76">
            <v>865</v>
          </cell>
          <cell r="O76">
            <v>1279</v>
          </cell>
          <cell r="P76">
            <v>844</v>
          </cell>
          <cell r="Q76">
            <v>0</v>
          </cell>
        </row>
        <row r="77">
          <cell r="B77" t="str">
            <v>000A1021</v>
          </cell>
          <cell r="C77" t="str">
            <v>PRUDENCE C S MORANGO C/6</v>
          </cell>
          <cell r="D77">
            <v>709</v>
          </cell>
          <cell r="E77">
            <v>1029</v>
          </cell>
          <cell r="F77">
            <v>1801</v>
          </cell>
          <cell r="G77">
            <v>2021</v>
          </cell>
          <cell r="H77">
            <v>740</v>
          </cell>
          <cell r="I77">
            <v>1147</v>
          </cell>
          <cell r="J77">
            <v>1150</v>
          </cell>
          <cell r="K77">
            <v>979</v>
          </cell>
          <cell r="L77">
            <v>1152</v>
          </cell>
          <cell r="M77">
            <v>578</v>
          </cell>
          <cell r="N77">
            <v>578</v>
          </cell>
          <cell r="O77">
            <v>621</v>
          </cell>
          <cell r="P77">
            <v>256</v>
          </cell>
          <cell r="Q77">
            <v>0</v>
          </cell>
        </row>
        <row r="78">
          <cell r="B78" t="str">
            <v>000A1025</v>
          </cell>
          <cell r="C78" t="str">
            <v>PRUDENCE C S CAIPIRINHA</v>
          </cell>
          <cell r="D78">
            <v>333</v>
          </cell>
          <cell r="E78">
            <v>502</v>
          </cell>
          <cell r="F78">
            <v>615</v>
          </cell>
          <cell r="G78">
            <v>531</v>
          </cell>
          <cell r="H78">
            <v>563</v>
          </cell>
          <cell r="I78">
            <v>712</v>
          </cell>
          <cell r="J78">
            <v>820</v>
          </cell>
          <cell r="K78">
            <v>513</v>
          </cell>
          <cell r="L78">
            <v>574</v>
          </cell>
          <cell r="M78">
            <v>575</v>
          </cell>
          <cell r="N78">
            <v>591</v>
          </cell>
          <cell r="O78">
            <v>601</v>
          </cell>
          <cell r="P78">
            <v>676</v>
          </cell>
          <cell r="Q78">
            <v>0</v>
          </cell>
        </row>
        <row r="79">
          <cell r="B79" t="str">
            <v>000A1028</v>
          </cell>
          <cell r="C79" t="str">
            <v>PRUDENCE C S MIX/FLOWPACK</v>
          </cell>
          <cell r="D79">
            <v>678</v>
          </cell>
          <cell r="E79">
            <v>263</v>
          </cell>
          <cell r="F79">
            <v>594</v>
          </cell>
          <cell r="G79">
            <v>478</v>
          </cell>
          <cell r="H79">
            <v>174</v>
          </cell>
          <cell r="I79">
            <v>383</v>
          </cell>
          <cell r="J79">
            <v>550</v>
          </cell>
          <cell r="K79">
            <v>550</v>
          </cell>
          <cell r="L79">
            <v>550</v>
          </cell>
          <cell r="M79">
            <v>550</v>
          </cell>
          <cell r="N79">
            <v>550</v>
          </cell>
          <cell r="O79">
            <v>550</v>
          </cell>
          <cell r="P79">
            <v>0</v>
          </cell>
          <cell r="Q79">
            <v>0</v>
          </cell>
        </row>
        <row r="80">
          <cell r="B80" t="str">
            <v>000A1031</v>
          </cell>
          <cell r="C80" t="str">
            <v>PRUDENCE C S MIX LEVE 8 PAGUE 6</v>
          </cell>
          <cell r="D80">
            <v>1139</v>
          </cell>
          <cell r="E80">
            <v>1629</v>
          </cell>
          <cell r="F80">
            <v>1920</v>
          </cell>
          <cell r="G80">
            <v>1596</v>
          </cell>
          <cell r="H80">
            <v>1738</v>
          </cell>
          <cell r="I80">
            <v>1951</v>
          </cell>
          <cell r="J80">
            <v>1878</v>
          </cell>
          <cell r="K80">
            <v>1596</v>
          </cell>
          <cell r="L80">
            <v>1738</v>
          </cell>
          <cell r="M80">
            <v>1951</v>
          </cell>
          <cell r="N80">
            <v>1878</v>
          </cell>
          <cell r="O80">
            <v>2200</v>
          </cell>
          <cell r="P80">
            <v>1330</v>
          </cell>
          <cell r="Q80">
            <v>0</v>
          </cell>
        </row>
        <row r="81">
          <cell r="B81" t="str">
            <v>000A1034</v>
          </cell>
          <cell r="C81" t="str">
            <v>PRUDENCE C S MIX TROPICAL L8P6</v>
          </cell>
          <cell r="D81">
            <v>397</v>
          </cell>
          <cell r="E81">
            <v>571</v>
          </cell>
          <cell r="F81">
            <v>651</v>
          </cell>
          <cell r="G81">
            <v>553</v>
          </cell>
          <cell r="H81">
            <v>647</v>
          </cell>
          <cell r="I81">
            <v>651</v>
          </cell>
          <cell r="J81">
            <v>686</v>
          </cell>
          <cell r="K81">
            <v>553</v>
          </cell>
          <cell r="L81">
            <v>647</v>
          </cell>
          <cell r="M81">
            <v>651</v>
          </cell>
          <cell r="N81">
            <v>686</v>
          </cell>
          <cell r="O81">
            <v>694</v>
          </cell>
          <cell r="P81">
            <v>768</v>
          </cell>
          <cell r="Q81">
            <v>0</v>
          </cell>
        </row>
        <row r="82">
          <cell r="B82" t="str">
            <v>000A2001</v>
          </cell>
          <cell r="C82" t="str">
            <v>PRUDENCE ULTRA SENSIVEL</v>
          </cell>
          <cell r="D82">
            <v>1256</v>
          </cell>
          <cell r="E82">
            <v>1787</v>
          </cell>
          <cell r="F82">
            <v>1918</v>
          </cell>
          <cell r="G82">
            <v>1772</v>
          </cell>
          <cell r="H82">
            <v>1770</v>
          </cell>
          <cell r="I82">
            <v>2122</v>
          </cell>
          <cell r="J82">
            <v>1914</v>
          </cell>
          <cell r="K82">
            <v>1772</v>
          </cell>
          <cell r="L82">
            <v>1770</v>
          </cell>
          <cell r="M82">
            <v>2122</v>
          </cell>
          <cell r="N82">
            <v>1914</v>
          </cell>
          <cell r="O82">
            <v>1994</v>
          </cell>
          <cell r="P82">
            <v>1577</v>
          </cell>
          <cell r="Q82">
            <v>0</v>
          </cell>
        </row>
        <row r="83">
          <cell r="B83" t="str">
            <v>000A2005</v>
          </cell>
          <cell r="C83" t="str">
            <v>PRUDENCE ULTRA SENSIVEL LEVE 8 PAGUE 6</v>
          </cell>
          <cell r="D83">
            <v>3507</v>
          </cell>
          <cell r="E83">
            <v>4216</v>
          </cell>
          <cell r="F83">
            <v>5879</v>
          </cell>
          <cell r="G83">
            <v>4681</v>
          </cell>
          <cell r="H83">
            <v>4981</v>
          </cell>
          <cell r="I83">
            <v>5068</v>
          </cell>
          <cell r="J83">
            <v>5888</v>
          </cell>
          <cell r="K83">
            <v>4681</v>
          </cell>
          <cell r="L83">
            <v>4981</v>
          </cell>
          <cell r="M83">
            <v>5068</v>
          </cell>
          <cell r="N83">
            <v>5888</v>
          </cell>
          <cell r="O83">
            <v>5495</v>
          </cell>
          <cell r="P83">
            <v>5152</v>
          </cell>
          <cell r="Q83">
            <v>0</v>
          </cell>
        </row>
        <row r="84">
          <cell r="B84" t="str">
            <v>000A2007</v>
          </cell>
          <cell r="C84" t="str">
            <v>PRUDENCE SUPER SENSITIVE</v>
          </cell>
          <cell r="D84">
            <v>480</v>
          </cell>
          <cell r="E84">
            <v>713</v>
          </cell>
          <cell r="F84">
            <v>869</v>
          </cell>
          <cell r="G84">
            <v>784</v>
          </cell>
          <cell r="H84">
            <v>773</v>
          </cell>
          <cell r="I84">
            <v>949</v>
          </cell>
          <cell r="J84">
            <v>884</v>
          </cell>
          <cell r="K84">
            <v>784</v>
          </cell>
          <cell r="L84">
            <v>773</v>
          </cell>
          <cell r="M84">
            <v>949</v>
          </cell>
          <cell r="N84">
            <v>884</v>
          </cell>
          <cell r="O84">
            <v>856</v>
          </cell>
          <cell r="P84">
            <v>1238</v>
          </cell>
          <cell r="Q84">
            <v>0</v>
          </cell>
        </row>
        <row r="85">
          <cell r="B85" t="str">
            <v>000A2011</v>
          </cell>
          <cell r="C85" t="str">
            <v>PRUDENCE SENSACOES SENSITIVE RETARDANTE 3</v>
          </cell>
          <cell r="D85">
            <v>379</v>
          </cell>
          <cell r="E85">
            <v>113</v>
          </cell>
          <cell r="F85">
            <v>156</v>
          </cell>
          <cell r="G85">
            <v>973</v>
          </cell>
          <cell r="H85">
            <v>189</v>
          </cell>
          <cell r="I85">
            <v>97</v>
          </cell>
          <cell r="J85">
            <v>550</v>
          </cell>
          <cell r="K85">
            <v>367</v>
          </cell>
          <cell r="L85">
            <v>390</v>
          </cell>
          <cell r="M85">
            <v>446</v>
          </cell>
          <cell r="N85">
            <v>447</v>
          </cell>
          <cell r="O85">
            <v>433</v>
          </cell>
          <cell r="P85">
            <v>378</v>
          </cell>
          <cell r="Q85">
            <v>0</v>
          </cell>
        </row>
        <row r="86">
          <cell r="B86" t="str">
            <v>000A2014</v>
          </cell>
          <cell r="C86" t="str">
            <v>PRUDENCE SUPER SENSITIVE L8P6</v>
          </cell>
          <cell r="D86">
            <v>1528</v>
          </cell>
          <cell r="E86">
            <v>1753</v>
          </cell>
          <cell r="F86">
            <v>2918</v>
          </cell>
          <cell r="G86">
            <v>2043</v>
          </cell>
          <cell r="H86">
            <v>2138</v>
          </cell>
          <cell r="I86">
            <v>2112</v>
          </cell>
          <cell r="J86">
            <v>2693</v>
          </cell>
          <cell r="K86">
            <v>2043</v>
          </cell>
          <cell r="L86">
            <v>2138</v>
          </cell>
          <cell r="M86">
            <v>2112</v>
          </cell>
          <cell r="N86">
            <v>2693</v>
          </cell>
          <cell r="O86">
            <v>4500</v>
          </cell>
          <cell r="P86">
            <v>2406</v>
          </cell>
          <cell r="Q86">
            <v>0</v>
          </cell>
        </row>
        <row r="87">
          <cell r="B87" t="str">
            <v>000A2015</v>
          </cell>
          <cell r="C87" t="str">
            <v>PRUDENCE SUPER SENSITIVE L12P10</v>
          </cell>
          <cell r="D87">
            <v>285</v>
          </cell>
          <cell r="E87">
            <v>373</v>
          </cell>
          <cell r="F87">
            <v>500</v>
          </cell>
          <cell r="G87">
            <v>366</v>
          </cell>
          <cell r="H87">
            <v>540</v>
          </cell>
          <cell r="I87">
            <v>552</v>
          </cell>
          <cell r="J87">
            <v>430</v>
          </cell>
          <cell r="K87">
            <v>1000</v>
          </cell>
          <cell r="L87">
            <v>1000</v>
          </cell>
          <cell r="M87">
            <v>1000</v>
          </cell>
          <cell r="N87">
            <v>1000</v>
          </cell>
          <cell r="O87">
            <v>1500</v>
          </cell>
          <cell r="P87">
            <v>500</v>
          </cell>
          <cell r="Q87">
            <v>0</v>
          </cell>
        </row>
        <row r="88">
          <cell r="B88" t="str">
            <v>000A2018</v>
          </cell>
          <cell r="C88" t="str">
            <v>PRUDENCE SUPER SENSITIVE INTENSE 3</v>
          </cell>
          <cell r="D88">
            <v>197</v>
          </cell>
          <cell r="E88">
            <v>492</v>
          </cell>
          <cell r="F88">
            <v>492</v>
          </cell>
          <cell r="G88">
            <v>492</v>
          </cell>
          <cell r="H88">
            <v>492</v>
          </cell>
          <cell r="I88">
            <v>492</v>
          </cell>
          <cell r="J88">
            <v>492</v>
          </cell>
          <cell r="K88">
            <v>500</v>
          </cell>
          <cell r="L88">
            <v>500</v>
          </cell>
          <cell r="M88">
            <v>500</v>
          </cell>
          <cell r="N88">
            <v>500</v>
          </cell>
          <cell r="O88">
            <v>650</v>
          </cell>
          <cell r="P88">
            <v>350</v>
          </cell>
          <cell r="Q88">
            <v>0</v>
          </cell>
        </row>
        <row r="89">
          <cell r="B89" t="str">
            <v>000A2019</v>
          </cell>
          <cell r="C89" t="str">
            <v>PRUDENCE SUPER SENSITIVE INTENSE 6</v>
          </cell>
          <cell r="D89">
            <v>230</v>
          </cell>
          <cell r="E89">
            <v>765</v>
          </cell>
          <cell r="F89">
            <v>765</v>
          </cell>
          <cell r="G89">
            <v>765</v>
          </cell>
          <cell r="H89">
            <v>765</v>
          </cell>
          <cell r="I89">
            <v>765</v>
          </cell>
          <cell r="J89">
            <v>765</v>
          </cell>
          <cell r="K89">
            <v>700</v>
          </cell>
          <cell r="L89">
            <v>700</v>
          </cell>
          <cell r="M89">
            <v>700</v>
          </cell>
          <cell r="N89">
            <v>700</v>
          </cell>
          <cell r="O89">
            <v>910</v>
          </cell>
          <cell r="P89">
            <v>490</v>
          </cell>
          <cell r="Q89">
            <v>0</v>
          </cell>
        </row>
        <row r="90">
          <cell r="B90" t="str">
            <v>000A3005</v>
          </cell>
          <cell r="C90" t="str">
            <v>PRUDENCE EFEITO RETARDANTE</v>
          </cell>
          <cell r="D90">
            <v>1964</v>
          </cell>
          <cell r="E90">
            <v>1036</v>
          </cell>
          <cell r="F90">
            <v>405</v>
          </cell>
          <cell r="G90">
            <v>4295</v>
          </cell>
          <cell r="H90">
            <v>2337</v>
          </cell>
          <cell r="I90">
            <v>3133</v>
          </cell>
          <cell r="J90">
            <v>2000</v>
          </cell>
          <cell r="K90">
            <v>2022</v>
          </cell>
          <cell r="L90">
            <v>1905</v>
          </cell>
          <cell r="M90">
            <v>2279</v>
          </cell>
          <cell r="N90">
            <v>1807</v>
          </cell>
          <cell r="O90">
            <v>2714</v>
          </cell>
          <cell r="P90">
            <v>1369</v>
          </cell>
          <cell r="Q90">
            <v>0</v>
          </cell>
        </row>
        <row r="91">
          <cell r="B91" t="str">
            <v>000A3009</v>
          </cell>
          <cell r="C91" t="str">
            <v>PRUDENCE EFEITO RETARDANTE L8P6</v>
          </cell>
          <cell r="D91">
            <v>1550</v>
          </cell>
          <cell r="E91">
            <v>2142</v>
          </cell>
          <cell r="F91">
            <v>5006</v>
          </cell>
          <cell r="G91">
            <v>2330</v>
          </cell>
          <cell r="H91">
            <v>1425</v>
          </cell>
          <cell r="I91">
            <v>1879</v>
          </cell>
          <cell r="J91">
            <v>2600</v>
          </cell>
          <cell r="K91">
            <v>2281</v>
          </cell>
          <cell r="L91">
            <v>2282</v>
          </cell>
          <cell r="M91">
            <v>2583</v>
          </cell>
          <cell r="N91">
            <v>2555</v>
          </cell>
          <cell r="O91">
            <v>2480</v>
          </cell>
          <cell r="P91">
            <v>1544</v>
          </cell>
          <cell r="Q91">
            <v>0</v>
          </cell>
        </row>
        <row r="92">
          <cell r="B92" t="str">
            <v>000A3014</v>
          </cell>
          <cell r="C92" t="str">
            <v>PRUDENCE EXTRA TEXTURIZADO C/6</v>
          </cell>
          <cell r="D92">
            <v>60</v>
          </cell>
          <cell r="E92">
            <v>235</v>
          </cell>
          <cell r="F92">
            <v>289</v>
          </cell>
          <cell r="G92">
            <v>301</v>
          </cell>
          <cell r="H92">
            <v>412</v>
          </cell>
          <cell r="I92">
            <v>232</v>
          </cell>
          <cell r="J92">
            <v>350</v>
          </cell>
          <cell r="K92">
            <v>612</v>
          </cell>
          <cell r="L92">
            <v>675</v>
          </cell>
          <cell r="M92">
            <v>714</v>
          </cell>
          <cell r="N92">
            <v>773</v>
          </cell>
          <cell r="O92">
            <v>751</v>
          </cell>
          <cell r="P92">
            <v>60</v>
          </cell>
          <cell r="Q92">
            <v>0</v>
          </cell>
        </row>
        <row r="93">
          <cell r="B93" t="str">
            <v>000A3018</v>
          </cell>
          <cell r="C93" t="str">
            <v>PRUDENCE SENSACOES TEXTURIZADO RETARDANTE C/6</v>
          </cell>
          <cell r="D93">
            <v>282</v>
          </cell>
          <cell r="E93">
            <v>326</v>
          </cell>
          <cell r="F93">
            <v>425</v>
          </cell>
          <cell r="G93">
            <v>320</v>
          </cell>
          <cell r="H93">
            <v>350</v>
          </cell>
          <cell r="I93">
            <v>364</v>
          </cell>
          <cell r="J93">
            <v>407</v>
          </cell>
          <cell r="K93">
            <v>320</v>
          </cell>
          <cell r="L93">
            <v>350</v>
          </cell>
          <cell r="M93">
            <v>364</v>
          </cell>
          <cell r="N93">
            <v>407</v>
          </cell>
          <cell r="O93">
            <v>337</v>
          </cell>
          <cell r="P93">
            <v>431</v>
          </cell>
          <cell r="Q93">
            <v>0</v>
          </cell>
        </row>
        <row r="94">
          <cell r="B94" t="str">
            <v>000A3050</v>
          </cell>
          <cell r="C94" t="str">
            <v>PRUDENCE NEON</v>
          </cell>
          <cell r="D94">
            <v>96</v>
          </cell>
          <cell r="E94">
            <v>134</v>
          </cell>
          <cell r="F94">
            <v>175</v>
          </cell>
          <cell r="G94">
            <v>164</v>
          </cell>
          <cell r="H94">
            <v>176</v>
          </cell>
          <cell r="I94">
            <v>196</v>
          </cell>
          <cell r="J94">
            <v>287</v>
          </cell>
          <cell r="K94">
            <v>164</v>
          </cell>
          <cell r="L94">
            <v>176</v>
          </cell>
          <cell r="M94">
            <v>196</v>
          </cell>
          <cell r="N94">
            <v>287</v>
          </cell>
          <cell r="O94">
            <v>185</v>
          </cell>
          <cell r="P94">
            <v>305</v>
          </cell>
          <cell r="Q94">
            <v>0</v>
          </cell>
        </row>
        <row r="95">
          <cell r="B95" t="str">
            <v>000A4005</v>
          </cell>
          <cell r="C95" t="str">
            <v>PRUDENCE ULTRA RESISTENTE</v>
          </cell>
          <cell r="D95">
            <v>62</v>
          </cell>
          <cell r="E95">
            <v>131</v>
          </cell>
          <cell r="F95">
            <v>177</v>
          </cell>
          <cell r="G95">
            <v>165</v>
          </cell>
          <cell r="H95">
            <v>165</v>
          </cell>
          <cell r="I95">
            <v>192</v>
          </cell>
          <cell r="J95">
            <v>193</v>
          </cell>
          <cell r="K95">
            <v>165</v>
          </cell>
          <cell r="L95">
            <v>165</v>
          </cell>
          <cell r="M95">
            <v>192</v>
          </cell>
          <cell r="N95">
            <v>193</v>
          </cell>
          <cell r="O95">
            <v>181</v>
          </cell>
          <cell r="P95">
            <v>95</v>
          </cell>
          <cell r="Q95">
            <v>0</v>
          </cell>
        </row>
        <row r="96">
          <cell r="B96" t="str">
            <v>000A4010</v>
          </cell>
          <cell r="C96" t="str">
            <v>PRUDENCE EXTRA GRANDE</v>
          </cell>
          <cell r="D96">
            <v>1528</v>
          </cell>
          <cell r="E96">
            <v>726</v>
          </cell>
          <cell r="F96">
            <v>1247</v>
          </cell>
          <cell r="G96">
            <v>1179</v>
          </cell>
          <cell r="H96">
            <v>2109</v>
          </cell>
          <cell r="I96">
            <v>960</v>
          </cell>
          <cell r="J96">
            <v>1800</v>
          </cell>
          <cell r="K96">
            <v>986</v>
          </cell>
          <cell r="L96">
            <v>951</v>
          </cell>
          <cell r="M96">
            <v>1131</v>
          </cell>
          <cell r="N96">
            <v>1079</v>
          </cell>
          <cell r="O96">
            <v>1255</v>
          </cell>
          <cell r="P96">
            <v>1522</v>
          </cell>
          <cell r="Q96">
            <v>0</v>
          </cell>
        </row>
        <row r="97">
          <cell r="B97" t="str">
            <v>000A4012</v>
          </cell>
          <cell r="C97" t="str">
            <v>PRUCENCE EXTRA GDE ULTRA SENSIVEL C/3</v>
          </cell>
          <cell r="D97">
            <v>191</v>
          </cell>
          <cell r="E97">
            <v>316</v>
          </cell>
          <cell r="F97">
            <v>338</v>
          </cell>
          <cell r="G97">
            <v>312</v>
          </cell>
          <cell r="H97">
            <v>322</v>
          </cell>
          <cell r="I97">
            <v>371</v>
          </cell>
          <cell r="J97">
            <v>373</v>
          </cell>
          <cell r="K97">
            <v>312</v>
          </cell>
          <cell r="L97">
            <v>322</v>
          </cell>
          <cell r="M97">
            <v>371</v>
          </cell>
          <cell r="N97">
            <v>373</v>
          </cell>
          <cell r="O97">
            <v>368</v>
          </cell>
          <cell r="P97">
            <v>353</v>
          </cell>
          <cell r="Q97">
            <v>0</v>
          </cell>
        </row>
        <row r="98">
          <cell r="B98" t="str">
            <v>000A4013</v>
          </cell>
          <cell r="C98" t="str">
            <v>PRUDENCE EXTRA GDE ULTRA SENSIVEL L8P6</v>
          </cell>
          <cell r="D98">
            <v>1967</v>
          </cell>
          <cell r="E98">
            <v>2349</v>
          </cell>
          <cell r="F98">
            <v>3135</v>
          </cell>
          <cell r="G98">
            <v>2573</v>
          </cell>
          <cell r="H98">
            <v>2776</v>
          </cell>
          <cell r="I98">
            <v>2853</v>
          </cell>
          <cell r="J98">
            <v>2600</v>
          </cell>
          <cell r="K98">
            <v>2573</v>
          </cell>
          <cell r="L98">
            <v>2776</v>
          </cell>
          <cell r="M98">
            <v>2853</v>
          </cell>
          <cell r="N98">
            <v>2900</v>
          </cell>
          <cell r="O98">
            <v>3296</v>
          </cell>
          <cell r="P98">
            <v>2407</v>
          </cell>
          <cell r="Q98">
            <v>0</v>
          </cell>
        </row>
        <row r="99">
          <cell r="B99" t="str">
            <v>000A4023</v>
          </cell>
          <cell r="C99" t="str">
            <v>PRUDENCE CLASSICO 3</v>
          </cell>
          <cell r="D99">
            <v>3796</v>
          </cell>
          <cell r="E99">
            <v>5704</v>
          </cell>
          <cell r="F99">
            <v>6870</v>
          </cell>
          <cell r="G99">
            <v>6316</v>
          </cell>
          <cell r="H99">
            <v>8000</v>
          </cell>
          <cell r="I99">
            <v>8000</v>
          </cell>
          <cell r="J99">
            <v>6800</v>
          </cell>
          <cell r="K99">
            <v>8000</v>
          </cell>
          <cell r="L99">
            <v>8000</v>
          </cell>
          <cell r="M99">
            <v>8000</v>
          </cell>
          <cell r="N99">
            <v>8000</v>
          </cell>
          <cell r="O99">
            <v>10400</v>
          </cell>
          <cell r="P99">
            <v>5600</v>
          </cell>
          <cell r="Q99">
            <v>0</v>
          </cell>
        </row>
        <row r="100">
          <cell r="B100" t="str">
            <v>000A4025</v>
          </cell>
          <cell r="C100" t="str">
            <v>PRUDENCE CLASSICO 8</v>
          </cell>
          <cell r="D100">
            <v>7978</v>
          </cell>
          <cell r="E100">
            <v>9019</v>
          </cell>
          <cell r="F100">
            <v>7263</v>
          </cell>
          <cell r="G100">
            <v>4873</v>
          </cell>
          <cell r="H100">
            <v>9458</v>
          </cell>
          <cell r="I100">
            <v>4674</v>
          </cell>
          <cell r="J100">
            <v>5000</v>
          </cell>
          <cell r="K100">
            <v>5000</v>
          </cell>
          <cell r="L100">
            <v>5000</v>
          </cell>
          <cell r="M100">
            <v>5000</v>
          </cell>
          <cell r="N100">
            <v>5000</v>
          </cell>
          <cell r="O100">
            <v>6500</v>
          </cell>
          <cell r="P100">
            <v>3500</v>
          </cell>
          <cell r="Q100">
            <v>0</v>
          </cell>
        </row>
        <row r="101">
          <cell r="B101" t="str">
            <v>000A4026</v>
          </cell>
          <cell r="C101" t="str">
            <v>PRUDENCE CLASSICO 12</v>
          </cell>
          <cell r="D101">
            <v>5773</v>
          </cell>
          <cell r="E101">
            <v>4485</v>
          </cell>
          <cell r="F101">
            <v>4731</v>
          </cell>
          <cell r="G101">
            <v>5824</v>
          </cell>
          <cell r="H101">
            <v>4866</v>
          </cell>
          <cell r="I101">
            <v>2215</v>
          </cell>
          <cell r="J101">
            <v>2600</v>
          </cell>
          <cell r="K101">
            <v>2500</v>
          </cell>
          <cell r="L101">
            <v>2500</v>
          </cell>
          <cell r="M101">
            <v>2500</v>
          </cell>
          <cell r="N101">
            <v>2500</v>
          </cell>
          <cell r="O101">
            <v>3250</v>
          </cell>
          <cell r="P101">
            <v>1750</v>
          </cell>
          <cell r="Q101">
            <v>0</v>
          </cell>
        </row>
        <row r="102">
          <cell r="B102" t="str">
            <v>000A4028</v>
          </cell>
          <cell r="C102" t="str">
            <v>PRUDENCE 3  THAI NIPPON</v>
          </cell>
          <cell r="D102">
            <v>1071</v>
          </cell>
          <cell r="E102">
            <v>11609</v>
          </cell>
          <cell r="F102">
            <v>1938</v>
          </cell>
          <cell r="G102">
            <v>1781</v>
          </cell>
          <cell r="H102">
            <v>1722</v>
          </cell>
          <cell r="I102">
            <v>1959</v>
          </cell>
          <cell r="J102">
            <v>3600</v>
          </cell>
          <cell r="K102">
            <v>5000</v>
          </cell>
          <cell r="L102">
            <v>5000</v>
          </cell>
          <cell r="M102">
            <v>5000</v>
          </cell>
          <cell r="N102">
            <v>5000</v>
          </cell>
          <cell r="O102">
            <v>6500</v>
          </cell>
          <cell r="P102">
            <v>3500</v>
          </cell>
          <cell r="Q102">
            <v>0</v>
          </cell>
        </row>
        <row r="103">
          <cell r="B103" t="str">
            <v>000A4029</v>
          </cell>
          <cell r="C103" t="str">
            <v>PRUDENCE 8 THAI NIPPON</v>
          </cell>
          <cell r="D103">
            <v>33823</v>
          </cell>
          <cell r="E103">
            <v>5721</v>
          </cell>
          <cell r="F103">
            <v>5726</v>
          </cell>
          <cell r="G103">
            <v>5886</v>
          </cell>
          <cell r="H103">
            <v>6386</v>
          </cell>
          <cell r="I103">
            <v>6816</v>
          </cell>
          <cell r="J103">
            <v>6000</v>
          </cell>
          <cell r="K103">
            <v>6000</v>
          </cell>
          <cell r="L103">
            <v>6000</v>
          </cell>
          <cell r="M103">
            <v>6000</v>
          </cell>
          <cell r="N103">
            <v>6000</v>
          </cell>
          <cell r="O103">
            <v>7800</v>
          </cell>
          <cell r="P103">
            <v>4200</v>
          </cell>
          <cell r="Q103">
            <v>0</v>
          </cell>
        </row>
        <row r="104">
          <cell r="B104" t="str">
            <v>000A4030</v>
          </cell>
          <cell r="C104" t="str">
            <v>PRUDENCE 12  THAI NIPPON</v>
          </cell>
          <cell r="D104">
            <v>21902</v>
          </cell>
          <cell r="E104">
            <v>2573</v>
          </cell>
          <cell r="F104">
            <v>3370</v>
          </cell>
          <cell r="G104">
            <v>2767</v>
          </cell>
          <cell r="H104">
            <v>2811</v>
          </cell>
          <cell r="I104">
            <v>3004</v>
          </cell>
          <cell r="J104">
            <v>4000</v>
          </cell>
          <cell r="K104">
            <v>4000</v>
          </cell>
          <cell r="L104">
            <v>4000</v>
          </cell>
          <cell r="M104">
            <v>4000</v>
          </cell>
          <cell r="N104">
            <v>4000</v>
          </cell>
          <cell r="O104">
            <v>5200</v>
          </cell>
          <cell r="P104">
            <v>2800</v>
          </cell>
          <cell r="Q104">
            <v>0</v>
          </cell>
        </row>
        <row r="105">
          <cell r="B105" t="str">
            <v>000A5014</v>
          </cell>
          <cell r="C105" t="str">
            <v>GEL PRUD MORANGO FIRE 60G</v>
          </cell>
          <cell r="D105">
            <v>82</v>
          </cell>
          <cell r="E105">
            <v>144</v>
          </cell>
          <cell r="F105">
            <v>159</v>
          </cell>
          <cell r="G105">
            <v>319</v>
          </cell>
          <cell r="H105">
            <v>391</v>
          </cell>
          <cell r="I105">
            <v>406</v>
          </cell>
          <cell r="J105">
            <v>329</v>
          </cell>
          <cell r="K105">
            <v>409</v>
          </cell>
          <cell r="L105">
            <v>358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000A5034</v>
          </cell>
          <cell r="C106" t="str">
            <v>PRUDENCE GEL NEUTRO 100G</v>
          </cell>
          <cell r="D106">
            <v>74</v>
          </cell>
          <cell r="E106">
            <v>132</v>
          </cell>
          <cell r="F106">
            <v>140</v>
          </cell>
          <cell r="G106">
            <v>314</v>
          </cell>
          <cell r="H106">
            <v>321</v>
          </cell>
          <cell r="I106">
            <v>358</v>
          </cell>
          <cell r="J106">
            <v>329</v>
          </cell>
          <cell r="K106">
            <v>361</v>
          </cell>
          <cell r="L106">
            <v>332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000A5035</v>
          </cell>
          <cell r="C107" t="str">
            <v>PRUDENCE GEL MORANGO 100G</v>
          </cell>
          <cell r="D107">
            <v>611</v>
          </cell>
          <cell r="E107">
            <v>685</v>
          </cell>
          <cell r="F107">
            <v>911</v>
          </cell>
          <cell r="G107">
            <v>2008</v>
          </cell>
          <cell r="H107">
            <v>1418</v>
          </cell>
          <cell r="I107">
            <v>1678</v>
          </cell>
          <cell r="J107">
            <v>1636</v>
          </cell>
          <cell r="K107">
            <v>1799</v>
          </cell>
          <cell r="L107">
            <v>1595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  <row r="108">
          <cell r="B108" t="str">
            <v>000A5036</v>
          </cell>
          <cell r="C108" t="str">
            <v>GEL PRUDENCE HORTELA 100G.</v>
          </cell>
          <cell r="D108">
            <v>112</v>
          </cell>
          <cell r="E108">
            <v>175</v>
          </cell>
          <cell r="F108">
            <v>189</v>
          </cell>
          <cell r="G108">
            <v>424</v>
          </cell>
          <cell r="H108">
            <v>439</v>
          </cell>
          <cell r="I108">
            <v>464</v>
          </cell>
          <cell r="J108">
            <v>436</v>
          </cell>
          <cell r="K108">
            <v>453</v>
          </cell>
          <cell r="L108">
            <v>457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B109" t="str">
            <v>000A5037</v>
          </cell>
          <cell r="C109" t="str">
            <v>GEL PRUDENCE CHICLETE 100 G</v>
          </cell>
          <cell r="D109">
            <v>347</v>
          </cell>
          <cell r="E109">
            <v>435</v>
          </cell>
          <cell r="F109">
            <v>567</v>
          </cell>
          <cell r="G109">
            <v>1419</v>
          </cell>
          <cell r="H109">
            <v>945</v>
          </cell>
          <cell r="I109">
            <v>1098</v>
          </cell>
          <cell r="J109">
            <v>996</v>
          </cell>
          <cell r="K109">
            <v>1109</v>
          </cell>
          <cell r="L109">
            <v>1078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</row>
        <row r="110">
          <cell r="B110" t="str">
            <v>000EC0001</v>
          </cell>
          <cell r="C110" t="str">
            <v>SAYA CONTROL</v>
          </cell>
          <cell r="D110">
            <v>350000</v>
          </cell>
          <cell r="E110">
            <v>20000</v>
          </cell>
          <cell r="F110">
            <v>110000</v>
          </cell>
          <cell r="G110">
            <v>120000</v>
          </cell>
          <cell r="H110">
            <v>120000</v>
          </cell>
          <cell r="I110">
            <v>120000</v>
          </cell>
          <cell r="J110">
            <v>120000</v>
          </cell>
          <cell r="K110">
            <v>100000</v>
          </cell>
          <cell r="L110">
            <v>150000</v>
          </cell>
          <cell r="M110">
            <v>60000</v>
          </cell>
          <cell r="N110">
            <v>60000</v>
          </cell>
          <cell r="O110">
            <v>496000</v>
          </cell>
          <cell r="P110">
            <v>124000</v>
          </cell>
          <cell r="Q110">
            <v>360000</v>
          </cell>
        </row>
        <row r="111">
          <cell r="B111" t="str">
            <v>000H1003</v>
          </cell>
          <cell r="C111" t="str">
            <v>PRUDENCE SOFTCUP</v>
          </cell>
          <cell r="D111">
            <v>689</v>
          </cell>
          <cell r="E111">
            <v>811</v>
          </cell>
          <cell r="F111">
            <v>951</v>
          </cell>
          <cell r="G111">
            <v>867</v>
          </cell>
          <cell r="H111">
            <v>909</v>
          </cell>
          <cell r="I111">
            <v>959</v>
          </cell>
          <cell r="J111">
            <v>882</v>
          </cell>
          <cell r="K111">
            <v>973</v>
          </cell>
          <cell r="L111">
            <v>1882</v>
          </cell>
          <cell r="M111" t="str">
            <v/>
          </cell>
          <cell r="N111" t="str">
            <v/>
          </cell>
          <cell r="O111" t="str">
            <v/>
          </cell>
          <cell r="P111">
            <v>0</v>
          </cell>
          <cell r="Q111">
            <v>0</v>
          </cell>
        </row>
        <row r="112">
          <cell r="B112" t="str">
            <v>000H1013</v>
          </cell>
          <cell r="C112" t="str">
            <v>PRUDENCE INTIMA - LENCO UMEDECIDO LEVE 20,PAGUE 16</v>
          </cell>
          <cell r="D112">
            <v>425</v>
          </cell>
          <cell r="E112">
            <v>462</v>
          </cell>
          <cell r="F112">
            <v>665</v>
          </cell>
          <cell r="G112">
            <v>434</v>
          </cell>
          <cell r="H112">
            <v>426</v>
          </cell>
          <cell r="I112">
            <v>496</v>
          </cell>
          <cell r="J112">
            <v>487</v>
          </cell>
          <cell r="K112">
            <v>434</v>
          </cell>
          <cell r="L112">
            <v>426</v>
          </cell>
          <cell r="M112">
            <v>496</v>
          </cell>
          <cell r="N112">
            <v>487</v>
          </cell>
          <cell r="O112">
            <v>477</v>
          </cell>
          <cell r="P112">
            <v>935</v>
          </cell>
          <cell r="Q112">
            <v>0</v>
          </cell>
        </row>
        <row r="113">
          <cell r="B113" t="str">
            <v>000IC0001</v>
          </cell>
          <cell r="C113" t="str">
            <v>LYNDAVEL UNO (AMP 25MG + CIP ESTRADIOL 5MG)</v>
          </cell>
          <cell r="D113">
            <v>4000</v>
          </cell>
          <cell r="E113">
            <v>10400</v>
          </cell>
          <cell r="F113">
            <v>12600</v>
          </cell>
          <cell r="G113">
            <v>13600</v>
          </cell>
          <cell r="H113">
            <v>13600</v>
          </cell>
          <cell r="I113">
            <v>13400</v>
          </cell>
          <cell r="J113">
            <v>14700</v>
          </cell>
          <cell r="K113">
            <v>2000</v>
          </cell>
          <cell r="L113">
            <v>2000</v>
          </cell>
          <cell r="M113">
            <v>2000</v>
          </cell>
          <cell r="N113">
            <v>2000</v>
          </cell>
          <cell r="O113">
            <v>4000</v>
          </cell>
          <cell r="P113">
            <v>1000</v>
          </cell>
          <cell r="Q113">
            <v>0</v>
          </cell>
        </row>
        <row r="114">
          <cell r="B114" t="str">
            <v>000X0101</v>
          </cell>
          <cell r="C114" t="str">
            <v>ASPIRADOR IPAS MVA  AMIU PLUS</v>
          </cell>
          <cell r="D114">
            <v>864</v>
          </cell>
          <cell r="E114">
            <v>1188</v>
          </cell>
          <cell r="F114">
            <v>1210</v>
          </cell>
          <cell r="G114">
            <v>1296</v>
          </cell>
          <cell r="H114">
            <v>1058</v>
          </cell>
          <cell r="I114">
            <v>1064</v>
          </cell>
          <cell r="J114">
            <v>1058</v>
          </cell>
          <cell r="K114">
            <v>1058</v>
          </cell>
          <cell r="L114">
            <v>1058</v>
          </cell>
          <cell r="M114">
            <v>1188</v>
          </cell>
          <cell r="N114">
            <v>764</v>
          </cell>
          <cell r="O114">
            <v>1188</v>
          </cell>
          <cell r="P114">
            <v>744</v>
          </cell>
          <cell r="Q114">
            <v>0</v>
          </cell>
        </row>
        <row r="115">
          <cell r="B115" t="str">
            <v>000X0102</v>
          </cell>
          <cell r="C115" t="str">
            <v>SR4 CANULA IPAS ENGATE RAPIDO</v>
          </cell>
          <cell r="D115">
            <v>650</v>
          </cell>
          <cell r="E115">
            <v>760</v>
          </cell>
          <cell r="F115">
            <v>650</v>
          </cell>
          <cell r="G115">
            <v>340</v>
          </cell>
          <cell r="H115">
            <v>557</v>
          </cell>
          <cell r="I115">
            <v>590</v>
          </cell>
          <cell r="J115">
            <v>700</v>
          </cell>
          <cell r="K115">
            <v>694</v>
          </cell>
          <cell r="L115">
            <v>694</v>
          </cell>
          <cell r="M115">
            <v>846</v>
          </cell>
          <cell r="N115">
            <v>651</v>
          </cell>
          <cell r="O115">
            <v>760</v>
          </cell>
          <cell r="P115">
            <v>539</v>
          </cell>
          <cell r="Q115">
            <v>0</v>
          </cell>
        </row>
        <row r="116">
          <cell r="B116" t="str">
            <v>000X0103</v>
          </cell>
          <cell r="C116" t="str">
            <v>SR5 CANULA IPAS ENGATE RAPIDO</v>
          </cell>
          <cell r="D116">
            <v>586</v>
          </cell>
          <cell r="E116">
            <v>651</v>
          </cell>
          <cell r="F116">
            <v>760</v>
          </cell>
          <cell r="G116">
            <v>709</v>
          </cell>
          <cell r="H116">
            <v>716</v>
          </cell>
          <cell r="I116">
            <v>716</v>
          </cell>
          <cell r="J116">
            <v>738</v>
          </cell>
          <cell r="K116">
            <v>738</v>
          </cell>
          <cell r="L116">
            <v>716</v>
          </cell>
          <cell r="M116">
            <v>705</v>
          </cell>
          <cell r="N116">
            <v>312</v>
          </cell>
          <cell r="O116">
            <v>651</v>
          </cell>
          <cell r="P116">
            <v>312</v>
          </cell>
          <cell r="Q116">
            <v>0</v>
          </cell>
        </row>
        <row r="117">
          <cell r="B117" t="str">
            <v>000X0104</v>
          </cell>
          <cell r="C117" t="str">
            <v>SR6 CANULA IPAS ENGATE RAPIDO</v>
          </cell>
          <cell r="D117">
            <v>651</v>
          </cell>
          <cell r="E117">
            <v>651</v>
          </cell>
          <cell r="F117">
            <v>760</v>
          </cell>
          <cell r="G117">
            <v>1042</v>
          </cell>
          <cell r="H117">
            <v>543</v>
          </cell>
          <cell r="I117">
            <v>521</v>
          </cell>
          <cell r="J117">
            <v>521</v>
          </cell>
          <cell r="K117">
            <v>499</v>
          </cell>
          <cell r="L117">
            <v>499</v>
          </cell>
          <cell r="M117">
            <v>705</v>
          </cell>
          <cell r="N117">
            <v>350</v>
          </cell>
          <cell r="O117">
            <v>651</v>
          </cell>
          <cell r="P117">
            <v>350</v>
          </cell>
          <cell r="Q117">
            <v>0</v>
          </cell>
        </row>
        <row r="118">
          <cell r="B118" t="str">
            <v>000X0105</v>
          </cell>
          <cell r="C118" t="str">
            <v>SR7 CANULA IPAS ENGATE RAPIDO</v>
          </cell>
          <cell r="D118">
            <v>1090</v>
          </cell>
          <cell r="E118">
            <v>1308</v>
          </cell>
          <cell r="F118">
            <v>1199</v>
          </cell>
          <cell r="G118">
            <v>934</v>
          </cell>
          <cell r="H118">
            <v>981</v>
          </cell>
          <cell r="I118">
            <v>981</v>
          </cell>
          <cell r="J118">
            <v>981</v>
          </cell>
          <cell r="K118">
            <v>872</v>
          </cell>
          <cell r="L118">
            <v>872</v>
          </cell>
          <cell r="M118">
            <v>1526</v>
          </cell>
          <cell r="N118">
            <v>1090</v>
          </cell>
          <cell r="O118">
            <v>1308</v>
          </cell>
          <cell r="P118">
            <v>870</v>
          </cell>
          <cell r="Q118">
            <v>0</v>
          </cell>
        </row>
        <row r="119">
          <cell r="B119" t="str">
            <v>000X0106</v>
          </cell>
          <cell r="C119" t="str">
            <v>SR8 CANULA IPAS ENGATE RAPIDO</v>
          </cell>
          <cell r="D119">
            <v>872</v>
          </cell>
          <cell r="E119">
            <v>1090</v>
          </cell>
          <cell r="F119">
            <v>981</v>
          </cell>
          <cell r="G119">
            <v>1068</v>
          </cell>
          <cell r="H119">
            <v>1068</v>
          </cell>
          <cell r="I119">
            <v>1068</v>
          </cell>
          <cell r="J119">
            <v>959</v>
          </cell>
          <cell r="K119">
            <v>981</v>
          </cell>
          <cell r="L119">
            <v>872</v>
          </cell>
          <cell r="M119">
            <v>1199</v>
          </cell>
          <cell r="N119">
            <v>872</v>
          </cell>
          <cell r="O119">
            <v>1090</v>
          </cell>
          <cell r="P119">
            <v>860</v>
          </cell>
          <cell r="Q119">
            <v>0</v>
          </cell>
        </row>
        <row r="120">
          <cell r="B120" t="str">
            <v>000X0107</v>
          </cell>
          <cell r="C120" t="str">
            <v>SR9 CANULA IPAS ENGATE RAPIDO</v>
          </cell>
          <cell r="D120">
            <v>654</v>
          </cell>
          <cell r="E120">
            <v>872</v>
          </cell>
          <cell r="F120">
            <v>872</v>
          </cell>
          <cell r="G120">
            <v>313</v>
          </cell>
          <cell r="H120">
            <v>654</v>
          </cell>
          <cell r="I120">
            <v>654</v>
          </cell>
          <cell r="J120">
            <v>610</v>
          </cell>
          <cell r="K120">
            <v>610</v>
          </cell>
          <cell r="L120">
            <v>610</v>
          </cell>
          <cell r="M120">
            <v>872</v>
          </cell>
          <cell r="N120">
            <v>654</v>
          </cell>
          <cell r="O120">
            <v>872</v>
          </cell>
          <cell r="P120">
            <v>412</v>
          </cell>
          <cell r="Q120">
            <v>0</v>
          </cell>
        </row>
        <row r="121">
          <cell r="B121" t="str">
            <v>000X0108</v>
          </cell>
          <cell r="C121" t="str">
            <v>SR10 CANULA IPAS ENGATE RAPIDO</v>
          </cell>
          <cell r="D121">
            <v>434</v>
          </cell>
          <cell r="E121">
            <v>651</v>
          </cell>
          <cell r="F121">
            <v>651</v>
          </cell>
          <cell r="G121">
            <v>593</v>
          </cell>
          <cell r="H121">
            <v>586</v>
          </cell>
          <cell r="I121">
            <v>586</v>
          </cell>
          <cell r="J121">
            <v>586</v>
          </cell>
          <cell r="K121">
            <v>597</v>
          </cell>
          <cell r="L121">
            <v>543</v>
          </cell>
          <cell r="M121">
            <v>651</v>
          </cell>
          <cell r="N121">
            <v>434</v>
          </cell>
          <cell r="O121">
            <v>651</v>
          </cell>
          <cell r="P121">
            <v>390</v>
          </cell>
          <cell r="Q121">
            <v>0</v>
          </cell>
        </row>
        <row r="122">
          <cell r="B122" t="str">
            <v>000X0109</v>
          </cell>
          <cell r="C122" t="str">
            <v>SR12 CANULA IPAS ENGATE RAPIDO</v>
          </cell>
          <cell r="D122">
            <v>217</v>
          </cell>
          <cell r="E122">
            <v>380</v>
          </cell>
          <cell r="F122">
            <v>380</v>
          </cell>
          <cell r="G122">
            <v>532</v>
          </cell>
          <cell r="H122">
            <v>416</v>
          </cell>
          <cell r="I122">
            <v>416</v>
          </cell>
          <cell r="J122">
            <v>416</v>
          </cell>
          <cell r="K122">
            <v>416</v>
          </cell>
          <cell r="L122">
            <v>416</v>
          </cell>
          <cell r="M122">
            <v>380</v>
          </cell>
          <cell r="N122">
            <v>217</v>
          </cell>
          <cell r="O122">
            <v>380</v>
          </cell>
          <cell r="P122">
            <v>121</v>
          </cell>
          <cell r="Q122">
            <v>0</v>
          </cell>
        </row>
        <row r="123">
          <cell r="B123" t="str">
            <v>000XE101</v>
          </cell>
          <cell r="C123" t="str">
            <v>ASPIRADOR IPAS AMIU DVS</v>
          </cell>
          <cell r="D123">
            <v>132</v>
          </cell>
          <cell r="E123">
            <v>363</v>
          </cell>
          <cell r="F123">
            <v>266</v>
          </cell>
          <cell r="G123">
            <v>372</v>
          </cell>
          <cell r="H123">
            <v>381</v>
          </cell>
          <cell r="I123">
            <v>363</v>
          </cell>
          <cell r="J123">
            <v>363</v>
          </cell>
          <cell r="K123">
            <v>264</v>
          </cell>
          <cell r="L123">
            <v>264</v>
          </cell>
          <cell r="M123">
            <v>319</v>
          </cell>
          <cell r="N123">
            <v>132</v>
          </cell>
          <cell r="O123">
            <v>363</v>
          </cell>
          <cell r="P123">
            <v>95</v>
          </cell>
          <cell r="Q123">
            <v>0</v>
          </cell>
        </row>
        <row r="124">
          <cell r="B124" t="str">
            <v>000Z0009</v>
          </cell>
          <cell r="C124" t="str">
            <v>ANDALAN COMFORT MINI CU 375</v>
          </cell>
          <cell r="D124">
            <v>310</v>
          </cell>
          <cell r="E124">
            <v>449</v>
          </cell>
          <cell r="F124">
            <v>524</v>
          </cell>
          <cell r="G124">
            <v>524</v>
          </cell>
          <cell r="H124">
            <v>589</v>
          </cell>
          <cell r="I124">
            <v>642</v>
          </cell>
          <cell r="J124">
            <v>642</v>
          </cell>
          <cell r="K124">
            <v>642</v>
          </cell>
          <cell r="L124">
            <v>610</v>
          </cell>
          <cell r="M124">
            <v>482</v>
          </cell>
          <cell r="N124">
            <v>310</v>
          </cell>
          <cell r="O124">
            <v>449</v>
          </cell>
          <cell r="P124">
            <v>112</v>
          </cell>
          <cell r="Q124">
            <v>0</v>
          </cell>
        </row>
        <row r="125">
          <cell r="B125" t="str">
            <v>000Z0011</v>
          </cell>
          <cell r="C125" t="str">
            <v>ANDALAN COMFORT CU 375</v>
          </cell>
          <cell r="D125">
            <v>215</v>
          </cell>
          <cell r="E125">
            <v>376</v>
          </cell>
          <cell r="F125">
            <v>538</v>
          </cell>
          <cell r="G125">
            <v>473</v>
          </cell>
          <cell r="H125">
            <v>269</v>
          </cell>
          <cell r="I125">
            <v>323</v>
          </cell>
          <cell r="J125">
            <v>323</v>
          </cell>
          <cell r="K125">
            <v>323</v>
          </cell>
          <cell r="L125">
            <v>323</v>
          </cell>
          <cell r="M125">
            <v>376</v>
          </cell>
          <cell r="N125">
            <v>215</v>
          </cell>
          <cell r="O125">
            <v>376</v>
          </cell>
          <cell r="P125">
            <v>190</v>
          </cell>
          <cell r="Q125">
            <v>0</v>
          </cell>
        </row>
        <row r="126">
          <cell r="B126" t="str">
            <v>000Z0012</v>
          </cell>
          <cell r="C126" t="str">
            <v>ANDALAN SILVERFLEX CU 380 AG</v>
          </cell>
          <cell r="D126">
            <v>1590</v>
          </cell>
          <cell r="E126">
            <v>3127</v>
          </cell>
          <cell r="F126">
            <v>2862</v>
          </cell>
          <cell r="G126">
            <v>2438</v>
          </cell>
          <cell r="H126">
            <v>2417</v>
          </cell>
          <cell r="I126">
            <v>2544</v>
          </cell>
          <cell r="J126">
            <v>2226</v>
          </cell>
          <cell r="K126">
            <v>2332</v>
          </cell>
          <cell r="L126">
            <v>2756</v>
          </cell>
          <cell r="M126">
            <v>3286</v>
          </cell>
          <cell r="N126">
            <v>1590</v>
          </cell>
          <cell r="O126">
            <v>3127</v>
          </cell>
          <cell r="P126">
            <v>1212</v>
          </cell>
          <cell r="Q126">
            <v>0</v>
          </cell>
        </row>
        <row r="127">
          <cell r="B127" t="str">
            <v>000Z0013</v>
          </cell>
          <cell r="C127" t="str">
            <v>ANDALAN CLASSIC CU 380</v>
          </cell>
          <cell r="D127">
            <v>4515</v>
          </cell>
          <cell r="E127">
            <v>5268</v>
          </cell>
          <cell r="F127">
            <v>5268</v>
          </cell>
          <cell r="G127">
            <v>5483</v>
          </cell>
          <cell r="H127">
            <v>6128</v>
          </cell>
          <cell r="I127">
            <v>6128</v>
          </cell>
          <cell r="J127">
            <v>6235</v>
          </cell>
          <cell r="K127">
            <v>6128</v>
          </cell>
          <cell r="L127">
            <v>6140</v>
          </cell>
          <cell r="M127">
            <v>4838</v>
          </cell>
          <cell r="N127">
            <v>3215</v>
          </cell>
          <cell r="O127">
            <v>5268</v>
          </cell>
          <cell r="P127">
            <v>3200</v>
          </cell>
          <cell r="Q127">
            <v>0</v>
          </cell>
        </row>
        <row r="128">
          <cell r="B128" t="str">
            <v>000Z0016</v>
          </cell>
          <cell r="C128" t="str">
            <v>ANDALAN SILVERFLEX MINI CU 380 AG</v>
          </cell>
          <cell r="D128">
            <v>1272</v>
          </cell>
          <cell r="E128">
            <v>1484</v>
          </cell>
          <cell r="F128">
            <v>1380</v>
          </cell>
          <cell r="G128">
            <v>1272</v>
          </cell>
          <cell r="H128">
            <v>1215</v>
          </cell>
          <cell r="I128">
            <v>1378</v>
          </cell>
          <cell r="J128">
            <v>1378</v>
          </cell>
          <cell r="K128">
            <v>1378</v>
          </cell>
          <cell r="L128">
            <v>1378</v>
          </cell>
          <cell r="M128">
            <v>1120</v>
          </cell>
          <cell r="N128">
            <v>1272</v>
          </cell>
          <cell r="O128">
            <v>1484</v>
          </cell>
          <cell r="P128">
            <v>1123</v>
          </cell>
          <cell r="Q128">
            <v>0</v>
          </cell>
        </row>
        <row r="129">
          <cell r="B129" t="str">
            <v>000Z0017</v>
          </cell>
          <cell r="C129" t="str">
            <v>ANDALAN COPPERFLEX Y MINI CU 380</v>
          </cell>
          <cell r="D129">
            <v>64</v>
          </cell>
          <cell r="E129">
            <v>64</v>
          </cell>
          <cell r="F129">
            <v>64</v>
          </cell>
          <cell r="G129">
            <v>150</v>
          </cell>
          <cell r="H129">
            <v>214</v>
          </cell>
          <cell r="I129">
            <v>321</v>
          </cell>
          <cell r="J129">
            <v>321</v>
          </cell>
          <cell r="K129">
            <v>321</v>
          </cell>
          <cell r="L129">
            <v>428</v>
          </cell>
          <cell r="M129">
            <v>64</v>
          </cell>
          <cell r="N129">
            <v>64</v>
          </cell>
          <cell r="O129">
            <v>180</v>
          </cell>
          <cell r="P129">
            <v>30</v>
          </cell>
          <cell r="Q129">
            <v>0</v>
          </cell>
        </row>
        <row r="130">
          <cell r="B130" t="str">
            <v>000Z0018</v>
          </cell>
          <cell r="C130" t="str">
            <v>ANDALAN COPPERFLEX Y CU 380</v>
          </cell>
          <cell r="D130">
            <v>128</v>
          </cell>
          <cell r="E130">
            <v>150</v>
          </cell>
          <cell r="F130">
            <v>150</v>
          </cell>
          <cell r="G130">
            <v>150</v>
          </cell>
          <cell r="H130">
            <v>235</v>
          </cell>
          <cell r="I130">
            <v>535</v>
          </cell>
          <cell r="J130">
            <v>535</v>
          </cell>
          <cell r="K130">
            <v>534</v>
          </cell>
          <cell r="L130">
            <v>534</v>
          </cell>
          <cell r="M130">
            <v>107</v>
          </cell>
          <cell r="N130">
            <v>128</v>
          </cell>
          <cell r="O130">
            <v>280</v>
          </cell>
          <cell r="P130">
            <v>120</v>
          </cell>
          <cell r="Q130">
            <v>0</v>
          </cell>
        </row>
        <row r="131">
          <cell r="B131" t="str">
            <v>000Z0035</v>
          </cell>
          <cell r="C131" t="str">
            <v>HISTEROMETRO ANDALAN</v>
          </cell>
          <cell r="D131">
            <v>1600</v>
          </cell>
          <cell r="E131">
            <v>8072</v>
          </cell>
          <cell r="F131">
            <v>8000</v>
          </cell>
          <cell r="G131">
            <v>7200</v>
          </cell>
          <cell r="H131">
            <v>7200</v>
          </cell>
          <cell r="I131">
            <v>7200</v>
          </cell>
          <cell r="J131">
            <v>7200</v>
          </cell>
          <cell r="K131">
            <v>7600</v>
          </cell>
          <cell r="L131">
            <v>7600</v>
          </cell>
          <cell r="M131">
            <v>6000</v>
          </cell>
          <cell r="N131">
            <v>1600</v>
          </cell>
          <cell r="O131">
            <v>8072</v>
          </cell>
          <cell r="P131">
            <v>1200</v>
          </cell>
          <cell r="Q131">
            <v>0</v>
          </cell>
        </row>
        <row r="132">
          <cell r="B132">
            <v>12</v>
          </cell>
          <cell r="C132" t="str">
            <v>SUTRA</v>
          </cell>
          <cell r="D132">
            <v>639</v>
          </cell>
          <cell r="E132">
            <v>715</v>
          </cell>
          <cell r="F132">
            <v>1242</v>
          </cell>
          <cell r="G132">
            <v>516</v>
          </cell>
          <cell r="H132">
            <v>661</v>
          </cell>
          <cell r="I132">
            <v>1324</v>
          </cell>
          <cell r="J132">
            <v>1950</v>
          </cell>
          <cell r="K132">
            <v>2300</v>
          </cell>
          <cell r="L132">
            <v>2300</v>
          </cell>
          <cell r="M132">
            <v>2300</v>
          </cell>
          <cell r="N132">
            <v>2300</v>
          </cell>
          <cell r="O132">
            <v>2990</v>
          </cell>
          <cell r="P132">
            <v>1610</v>
          </cell>
          <cell r="Q132">
            <v>0</v>
          </cell>
        </row>
        <row r="133">
          <cell r="B133">
            <v>13</v>
          </cell>
          <cell r="C133" t="str">
            <v>SUTRA MORANGO</v>
          </cell>
          <cell r="D133">
            <v>632</v>
          </cell>
          <cell r="E133">
            <v>722</v>
          </cell>
          <cell r="F133">
            <v>1118</v>
          </cell>
          <cell r="G133">
            <v>644</v>
          </cell>
          <cell r="H133">
            <v>708</v>
          </cell>
          <cell r="I133">
            <v>1209</v>
          </cell>
          <cell r="J133">
            <v>2250</v>
          </cell>
          <cell r="K133">
            <v>3000</v>
          </cell>
          <cell r="L133">
            <v>3000</v>
          </cell>
          <cell r="M133">
            <v>3000</v>
          </cell>
          <cell r="N133">
            <v>3000</v>
          </cell>
          <cell r="O133">
            <v>3900</v>
          </cell>
          <cell r="P133">
            <v>2100</v>
          </cell>
          <cell r="Q133">
            <v>0</v>
          </cell>
        </row>
        <row r="134">
          <cell r="B134">
            <v>14</v>
          </cell>
          <cell r="C134" t="str">
            <v>SUTRA HORTELA</v>
          </cell>
          <cell r="D134">
            <v>555</v>
          </cell>
          <cell r="E134">
            <v>647</v>
          </cell>
          <cell r="F134">
            <v>1092</v>
          </cell>
          <cell r="G134">
            <v>825</v>
          </cell>
          <cell r="H134">
            <v>439</v>
          </cell>
          <cell r="I134">
            <v>796</v>
          </cell>
          <cell r="J134">
            <v>1500</v>
          </cell>
          <cell r="K134">
            <v>1500</v>
          </cell>
          <cell r="L134">
            <v>1500</v>
          </cell>
          <cell r="M134">
            <v>1500</v>
          </cell>
          <cell r="N134">
            <v>1500</v>
          </cell>
          <cell r="O134">
            <v>1950</v>
          </cell>
          <cell r="P134">
            <v>1050</v>
          </cell>
          <cell r="Q134">
            <v>0</v>
          </cell>
        </row>
        <row r="135">
          <cell r="B135">
            <v>17</v>
          </cell>
          <cell r="C135" t="str">
            <v>SUTRA SENSITIVE</v>
          </cell>
          <cell r="D135">
            <v>1368</v>
          </cell>
          <cell r="E135">
            <v>828</v>
          </cell>
          <cell r="F135">
            <v>1133</v>
          </cell>
          <cell r="G135">
            <v>426</v>
          </cell>
          <cell r="H135">
            <v>608</v>
          </cell>
          <cell r="I135">
            <v>478</v>
          </cell>
          <cell r="J135">
            <v>900</v>
          </cell>
          <cell r="K135">
            <v>1000</v>
          </cell>
          <cell r="L135">
            <v>1000</v>
          </cell>
          <cell r="M135">
            <v>1000</v>
          </cell>
          <cell r="N135">
            <v>1000</v>
          </cell>
          <cell r="O135">
            <v>1300</v>
          </cell>
          <cell r="P135">
            <v>700</v>
          </cell>
          <cell r="Q135">
            <v>0</v>
          </cell>
        </row>
        <row r="136">
          <cell r="B136" t="str">
            <v>000A1001</v>
          </cell>
          <cell r="C136" t="str">
            <v>PRUDENCE C S MORANGO</v>
          </cell>
          <cell r="D136">
            <v>3047</v>
          </cell>
          <cell r="E136">
            <v>2620</v>
          </cell>
          <cell r="F136">
            <v>2991</v>
          </cell>
          <cell r="G136">
            <v>4007</v>
          </cell>
          <cell r="H136">
            <v>3420</v>
          </cell>
          <cell r="I136">
            <v>4054</v>
          </cell>
          <cell r="J136">
            <v>5000</v>
          </cell>
          <cell r="K136">
            <v>5000</v>
          </cell>
          <cell r="L136">
            <v>5000</v>
          </cell>
          <cell r="M136">
            <v>5000</v>
          </cell>
          <cell r="N136">
            <v>5000</v>
          </cell>
          <cell r="O136">
            <v>5000</v>
          </cell>
          <cell r="P136" t="str">
            <v/>
          </cell>
        </row>
        <row r="137">
          <cell r="B137" t="str">
            <v>000A1002</v>
          </cell>
          <cell r="C137" t="str">
            <v>PRUDENCE C S HORTELA</v>
          </cell>
          <cell r="D137">
            <v>1450</v>
          </cell>
          <cell r="E137">
            <v>2030</v>
          </cell>
          <cell r="F137">
            <v>2446</v>
          </cell>
          <cell r="G137">
            <v>2047</v>
          </cell>
          <cell r="H137">
            <v>2154</v>
          </cell>
          <cell r="I137">
            <v>2561</v>
          </cell>
          <cell r="J137">
            <v>2202</v>
          </cell>
          <cell r="K137">
            <v>2273</v>
          </cell>
          <cell r="L137">
            <v>2555</v>
          </cell>
          <cell r="M137">
            <v>3000</v>
          </cell>
          <cell r="N137">
            <v>3000</v>
          </cell>
          <cell r="O137">
            <v>3000</v>
          </cell>
          <cell r="P137" t="str">
            <v/>
          </cell>
        </row>
        <row r="138">
          <cell r="B138" t="str">
            <v>000A1003</v>
          </cell>
          <cell r="C138" t="str">
            <v>PRUDENCE C S UVA</v>
          </cell>
          <cell r="D138">
            <v>1550</v>
          </cell>
          <cell r="E138">
            <v>1455</v>
          </cell>
          <cell r="F138">
            <v>1325</v>
          </cell>
          <cell r="G138">
            <v>2512</v>
          </cell>
          <cell r="H138">
            <v>1371</v>
          </cell>
          <cell r="I138">
            <v>1541</v>
          </cell>
          <cell r="J138">
            <v>2300</v>
          </cell>
          <cell r="K138">
            <v>2300</v>
          </cell>
          <cell r="L138">
            <v>2300</v>
          </cell>
          <cell r="M138">
            <v>3000</v>
          </cell>
          <cell r="N138">
            <v>3000</v>
          </cell>
          <cell r="O138">
            <v>3000</v>
          </cell>
          <cell r="P138" t="str">
            <v/>
          </cell>
        </row>
        <row r="139">
          <cell r="B139" t="str">
            <v>000A1004</v>
          </cell>
          <cell r="C139" t="str">
            <v>PRUDENCE C S CHOCOLATE</v>
          </cell>
          <cell r="D139">
            <v>129</v>
          </cell>
          <cell r="E139">
            <v>672</v>
          </cell>
          <cell r="F139">
            <v>809</v>
          </cell>
          <cell r="G139">
            <v>818</v>
          </cell>
          <cell r="H139">
            <v>827</v>
          </cell>
          <cell r="I139">
            <v>624</v>
          </cell>
          <cell r="J139">
            <v>1500</v>
          </cell>
          <cell r="K139">
            <v>1500</v>
          </cell>
          <cell r="L139">
            <v>1500</v>
          </cell>
          <cell r="M139">
            <v>1500</v>
          </cell>
          <cell r="N139">
            <v>1500</v>
          </cell>
          <cell r="O139">
            <v>1500</v>
          </cell>
          <cell r="P139" t="str">
            <v/>
          </cell>
        </row>
        <row r="140">
          <cell r="B140" t="str">
            <v>000A1006</v>
          </cell>
          <cell r="C140" t="str">
            <v>PRUDENCE C S TUTTI-FRUTTI</v>
          </cell>
          <cell r="D140">
            <v>947</v>
          </cell>
          <cell r="E140">
            <v>1394</v>
          </cell>
          <cell r="F140">
            <v>1759</v>
          </cell>
          <cell r="G140">
            <v>1221</v>
          </cell>
          <cell r="H140">
            <v>1424</v>
          </cell>
          <cell r="I140">
            <v>1709</v>
          </cell>
          <cell r="J140">
            <v>1664</v>
          </cell>
          <cell r="K140">
            <v>1407</v>
          </cell>
          <cell r="L140">
            <v>1560</v>
          </cell>
          <cell r="M140">
            <v>0</v>
          </cell>
          <cell r="N140">
            <v>0</v>
          </cell>
          <cell r="O140">
            <v>0</v>
          </cell>
          <cell r="P140" t="str">
            <v/>
          </cell>
        </row>
        <row r="141">
          <cell r="B141" t="str">
            <v>000A1012</v>
          </cell>
          <cell r="C141" t="str">
            <v>PRUDENCE C S MELANCIA</v>
          </cell>
          <cell r="D141">
            <v>402</v>
          </cell>
          <cell r="E141">
            <v>601</v>
          </cell>
          <cell r="F141">
            <v>701</v>
          </cell>
          <cell r="G141">
            <v>590</v>
          </cell>
          <cell r="H141">
            <v>670</v>
          </cell>
          <cell r="I141">
            <v>802</v>
          </cell>
          <cell r="J141">
            <v>832</v>
          </cell>
          <cell r="K141">
            <v>780</v>
          </cell>
          <cell r="L141">
            <v>786</v>
          </cell>
          <cell r="M141">
            <v>0</v>
          </cell>
          <cell r="N141">
            <v>0</v>
          </cell>
          <cell r="O141">
            <v>0</v>
          </cell>
          <cell r="P141" t="str">
            <v/>
          </cell>
        </row>
        <row r="142">
          <cell r="B142" t="str">
            <v>000A1017</v>
          </cell>
          <cell r="C142" t="str">
            <v>PRUDENCE C S MORANGAO</v>
          </cell>
          <cell r="D142">
            <v>243</v>
          </cell>
          <cell r="E142">
            <v>314</v>
          </cell>
          <cell r="F142">
            <v>388</v>
          </cell>
          <cell r="G142">
            <v>322</v>
          </cell>
          <cell r="H142">
            <v>385</v>
          </cell>
          <cell r="I142">
            <v>423</v>
          </cell>
          <cell r="J142">
            <v>536</v>
          </cell>
          <cell r="K142">
            <v>413</v>
          </cell>
          <cell r="L142">
            <v>377</v>
          </cell>
          <cell r="M142">
            <v>0</v>
          </cell>
          <cell r="N142">
            <v>0</v>
          </cell>
          <cell r="O142">
            <v>0</v>
          </cell>
          <cell r="P142" t="str">
            <v/>
          </cell>
        </row>
        <row r="143">
          <cell r="B143" t="str">
            <v>000A1019</v>
          </cell>
          <cell r="C143" t="str">
            <v>PRUDENCE C S CHICLETE</v>
          </cell>
          <cell r="D143">
            <v>490</v>
          </cell>
          <cell r="E143">
            <v>612</v>
          </cell>
          <cell r="F143">
            <v>879</v>
          </cell>
          <cell r="G143">
            <v>651</v>
          </cell>
          <cell r="H143">
            <v>858</v>
          </cell>
          <cell r="I143">
            <v>870</v>
          </cell>
          <cell r="J143">
            <v>1279</v>
          </cell>
          <cell r="K143">
            <v>865</v>
          </cell>
          <cell r="L143">
            <v>816</v>
          </cell>
          <cell r="M143">
            <v>800</v>
          </cell>
          <cell r="N143">
            <v>800</v>
          </cell>
          <cell r="O143">
            <v>800</v>
          </cell>
          <cell r="P143" t="str">
            <v/>
          </cell>
        </row>
        <row r="144">
          <cell r="B144" t="str">
            <v>000A1021</v>
          </cell>
          <cell r="C144" t="str">
            <v>PRUDENCE C S MORANGO C/6</v>
          </cell>
          <cell r="D144">
            <v>709</v>
          </cell>
          <cell r="E144">
            <v>1029</v>
          </cell>
          <cell r="F144">
            <v>1801</v>
          </cell>
          <cell r="G144">
            <v>2021</v>
          </cell>
          <cell r="H144">
            <v>740</v>
          </cell>
          <cell r="I144">
            <v>1147</v>
          </cell>
          <cell r="J144">
            <v>1150</v>
          </cell>
          <cell r="K144">
            <v>1150</v>
          </cell>
          <cell r="L144">
            <v>1153</v>
          </cell>
          <cell r="M144">
            <v>1131</v>
          </cell>
          <cell r="N144">
            <v>1131</v>
          </cell>
          <cell r="O144">
            <v>1131</v>
          </cell>
          <cell r="P144" t="str">
            <v/>
          </cell>
        </row>
        <row r="145">
          <cell r="B145" t="str">
            <v>000A1025</v>
          </cell>
          <cell r="C145" t="str">
            <v>PRUDENCE C S CAIPIRINHA</v>
          </cell>
          <cell r="D145">
            <v>333</v>
          </cell>
          <cell r="E145">
            <v>502</v>
          </cell>
          <cell r="F145">
            <v>615</v>
          </cell>
          <cell r="G145">
            <v>531</v>
          </cell>
          <cell r="H145">
            <v>563</v>
          </cell>
          <cell r="I145">
            <v>712</v>
          </cell>
          <cell r="J145">
            <v>820</v>
          </cell>
          <cell r="K145">
            <v>621</v>
          </cell>
          <cell r="L145">
            <v>667</v>
          </cell>
          <cell r="M145">
            <v>0</v>
          </cell>
          <cell r="N145">
            <v>0</v>
          </cell>
          <cell r="O145">
            <v>0</v>
          </cell>
          <cell r="P145" t="str">
            <v/>
          </cell>
        </row>
        <row r="146">
          <cell r="B146" t="str">
            <v>000A1028</v>
          </cell>
          <cell r="C146" t="str">
            <v>PRUDENCE C S MIX/FLOWPACK</v>
          </cell>
          <cell r="D146">
            <v>678</v>
          </cell>
          <cell r="E146">
            <v>263</v>
          </cell>
          <cell r="F146">
            <v>594</v>
          </cell>
          <cell r="G146">
            <v>478</v>
          </cell>
          <cell r="H146">
            <v>174</v>
          </cell>
          <cell r="I146">
            <v>383</v>
          </cell>
          <cell r="J146">
            <v>800</v>
          </cell>
          <cell r="K146">
            <v>800</v>
          </cell>
          <cell r="L146">
            <v>800</v>
          </cell>
          <cell r="M146">
            <v>550</v>
          </cell>
          <cell r="N146">
            <v>550</v>
          </cell>
          <cell r="O146">
            <v>550</v>
          </cell>
          <cell r="P146" t="str">
            <v/>
          </cell>
        </row>
        <row r="147">
          <cell r="B147" t="str">
            <v>000A1031</v>
          </cell>
          <cell r="C147" t="str">
            <v>PRUDENCE C S MIX LEVE 8 PAGUE 6</v>
          </cell>
          <cell r="D147">
            <v>1139</v>
          </cell>
          <cell r="E147">
            <v>1629</v>
          </cell>
          <cell r="F147">
            <v>1920</v>
          </cell>
          <cell r="G147">
            <v>1596</v>
          </cell>
          <cell r="H147">
            <v>1738</v>
          </cell>
          <cell r="I147">
            <v>1951</v>
          </cell>
          <cell r="J147">
            <v>1878</v>
          </cell>
          <cell r="K147">
            <v>1946</v>
          </cell>
          <cell r="L147">
            <v>1878</v>
          </cell>
          <cell r="M147">
            <v>0</v>
          </cell>
          <cell r="N147">
            <v>0</v>
          </cell>
          <cell r="O147">
            <v>0</v>
          </cell>
          <cell r="P147" t="str">
            <v/>
          </cell>
        </row>
        <row r="148">
          <cell r="B148" t="str">
            <v>000A1034</v>
          </cell>
          <cell r="C148" t="str">
            <v>PRUDENCE C S MIX TROPICAL L8P6</v>
          </cell>
          <cell r="D148">
            <v>397</v>
          </cell>
          <cell r="E148">
            <v>571</v>
          </cell>
          <cell r="F148">
            <v>651</v>
          </cell>
          <cell r="G148">
            <v>553</v>
          </cell>
          <cell r="H148">
            <v>647</v>
          </cell>
          <cell r="I148">
            <v>651</v>
          </cell>
          <cell r="J148">
            <v>686</v>
          </cell>
          <cell r="K148">
            <v>694</v>
          </cell>
          <cell r="L148">
            <v>655</v>
          </cell>
          <cell r="M148">
            <v>0</v>
          </cell>
          <cell r="N148">
            <v>0</v>
          </cell>
          <cell r="O148">
            <v>0</v>
          </cell>
          <cell r="P148" t="str">
            <v/>
          </cell>
        </row>
        <row r="149">
          <cell r="B149" t="str">
            <v>000A2001</v>
          </cell>
          <cell r="C149" t="str">
            <v>PRUDENCE ULTRA SENSIVEL</v>
          </cell>
          <cell r="D149">
            <v>1256</v>
          </cell>
          <cell r="E149">
            <v>1787</v>
          </cell>
          <cell r="F149">
            <v>1918</v>
          </cell>
          <cell r="G149">
            <v>1772</v>
          </cell>
          <cell r="H149">
            <v>1770</v>
          </cell>
          <cell r="I149">
            <v>2122</v>
          </cell>
          <cell r="J149">
            <v>1914</v>
          </cell>
          <cell r="K149">
            <v>1994</v>
          </cell>
          <cell r="L149">
            <v>2088</v>
          </cell>
          <cell r="M149">
            <v>0</v>
          </cell>
          <cell r="N149">
            <v>0</v>
          </cell>
          <cell r="O149">
            <v>0</v>
          </cell>
          <cell r="P149" t="str">
            <v/>
          </cell>
        </row>
        <row r="150">
          <cell r="B150" t="str">
            <v>000A2005</v>
          </cell>
          <cell r="C150" t="str">
            <v>PRUDENCE ULTRA SENSIVEL LEVE 8 PAGUE 6</v>
          </cell>
          <cell r="D150">
            <v>3507</v>
          </cell>
          <cell r="E150">
            <v>4216</v>
          </cell>
          <cell r="F150">
            <v>5879</v>
          </cell>
          <cell r="G150">
            <v>4681</v>
          </cell>
          <cell r="H150">
            <v>4981</v>
          </cell>
          <cell r="I150">
            <v>5068</v>
          </cell>
          <cell r="J150">
            <v>5888</v>
          </cell>
          <cell r="K150">
            <v>5495</v>
          </cell>
          <cell r="L150">
            <v>5599</v>
          </cell>
          <cell r="M150">
            <v>0</v>
          </cell>
          <cell r="N150">
            <v>0</v>
          </cell>
          <cell r="O150">
            <v>0</v>
          </cell>
          <cell r="P150" t="str">
            <v/>
          </cell>
        </row>
        <row r="151">
          <cell r="B151" t="str">
            <v>000A2007</v>
          </cell>
          <cell r="C151" t="str">
            <v>PRUDENCE SUPER SENSITIVE</v>
          </cell>
          <cell r="D151">
            <v>480</v>
          </cell>
          <cell r="E151">
            <v>713</v>
          </cell>
          <cell r="F151">
            <v>869</v>
          </cell>
          <cell r="G151">
            <v>784</v>
          </cell>
          <cell r="H151">
            <v>773</v>
          </cell>
          <cell r="I151">
            <v>949</v>
          </cell>
          <cell r="J151">
            <v>884</v>
          </cell>
          <cell r="K151">
            <v>856</v>
          </cell>
          <cell r="L151">
            <v>886</v>
          </cell>
          <cell r="M151">
            <v>0</v>
          </cell>
          <cell r="N151">
            <v>0</v>
          </cell>
          <cell r="O151">
            <v>0</v>
          </cell>
          <cell r="P151" t="str">
            <v/>
          </cell>
        </row>
        <row r="152">
          <cell r="B152" t="str">
            <v>000A2011</v>
          </cell>
          <cell r="C152" t="str">
            <v>PRUDENCE SENSACOES SENSITIVE RETARDANTE 3</v>
          </cell>
          <cell r="D152">
            <v>379</v>
          </cell>
          <cell r="E152">
            <v>113</v>
          </cell>
          <cell r="F152">
            <v>156</v>
          </cell>
          <cell r="G152">
            <v>973</v>
          </cell>
          <cell r="H152">
            <v>189</v>
          </cell>
          <cell r="I152">
            <v>97</v>
          </cell>
          <cell r="J152">
            <v>550</v>
          </cell>
          <cell r="K152">
            <v>550</v>
          </cell>
          <cell r="L152">
            <v>550</v>
          </cell>
          <cell r="M152">
            <v>550</v>
          </cell>
          <cell r="N152">
            <v>550</v>
          </cell>
          <cell r="O152">
            <v>550</v>
          </cell>
          <cell r="P152" t="str">
            <v/>
          </cell>
        </row>
        <row r="153">
          <cell r="B153" t="str">
            <v>000A2014</v>
          </cell>
          <cell r="C153" t="str">
            <v>PRUDENCE SUPER SENSITIVE L8P6</v>
          </cell>
          <cell r="D153">
            <v>1528</v>
          </cell>
          <cell r="E153">
            <v>1753</v>
          </cell>
          <cell r="F153">
            <v>2918</v>
          </cell>
          <cell r="G153">
            <v>2043</v>
          </cell>
          <cell r="H153">
            <v>2138</v>
          </cell>
          <cell r="I153">
            <v>2112</v>
          </cell>
          <cell r="J153">
            <v>2693</v>
          </cell>
          <cell r="K153">
            <v>2406</v>
          </cell>
          <cell r="L153">
            <v>2518</v>
          </cell>
          <cell r="M153">
            <v>0</v>
          </cell>
          <cell r="N153">
            <v>0</v>
          </cell>
          <cell r="O153">
            <v>0</v>
          </cell>
          <cell r="P153" t="str">
            <v/>
          </cell>
        </row>
        <row r="154">
          <cell r="B154" t="str">
            <v>000A2015</v>
          </cell>
          <cell r="C154" t="str">
            <v>PRUDENCE SUPER SENSITIVE L12P10</v>
          </cell>
          <cell r="D154">
            <v>285</v>
          </cell>
          <cell r="E154">
            <v>373</v>
          </cell>
          <cell r="F154">
            <v>500</v>
          </cell>
          <cell r="G154">
            <v>366</v>
          </cell>
          <cell r="H154">
            <v>540</v>
          </cell>
          <cell r="I154">
            <v>552</v>
          </cell>
          <cell r="J154">
            <v>430</v>
          </cell>
          <cell r="K154">
            <v>430</v>
          </cell>
          <cell r="L154">
            <v>498</v>
          </cell>
          <cell r="M154">
            <v>0</v>
          </cell>
          <cell r="N154">
            <v>0</v>
          </cell>
          <cell r="O154">
            <v>0</v>
          </cell>
          <cell r="P154" t="str">
            <v/>
          </cell>
        </row>
        <row r="155">
          <cell r="B155" t="str">
            <v>000A2018</v>
          </cell>
          <cell r="C155" t="str">
            <v>PRUDENCE SUPER SENSITIVE INTENSE 3</v>
          </cell>
          <cell r="D155">
            <v>197</v>
          </cell>
          <cell r="E155">
            <v>492</v>
          </cell>
          <cell r="F155">
            <v>492</v>
          </cell>
          <cell r="G155">
            <v>492</v>
          </cell>
          <cell r="H155">
            <v>492</v>
          </cell>
          <cell r="I155">
            <v>492</v>
          </cell>
          <cell r="J155">
            <v>492</v>
          </cell>
          <cell r="K155">
            <v>492</v>
          </cell>
          <cell r="L155">
            <v>492</v>
          </cell>
          <cell r="M155">
            <v>0</v>
          </cell>
          <cell r="N155">
            <v>0</v>
          </cell>
          <cell r="O155">
            <v>0</v>
          </cell>
          <cell r="P155" t="str">
            <v/>
          </cell>
        </row>
        <row r="156">
          <cell r="B156" t="str">
            <v>000A2019</v>
          </cell>
          <cell r="C156" t="str">
            <v>PRUDENCE SUPER SENSITIVE INTENSE 6</v>
          </cell>
          <cell r="D156">
            <v>230</v>
          </cell>
          <cell r="E156">
            <v>765</v>
          </cell>
          <cell r="F156">
            <v>765</v>
          </cell>
          <cell r="G156">
            <v>765</v>
          </cell>
          <cell r="H156">
            <v>765</v>
          </cell>
          <cell r="I156">
            <v>765</v>
          </cell>
          <cell r="J156">
            <v>765</v>
          </cell>
          <cell r="K156">
            <v>765</v>
          </cell>
          <cell r="L156">
            <v>765</v>
          </cell>
          <cell r="M156">
            <v>0</v>
          </cell>
          <cell r="N156">
            <v>0</v>
          </cell>
          <cell r="O156">
            <v>0</v>
          </cell>
          <cell r="P156" t="str">
            <v/>
          </cell>
        </row>
        <row r="157">
          <cell r="B157" t="str">
            <v>000A3005</v>
          </cell>
          <cell r="C157" t="str">
            <v>PRUDENCE EFEITO RETARDANTE</v>
          </cell>
          <cell r="D157">
            <v>1964</v>
          </cell>
          <cell r="E157">
            <v>1036</v>
          </cell>
          <cell r="F157">
            <v>405</v>
          </cell>
          <cell r="G157">
            <v>4295</v>
          </cell>
          <cell r="H157">
            <v>2337</v>
          </cell>
          <cell r="I157">
            <v>3133</v>
          </cell>
          <cell r="J157">
            <v>2000</v>
          </cell>
          <cell r="K157">
            <v>2000</v>
          </cell>
          <cell r="L157">
            <v>2000</v>
          </cell>
          <cell r="M157">
            <v>2000</v>
          </cell>
          <cell r="N157">
            <v>2000</v>
          </cell>
          <cell r="O157">
            <v>2000</v>
          </cell>
          <cell r="P157" t="str">
            <v/>
          </cell>
        </row>
        <row r="158">
          <cell r="B158" t="str">
            <v>000A3009</v>
          </cell>
          <cell r="C158" t="str">
            <v>PRUDENCE EFEITO RETARDANTE L8P6</v>
          </cell>
          <cell r="D158">
            <v>1550</v>
          </cell>
          <cell r="E158">
            <v>2142</v>
          </cell>
          <cell r="F158">
            <v>5006</v>
          </cell>
          <cell r="G158">
            <v>2330</v>
          </cell>
          <cell r="H158">
            <v>1425</v>
          </cell>
          <cell r="I158">
            <v>1879</v>
          </cell>
          <cell r="J158">
            <v>2600</v>
          </cell>
          <cell r="K158">
            <v>2600</v>
          </cell>
          <cell r="L158">
            <v>2600</v>
          </cell>
          <cell r="M158">
            <v>2600</v>
          </cell>
          <cell r="N158">
            <v>2600</v>
          </cell>
          <cell r="O158">
            <v>2600</v>
          </cell>
          <cell r="P158" t="str">
            <v/>
          </cell>
        </row>
        <row r="159">
          <cell r="B159" t="str">
            <v>000A3014</v>
          </cell>
          <cell r="C159" t="str">
            <v>PRUDENCE EXTRA TEXTURIZADO C/6</v>
          </cell>
          <cell r="D159">
            <v>60</v>
          </cell>
          <cell r="E159">
            <v>235</v>
          </cell>
          <cell r="F159">
            <v>289</v>
          </cell>
          <cell r="G159">
            <v>301</v>
          </cell>
          <cell r="H159">
            <v>412</v>
          </cell>
          <cell r="I159">
            <v>232</v>
          </cell>
          <cell r="J159">
            <v>350</v>
          </cell>
          <cell r="K159">
            <v>350</v>
          </cell>
          <cell r="L159">
            <v>350</v>
          </cell>
          <cell r="M159">
            <v>350</v>
          </cell>
          <cell r="N159">
            <v>350</v>
          </cell>
          <cell r="O159">
            <v>350</v>
          </cell>
          <cell r="P159" t="str">
            <v/>
          </cell>
        </row>
        <row r="160">
          <cell r="B160" t="str">
            <v>000A3018</v>
          </cell>
          <cell r="C160" t="str">
            <v>PRUDENCE SENSACOES TEXTURIZADO RETARDANTE C/6</v>
          </cell>
          <cell r="D160">
            <v>282</v>
          </cell>
          <cell r="E160">
            <v>326</v>
          </cell>
          <cell r="F160">
            <v>425</v>
          </cell>
          <cell r="G160">
            <v>320</v>
          </cell>
          <cell r="H160">
            <v>350</v>
          </cell>
          <cell r="I160">
            <v>364</v>
          </cell>
          <cell r="J160">
            <v>407</v>
          </cell>
          <cell r="K160">
            <v>337</v>
          </cell>
          <cell r="L160">
            <v>332</v>
          </cell>
          <cell r="M160">
            <v>0</v>
          </cell>
          <cell r="N160">
            <v>0</v>
          </cell>
          <cell r="O160">
            <v>0</v>
          </cell>
          <cell r="P160" t="str">
            <v/>
          </cell>
        </row>
        <row r="161">
          <cell r="B161" t="str">
            <v>000A3050</v>
          </cell>
          <cell r="C161" t="str">
            <v>PRUDENCE NEON</v>
          </cell>
          <cell r="D161">
            <v>96</v>
          </cell>
          <cell r="E161">
            <v>134</v>
          </cell>
          <cell r="F161">
            <v>175</v>
          </cell>
          <cell r="G161">
            <v>164</v>
          </cell>
          <cell r="H161">
            <v>176</v>
          </cell>
          <cell r="I161">
            <v>196</v>
          </cell>
          <cell r="J161">
            <v>287</v>
          </cell>
          <cell r="K161">
            <v>185</v>
          </cell>
          <cell r="L161">
            <v>175</v>
          </cell>
          <cell r="M161">
            <v>0</v>
          </cell>
          <cell r="N161">
            <v>0</v>
          </cell>
          <cell r="O161">
            <v>0</v>
          </cell>
          <cell r="P161" t="str">
            <v/>
          </cell>
        </row>
        <row r="162">
          <cell r="B162" t="str">
            <v>000A4005</v>
          </cell>
          <cell r="C162" t="str">
            <v>PRUDENCE ULTRA RESISTENTE</v>
          </cell>
          <cell r="D162">
            <v>62</v>
          </cell>
          <cell r="E162">
            <v>131</v>
          </cell>
          <cell r="F162">
            <v>177</v>
          </cell>
          <cell r="G162">
            <v>165</v>
          </cell>
          <cell r="H162">
            <v>165</v>
          </cell>
          <cell r="I162">
            <v>192</v>
          </cell>
          <cell r="J162">
            <v>193</v>
          </cell>
          <cell r="K162">
            <v>181</v>
          </cell>
          <cell r="L162">
            <v>179</v>
          </cell>
          <cell r="M162">
            <v>0</v>
          </cell>
          <cell r="N162">
            <v>0</v>
          </cell>
          <cell r="O162">
            <v>0</v>
          </cell>
          <cell r="P162" t="str">
            <v/>
          </cell>
        </row>
        <row r="163">
          <cell r="B163" t="str">
            <v>000A4010</v>
          </cell>
          <cell r="C163" t="str">
            <v>PRUDENCE EXTRA GRANDE</v>
          </cell>
          <cell r="D163">
            <v>1528</v>
          </cell>
          <cell r="E163">
            <v>726</v>
          </cell>
          <cell r="F163">
            <v>1247</v>
          </cell>
          <cell r="G163">
            <v>1179</v>
          </cell>
          <cell r="H163">
            <v>2109</v>
          </cell>
          <cell r="I163">
            <v>960</v>
          </cell>
          <cell r="J163">
            <v>1800</v>
          </cell>
          <cell r="K163">
            <v>1800</v>
          </cell>
          <cell r="L163">
            <v>1800</v>
          </cell>
          <cell r="M163">
            <v>1800</v>
          </cell>
          <cell r="N163">
            <v>1800</v>
          </cell>
          <cell r="O163">
            <v>1800</v>
          </cell>
          <cell r="P163" t="str">
            <v/>
          </cell>
        </row>
        <row r="164">
          <cell r="B164" t="str">
            <v>000A4012</v>
          </cell>
          <cell r="C164" t="str">
            <v>PRUCENCE EXTRA GDE ULTRA SENSIVEL C/3</v>
          </cell>
          <cell r="D164">
            <v>191</v>
          </cell>
          <cell r="E164">
            <v>316</v>
          </cell>
          <cell r="F164">
            <v>338</v>
          </cell>
          <cell r="G164">
            <v>312</v>
          </cell>
          <cell r="H164">
            <v>322</v>
          </cell>
          <cell r="I164">
            <v>371</v>
          </cell>
          <cell r="J164">
            <v>373</v>
          </cell>
          <cell r="K164">
            <v>368</v>
          </cell>
          <cell r="L164">
            <v>354</v>
          </cell>
          <cell r="M164">
            <v>0</v>
          </cell>
          <cell r="N164">
            <v>0</v>
          </cell>
          <cell r="O164">
            <v>0</v>
          </cell>
          <cell r="P164" t="str">
            <v/>
          </cell>
        </row>
        <row r="165">
          <cell r="B165" t="str">
            <v>000A4013</v>
          </cell>
          <cell r="C165" t="str">
            <v>PRUDENCE EXTRA GDE ULTRA SENSIVEL L8P6</v>
          </cell>
          <cell r="D165">
            <v>1967</v>
          </cell>
          <cell r="E165">
            <v>2349</v>
          </cell>
          <cell r="F165">
            <v>3135</v>
          </cell>
          <cell r="G165">
            <v>2573</v>
          </cell>
          <cell r="H165">
            <v>2776</v>
          </cell>
          <cell r="I165">
            <v>2853</v>
          </cell>
          <cell r="J165">
            <v>2600</v>
          </cell>
          <cell r="K165">
            <v>2600</v>
          </cell>
          <cell r="L165">
            <v>2600</v>
          </cell>
          <cell r="M165">
            <v>2600</v>
          </cell>
          <cell r="N165">
            <v>2600</v>
          </cell>
          <cell r="O165">
            <v>2600</v>
          </cell>
          <cell r="P165" t="str">
            <v/>
          </cell>
        </row>
        <row r="166">
          <cell r="B166" t="str">
            <v>000A4023</v>
          </cell>
          <cell r="C166" t="str">
            <v>PRUDENCE CLASSICO 3</v>
          </cell>
          <cell r="D166">
            <v>3796</v>
          </cell>
          <cell r="E166">
            <v>5704</v>
          </cell>
          <cell r="F166">
            <v>6870</v>
          </cell>
          <cell r="G166">
            <v>6316</v>
          </cell>
          <cell r="H166">
            <v>8000</v>
          </cell>
          <cell r="I166">
            <v>8000</v>
          </cell>
          <cell r="J166">
            <v>8000</v>
          </cell>
          <cell r="K166">
            <v>8000</v>
          </cell>
          <cell r="L166">
            <v>8000</v>
          </cell>
          <cell r="M166">
            <v>6800</v>
          </cell>
          <cell r="N166">
            <v>6800</v>
          </cell>
          <cell r="O166">
            <v>6800</v>
          </cell>
          <cell r="P166" t="str">
            <v/>
          </cell>
        </row>
        <row r="167">
          <cell r="B167" t="str">
            <v>000A4025</v>
          </cell>
          <cell r="C167" t="str">
            <v>PRUDENCE CLASSICO 8</v>
          </cell>
          <cell r="D167">
            <v>7978</v>
          </cell>
          <cell r="E167">
            <v>9019</v>
          </cell>
          <cell r="F167">
            <v>17263</v>
          </cell>
          <cell r="G167">
            <v>4873</v>
          </cell>
          <cell r="H167">
            <v>9458</v>
          </cell>
          <cell r="I167">
            <v>4674</v>
          </cell>
          <cell r="J167">
            <v>5000</v>
          </cell>
          <cell r="K167">
            <v>5000</v>
          </cell>
          <cell r="L167">
            <v>5000</v>
          </cell>
          <cell r="M167">
            <v>5000</v>
          </cell>
          <cell r="N167">
            <v>5000</v>
          </cell>
          <cell r="O167">
            <v>5000</v>
          </cell>
          <cell r="P167" t="str">
            <v/>
          </cell>
        </row>
        <row r="168">
          <cell r="B168" t="str">
            <v>000A4026</v>
          </cell>
          <cell r="C168" t="str">
            <v>PRUDENCE CLASSICO 12</v>
          </cell>
          <cell r="D168">
            <v>5773</v>
          </cell>
          <cell r="E168">
            <v>4485</v>
          </cell>
          <cell r="F168">
            <v>4731</v>
          </cell>
          <cell r="G168">
            <v>5824</v>
          </cell>
          <cell r="H168">
            <v>4866</v>
          </cell>
          <cell r="I168">
            <v>2215</v>
          </cell>
          <cell r="J168">
            <v>2600</v>
          </cell>
          <cell r="K168">
            <v>2600</v>
          </cell>
          <cell r="L168">
            <v>2600</v>
          </cell>
          <cell r="M168">
            <v>2600</v>
          </cell>
          <cell r="N168">
            <v>2600</v>
          </cell>
          <cell r="O168">
            <v>2600</v>
          </cell>
          <cell r="P168" t="str">
            <v/>
          </cell>
        </row>
        <row r="169">
          <cell r="B169" t="str">
            <v>000A4028</v>
          </cell>
          <cell r="C169" t="str">
            <v>PRUDENCE 3  THAI NIPPON</v>
          </cell>
          <cell r="D169">
            <v>1071</v>
          </cell>
          <cell r="E169">
            <v>1609</v>
          </cell>
          <cell r="F169">
            <v>1938</v>
          </cell>
          <cell r="G169">
            <v>1781</v>
          </cell>
          <cell r="H169">
            <v>1722</v>
          </cell>
          <cell r="I169">
            <v>1959</v>
          </cell>
          <cell r="J169">
            <v>2600</v>
          </cell>
          <cell r="K169">
            <v>2600</v>
          </cell>
          <cell r="L169">
            <v>2600</v>
          </cell>
          <cell r="M169">
            <v>3600</v>
          </cell>
          <cell r="N169">
            <v>3600</v>
          </cell>
          <cell r="O169">
            <v>3600</v>
          </cell>
          <cell r="P169" t="str">
            <v/>
          </cell>
        </row>
        <row r="170">
          <cell r="B170" t="str">
            <v>000A4029</v>
          </cell>
          <cell r="C170" t="str">
            <v>PRUDENCE 8 THAI NIPPON</v>
          </cell>
          <cell r="D170">
            <v>3823</v>
          </cell>
          <cell r="E170">
            <v>5721</v>
          </cell>
          <cell r="F170">
            <v>5726</v>
          </cell>
          <cell r="G170">
            <v>5886</v>
          </cell>
          <cell r="H170">
            <v>6386</v>
          </cell>
          <cell r="I170">
            <v>6816</v>
          </cell>
          <cell r="J170">
            <v>5000</v>
          </cell>
          <cell r="K170">
            <v>5000</v>
          </cell>
          <cell r="L170">
            <v>5000</v>
          </cell>
          <cell r="M170">
            <v>6000</v>
          </cell>
          <cell r="N170">
            <v>6000</v>
          </cell>
          <cell r="O170">
            <v>6000</v>
          </cell>
          <cell r="P170" t="str">
            <v/>
          </cell>
        </row>
        <row r="171">
          <cell r="B171" t="str">
            <v>000A4030</v>
          </cell>
          <cell r="C171" t="str">
            <v>PRUDENCE 12  THAI NIPPON</v>
          </cell>
          <cell r="D171">
            <v>1902</v>
          </cell>
          <cell r="E171">
            <v>2573</v>
          </cell>
          <cell r="F171">
            <v>3370</v>
          </cell>
          <cell r="G171">
            <v>2767</v>
          </cell>
          <cell r="H171">
            <v>2811</v>
          </cell>
          <cell r="I171">
            <v>3004</v>
          </cell>
          <cell r="J171">
            <v>3600</v>
          </cell>
          <cell r="K171">
            <v>3600</v>
          </cell>
          <cell r="L171">
            <v>3600</v>
          </cell>
          <cell r="M171">
            <v>4000</v>
          </cell>
          <cell r="N171">
            <v>4000</v>
          </cell>
          <cell r="O171">
            <v>4000</v>
          </cell>
          <cell r="P171" t="str">
            <v/>
          </cell>
        </row>
        <row r="172">
          <cell r="B172" t="str">
            <v>000A5014</v>
          </cell>
          <cell r="C172" t="str">
            <v>GEL PRUD MORANGO FIRE 60G</v>
          </cell>
          <cell r="D172">
            <v>82</v>
          </cell>
          <cell r="E172">
            <v>144</v>
          </cell>
          <cell r="F172">
            <v>159</v>
          </cell>
          <cell r="G172">
            <v>319</v>
          </cell>
          <cell r="H172">
            <v>391</v>
          </cell>
          <cell r="I172">
            <v>406</v>
          </cell>
          <cell r="J172">
            <v>329</v>
          </cell>
          <cell r="K172">
            <v>409</v>
          </cell>
          <cell r="L172">
            <v>358</v>
          </cell>
          <cell r="M172">
            <v>0</v>
          </cell>
          <cell r="N172">
            <v>0</v>
          </cell>
          <cell r="O172">
            <v>0</v>
          </cell>
          <cell r="P172" t="str">
            <v/>
          </cell>
        </row>
        <row r="173">
          <cell r="B173" t="str">
            <v>000A5034</v>
          </cell>
          <cell r="C173" t="str">
            <v>PRUDENCE GEL NEUTRO 100G</v>
          </cell>
          <cell r="D173">
            <v>74</v>
          </cell>
          <cell r="E173">
            <v>132</v>
          </cell>
          <cell r="F173">
            <v>140</v>
          </cell>
          <cell r="G173">
            <v>314</v>
          </cell>
          <cell r="H173">
            <v>321</v>
          </cell>
          <cell r="I173">
            <v>358</v>
          </cell>
          <cell r="J173">
            <v>329</v>
          </cell>
          <cell r="K173">
            <v>361</v>
          </cell>
          <cell r="L173">
            <v>332</v>
          </cell>
          <cell r="M173">
            <v>0</v>
          </cell>
          <cell r="N173">
            <v>0</v>
          </cell>
          <cell r="O173">
            <v>0</v>
          </cell>
          <cell r="P173" t="str">
            <v/>
          </cell>
        </row>
        <row r="174">
          <cell r="B174" t="str">
            <v>000A5035</v>
          </cell>
          <cell r="C174" t="str">
            <v>PRUDENCE GEL MORANGO 100G</v>
          </cell>
          <cell r="D174">
            <v>611</v>
          </cell>
          <cell r="E174">
            <v>685</v>
          </cell>
          <cell r="F174">
            <v>911</v>
          </cell>
          <cell r="G174">
            <v>2008</v>
          </cell>
          <cell r="H174">
            <v>1418</v>
          </cell>
          <cell r="I174">
            <v>1678</v>
          </cell>
          <cell r="J174">
            <v>1636</v>
          </cell>
          <cell r="K174">
            <v>1799</v>
          </cell>
          <cell r="L174">
            <v>1595</v>
          </cell>
          <cell r="M174">
            <v>0</v>
          </cell>
          <cell r="N174">
            <v>0</v>
          </cell>
          <cell r="O174">
            <v>0</v>
          </cell>
          <cell r="P174" t="str">
            <v/>
          </cell>
        </row>
        <row r="175">
          <cell r="B175" t="str">
            <v>000A5036</v>
          </cell>
          <cell r="C175" t="str">
            <v>GEL PRUDENCE HORTELA 100G.</v>
          </cell>
          <cell r="D175">
            <v>112</v>
          </cell>
          <cell r="E175">
            <v>175</v>
          </cell>
          <cell r="F175">
            <v>189</v>
          </cell>
          <cell r="G175">
            <v>424</v>
          </cell>
          <cell r="H175">
            <v>439</v>
          </cell>
          <cell r="I175">
            <v>464</v>
          </cell>
          <cell r="J175">
            <v>436</v>
          </cell>
          <cell r="K175">
            <v>453</v>
          </cell>
          <cell r="L175">
            <v>457</v>
          </cell>
          <cell r="M175">
            <v>0</v>
          </cell>
          <cell r="N175">
            <v>0</v>
          </cell>
          <cell r="O175">
            <v>0</v>
          </cell>
          <cell r="P175" t="str">
            <v/>
          </cell>
        </row>
        <row r="176">
          <cell r="B176" t="str">
            <v>000A5037</v>
          </cell>
          <cell r="C176" t="str">
            <v>GEL PRUDENCE CHICLETE 100 G</v>
          </cell>
          <cell r="D176">
            <v>347</v>
          </cell>
          <cell r="E176">
            <v>435</v>
          </cell>
          <cell r="F176">
            <v>567</v>
          </cell>
          <cell r="G176">
            <v>1419</v>
          </cell>
          <cell r="H176">
            <v>945</v>
          </cell>
          <cell r="I176">
            <v>1098</v>
          </cell>
          <cell r="J176">
            <v>996</v>
          </cell>
          <cell r="K176">
            <v>1109</v>
          </cell>
          <cell r="L176">
            <v>1078</v>
          </cell>
          <cell r="M176">
            <v>0</v>
          </cell>
          <cell r="N176">
            <v>0</v>
          </cell>
          <cell r="O176">
            <v>0</v>
          </cell>
          <cell r="P176" t="str">
            <v/>
          </cell>
        </row>
        <row r="177">
          <cell r="B177" t="str">
            <v>000EC0001</v>
          </cell>
          <cell r="C177" t="str">
            <v>SAYA CONTROL</v>
          </cell>
          <cell r="D177">
            <v>42000</v>
          </cell>
          <cell r="E177">
            <v>54000</v>
          </cell>
          <cell r="F177">
            <v>56000</v>
          </cell>
          <cell r="G177">
            <v>58000</v>
          </cell>
          <cell r="H177">
            <v>64300</v>
          </cell>
          <cell r="I177">
            <v>64300</v>
          </cell>
          <cell r="J177">
            <v>73400</v>
          </cell>
          <cell r="K177">
            <v>73400</v>
          </cell>
          <cell r="L177">
            <v>73400</v>
          </cell>
          <cell r="M177">
            <v>60000</v>
          </cell>
          <cell r="N177">
            <v>60000</v>
          </cell>
          <cell r="O177">
            <v>496000</v>
          </cell>
          <cell r="P177" t="str">
            <v/>
          </cell>
        </row>
        <row r="178">
          <cell r="B178" t="str">
            <v>000H1003</v>
          </cell>
          <cell r="C178" t="str">
            <v>PRUDENCE SOFTCUP</v>
          </cell>
          <cell r="D178">
            <v>689</v>
          </cell>
          <cell r="E178">
            <v>811</v>
          </cell>
          <cell r="F178">
            <v>951</v>
          </cell>
          <cell r="G178">
            <v>867</v>
          </cell>
          <cell r="H178">
            <v>909</v>
          </cell>
          <cell r="I178">
            <v>959</v>
          </cell>
          <cell r="J178">
            <v>882</v>
          </cell>
          <cell r="K178">
            <v>973</v>
          </cell>
          <cell r="L178">
            <v>1882</v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B179" t="str">
            <v>000H1013</v>
          </cell>
          <cell r="C179" t="str">
            <v>PRUDENCE INTIMA - LENCO UMEDECIDO LEVE 20,PAGUE 16</v>
          </cell>
          <cell r="D179">
            <v>425</v>
          </cell>
          <cell r="E179">
            <v>462</v>
          </cell>
          <cell r="F179">
            <v>665</v>
          </cell>
          <cell r="G179">
            <v>434</v>
          </cell>
          <cell r="H179">
            <v>426</v>
          </cell>
          <cell r="I179">
            <v>496</v>
          </cell>
          <cell r="J179">
            <v>487</v>
          </cell>
          <cell r="K179">
            <v>477</v>
          </cell>
          <cell r="L179">
            <v>425</v>
          </cell>
          <cell r="M179">
            <v>0</v>
          </cell>
          <cell r="N179">
            <v>0</v>
          </cell>
          <cell r="O179">
            <v>0</v>
          </cell>
          <cell r="P179" t="str">
            <v/>
          </cell>
        </row>
        <row r="180">
          <cell r="B180" t="str">
            <v>000IC0001</v>
          </cell>
          <cell r="C180" t="str">
            <v>LYNDAVEL UNO (AMP 25MG + CIP ESTRADIOL 5MG)</v>
          </cell>
          <cell r="D180">
            <v>4000</v>
          </cell>
          <cell r="E180">
            <v>10400</v>
          </cell>
          <cell r="F180">
            <v>12600</v>
          </cell>
          <cell r="G180">
            <v>13600</v>
          </cell>
          <cell r="H180">
            <v>13600</v>
          </cell>
          <cell r="I180">
            <v>13400</v>
          </cell>
          <cell r="J180">
            <v>14700</v>
          </cell>
          <cell r="K180">
            <v>14700</v>
          </cell>
          <cell r="L180">
            <v>14700</v>
          </cell>
          <cell r="M180">
            <v>0</v>
          </cell>
          <cell r="N180">
            <v>0</v>
          </cell>
          <cell r="O180">
            <v>0</v>
          </cell>
          <cell r="P180" t="str">
            <v/>
          </cell>
        </row>
        <row r="181">
          <cell r="B181" t="str">
            <v>000X0101</v>
          </cell>
          <cell r="C181" t="str">
            <v>ASPIRADOR IPAS MVA  AMIU PLUS</v>
          </cell>
          <cell r="D181">
            <v>864</v>
          </cell>
          <cell r="E181">
            <v>1188</v>
          </cell>
          <cell r="F181">
            <v>1210</v>
          </cell>
          <cell r="G181">
            <v>1296</v>
          </cell>
          <cell r="H181">
            <v>1058</v>
          </cell>
          <cell r="I181">
            <v>1064</v>
          </cell>
          <cell r="J181">
            <v>1058</v>
          </cell>
          <cell r="K181">
            <v>1058</v>
          </cell>
          <cell r="L181">
            <v>1058</v>
          </cell>
          <cell r="M181">
            <v>0</v>
          </cell>
          <cell r="N181">
            <v>0</v>
          </cell>
          <cell r="O181">
            <v>0</v>
          </cell>
          <cell r="P181" t="str">
            <v/>
          </cell>
        </row>
        <row r="182">
          <cell r="B182" t="str">
            <v>000X0102</v>
          </cell>
          <cell r="C182" t="str">
            <v>SR4 CANULA IPAS ENGATE RAPIDO</v>
          </cell>
          <cell r="D182">
            <v>650</v>
          </cell>
          <cell r="E182">
            <v>760</v>
          </cell>
          <cell r="F182">
            <v>650</v>
          </cell>
          <cell r="G182">
            <v>340</v>
          </cell>
          <cell r="H182">
            <v>557</v>
          </cell>
          <cell r="I182">
            <v>590</v>
          </cell>
          <cell r="J182">
            <v>700</v>
          </cell>
          <cell r="K182">
            <v>700</v>
          </cell>
          <cell r="L182">
            <v>700</v>
          </cell>
          <cell r="M182">
            <v>0</v>
          </cell>
          <cell r="N182">
            <v>0</v>
          </cell>
          <cell r="O182">
            <v>0</v>
          </cell>
          <cell r="P182" t="str">
            <v/>
          </cell>
        </row>
        <row r="183">
          <cell r="B183" t="str">
            <v>000X0103</v>
          </cell>
          <cell r="C183" t="str">
            <v>SR5 CANULA IPAS ENGATE RAPIDO</v>
          </cell>
          <cell r="D183">
            <v>586</v>
          </cell>
          <cell r="E183">
            <v>651</v>
          </cell>
          <cell r="F183">
            <v>760</v>
          </cell>
          <cell r="G183">
            <v>709</v>
          </cell>
          <cell r="H183">
            <v>716</v>
          </cell>
          <cell r="I183">
            <v>716</v>
          </cell>
          <cell r="J183">
            <v>738</v>
          </cell>
          <cell r="K183">
            <v>738</v>
          </cell>
          <cell r="L183">
            <v>716</v>
          </cell>
          <cell r="M183">
            <v>0</v>
          </cell>
          <cell r="N183">
            <v>0</v>
          </cell>
          <cell r="O183">
            <v>0</v>
          </cell>
          <cell r="P183" t="str">
            <v/>
          </cell>
        </row>
        <row r="184">
          <cell r="B184" t="str">
            <v>000X0104</v>
          </cell>
          <cell r="C184" t="str">
            <v>SR6 CANULA IPAS ENGATE RAPIDO</v>
          </cell>
          <cell r="D184">
            <v>651</v>
          </cell>
          <cell r="E184">
            <v>651</v>
          </cell>
          <cell r="F184">
            <v>760</v>
          </cell>
          <cell r="G184">
            <v>1042</v>
          </cell>
          <cell r="H184">
            <v>543</v>
          </cell>
          <cell r="I184">
            <v>521</v>
          </cell>
          <cell r="J184">
            <v>521</v>
          </cell>
          <cell r="K184">
            <v>499</v>
          </cell>
          <cell r="L184">
            <v>499</v>
          </cell>
          <cell r="M184">
            <v>0</v>
          </cell>
          <cell r="N184">
            <v>0</v>
          </cell>
          <cell r="O184">
            <v>0</v>
          </cell>
          <cell r="P184" t="str">
            <v/>
          </cell>
        </row>
        <row r="185">
          <cell r="B185" t="str">
            <v>000X0105</v>
          </cell>
          <cell r="C185" t="str">
            <v>SR7 CANULA IPAS ENGATE RAPIDO</v>
          </cell>
          <cell r="D185">
            <v>1090</v>
          </cell>
          <cell r="E185">
            <v>1308</v>
          </cell>
          <cell r="F185">
            <v>1199</v>
          </cell>
          <cell r="G185">
            <v>934</v>
          </cell>
          <cell r="H185">
            <v>981</v>
          </cell>
          <cell r="I185">
            <v>981</v>
          </cell>
          <cell r="J185">
            <v>981</v>
          </cell>
          <cell r="K185">
            <v>872</v>
          </cell>
          <cell r="L185">
            <v>872</v>
          </cell>
          <cell r="M185">
            <v>0</v>
          </cell>
          <cell r="N185">
            <v>0</v>
          </cell>
          <cell r="O185">
            <v>0</v>
          </cell>
          <cell r="P185" t="str">
            <v/>
          </cell>
        </row>
        <row r="186">
          <cell r="B186" t="str">
            <v>000X0106</v>
          </cell>
          <cell r="C186" t="str">
            <v>SR8 CANULA IPAS ENGATE RAPIDO</v>
          </cell>
          <cell r="D186">
            <v>872</v>
          </cell>
          <cell r="E186">
            <v>1090</v>
          </cell>
          <cell r="F186">
            <v>981</v>
          </cell>
          <cell r="G186">
            <v>1068</v>
          </cell>
          <cell r="H186">
            <v>1068</v>
          </cell>
          <cell r="I186">
            <v>1068</v>
          </cell>
          <cell r="J186">
            <v>959</v>
          </cell>
          <cell r="K186">
            <v>981</v>
          </cell>
          <cell r="L186">
            <v>872</v>
          </cell>
          <cell r="M186">
            <v>0</v>
          </cell>
          <cell r="N186">
            <v>0</v>
          </cell>
          <cell r="O186">
            <v>0</v>
          </cell>
          <cell r="P186" t="str">
            <v/>
          </cell>
        </row>
        <row r="187">
          <cell r="B187" t="str">
            <v>000X0107</v>
          </cell>
          <cell r="C187" t="str">
            <v>SR9 CANULA IPAS ENGATE RAPIDO</v>
          </cell>
          <cell r="D187">
            <v>654</v>
          </cell>
          <cell r="E187">
            <v>872</v>
          </cell>
          <cell r="F187">
            <v>872</v>
          </cell>
          <cell r="G187">
            <v>313</v>
          </cell>
          <cell r="H187">
            <v>654</v>
          </cell>
          <cell r="I187">
            <v>654</v>
          </cell>
          <cell r="J187">
            <v>610</v>
          </cell>
          <cell r="K187">
            <v>610</v>
          </cell>
          <cell r="L187">
            <v>610</v>
          </cell>
          <cell r="M187">
            <v>0</v>
          </cell>
          <cell r="N187">
            <v>0</v>
          </cell>
          <cell r="O187">
            <v>0</v>
          </cell>
          <cell r="P187" t="str">
            <v/>
          </cell>
        </row>
        <row r="188">
          <cell r="B188" t="str">
            <v>000X0108</v>
          </cell>
          <cell r="C188" t="str">
            <v>SR10 CANULA IPAS ENGATE RAPIDO</v>
          </cell>
          <cell r="D188">
            <v>434</v>
          </cell>
          <cell r="E188">
            <v>651</v>
          </cell>
          <cell r="F188">
            <v>651</v>
          </cell>
          <cell r="G188">
            <v>593</v>
          </cell>
          <cell r="H188">
            <v>586</v>
          </cell>
          <cell r="I188">
            <v>586</v>
          </cell>
          <cell r="J188">
            <v>586</v>
          </cell>
          <cell r="K188">
            <v>597</v>
          </cell>
          <cell r="L188">
            <v>543</v>
          </cell>
          <cell r="M188">
            <v>0</v>
          </cell>
          <cell r="N188">
            <v>0</v>
          </cell>
          <cell r="O188">
            <v>0</v>
          </cell>
          <cell r="P188" t="str">
            <v/>
          </cell>
        </row>
        <row r="189">
          <cell r="B189" t="str">
            <v>000X0109</v>
          </cell>
          <cell r="C189" t="str">
            <v>SR12 CANULA IPAS ENGATE RAPIDO</v>
          </cell>
          <cell r="D189">
            <v>217</v>
          </cell>
          <cell r="E189">
            <v>380</v>
          </cell>
          <cell r="F189">
            <v>380</v>
          </cell>
          <cell r="G189">
            <v>532</v>
          </cell>
          <cell r="H189">
            <v>416</v>
          </cell>
          <cell r="I189">
            <v>416</v>
          </cell>
          <cell r="J189">
            <v>416</v>
          </cell>
          <cell r="K189">
            <v>416</v>
          </cell>
          <cell r="L189">
            <v>416</v>
          </cell>
          <cell r="M189">
            <v>0</v>
          </cell>
          <cell r="N189">
            <v>0</v>
          </cell>
          <cell r="O189">
            <v>0</v>
          </cell>
          <cell r="P189" t="str">
            <v/>
          </cell>
        </row>
        <row r="190">
          <cell r="B190" t="str">
            <v>000XE101</v>
          </cell>
          <cell r="C190" t="str">
            <v>ASPIRADOR IPAS AMIU DVS</v>
          </cell>
          <cell r="D190">
            <v>132</v>
          </cell>
          <cell r="E190">
            <v>363</v>
          </cell>
          <cell r="F190">
            <v>266</v>
          </cell>
          <cell r="G190">
            <v>372</v>
          </cell>
          <cell r="H190">
            <v>381</v>
          </cell>
          <cell r="I190">
            <v>363</v>
          </cell>
          <cell r="J190">
            <v>363</v>
          </cell>
          <cell r="K190">
            <v>264</v>
          </cell>
          <cell r="L190">
            <v>264</v>
          </cell>
          <cell r="M190">
            <v>0</v>
          </cell>
          <cell r="N190">
            <v>0</v>
          </cell>
          <cell r="O190">
            <v>0</v>
          </cell>
          <cell r="P190" t="str">
            <v/>
          </cell>
        </row>
        <row r="191">
          <cell r="B191" t="str">
            <v>000Z0009</v>
          </cell>
          <cell r="C191" t="str">
            <v>ANDALAN COMFORT MINI CU 375</v>
          </cell>
          <cell r="D191">
            <v>310</v>
          </cell>
          <cell r="E191">
            <v>449</v>
          </cell>
          <cell r="F191">
            <v>524</v>
          </cell>
          <cell r="G191">
            <v>524</v>
          </cell>
          <cell r="H191">
            <v>589</v>
          </cell>
          <cell r="I191">
            <v>642</v>
          </cell>
          <cell r="J191">
            <v>642</v>
          </cell>
          <cell r="K191">
            <v>642</v>
          </cell>
          <cell r="L191">
            <v>610</v>
          </cell>
          <cell r="M191">
            <v>0</v>
          </cell>
          <cell r="N191">
            <v>0</v>
          </cell>
          <cell r="O191">
            <v>0</v>
          </cell>
          <cell r="P191" t="str">
            <v/>
          </cell>
        </row>
        <row r="192">
          <cell r="B192" t="str">
            <v>000Z0011</v>
          </cell>
          <cell r="C192" t="str">
            <v>ANDALAN COMFORT CU 375</v>
          </cell>
          <cell r="D192">
            <v>215</v>
          </cell>
          <cell r="E192">
            <v>376</v>
          </cell>
          <cell r="F192">
            <v>538</v>
          </cell>
          <cell r="G192">
            <v>473</v>
          </cell>
          <cell r="H192">
            <v>269</v>
          </cell>
          <cell r="I192">
            <v>323</v>
          </cell>
          <cell r="J192">
            <v>323</v>
          </cell>
          <cell r="K192">
            <v>323</v>
          </cell>
          <cell r="L192">
            <v>323</v>
          </cell>
          <cell r="M192">
            <v>0</v>
          </cell>
          <cell r="N192">
            <v>0</v>
          </cell>
          <cell r="O192">
            <v>0</v>
          </cell>
          <cell r="P192" t="str">
            <v/>
          </cell>
        </row>
        <row r="193">
          <cell r="B193" t="str">
            <v>000Z0012</v>
          </cell>
          <cell r="C193" t="str">
            <v>ANDALAN SILVERFLEX CU 380 AG</v>
          </cell>
          <cell r="D193">
            <v>1590</v>
          </cell>
          <cell r="E193">
            <v>3127</v>
          </cell>
          <cell r="F193">
            <v>2862</v>
          </cell>
          <cell r="G193">
            <v>2438</v>
          </cell>
          <cell r="H193">
            <v>2417</v>
          </cell>
          <cell r="I193">
            <v>2544</v>
          </cell>
          <cell r="J193">
            <v>2226</v>
          </cell>
          <cell r="K193">
            <v>2332</v>
          </cell>
          <cell r="L193">
            <v>2756</v>
          </cell>
          <cell r="M193">
            <v>0</v>
          </cell>
          <cell r="N193">
            <v>0</v>
          </cell>
          <cell r="O193">
            <v>0</v>
          </cell>
          <cell r="P193" t="str">
            <v/>
          </cell>
        </row>
        <row r="194">
          <cell r="B194" t="str">
            <v>000Z0013</v>
          </cell>
          <cell r="C194" t="str">
            <v>ANDALAN CLASSIC CU 380</v>
          </cell>
          <cell r="D194">
            <v>4515</v>
          </cell>
          <cell r="E194">
            <v>5268</v>
          </cell>
          <cell r="F194">
            <v>5268</v>
          </cell>
          <cell r="G194">
            <v>5483</v>
          </cell>
          <cell r="H194">
            <v>6128</v>
          </cell>
          <cell r="I194">
            <v>6128</v>
          </cell>
          <cell r="J194">
            <v>6235</v>
          </cell>
          <cell r="K194">
            <v>6128</v>
          </cell>
          <cell r="L194">
            <v>6140</v>
          </cell>
          <cell r="M194">
            <v>0</v>
          </cell>
          <cell r="N194">
            <v>0</v>
          </cell>
          <cell r="O194">
            <v>0</v>
          </cell>
          <cell r="P194" t="str">
            <v/>
          </cell>
        </row>
        <row r="195">
          <cell r="B195" t="str">
            <v>000Z0016</v>
          </cell>
          <cell r="C195" t="str">
            <v>ANDALAN SILVERFLEX MINI CU 380 AG</v>
          </cell>
          <cell r="D195">
            <v>1272</v>
          </cell>
          <cell r="E195">
            <v>1484</v>
          </cell>
          <cell r="F195">
            <v>1380</v>
          </cell>
          <cell r="G195">
            <v>1272</v>
          </cell>
          <cell r="H195">
            <v>1215</v>
          </cell>
          <cell r="I195">
            <v>1378</v>
          </cell>
          <cell r="J195">
            <v>1378</v>
          </cell>
          <cell r="K195">
            <v>1378</v>
          </cell>
          <cell r="L195">
            <v>1378</v>
          </cell>
          <cell r="M195">
            <v>0</v>
          </cell>
          <cell r="N195">
            <v>0</v>
          </cell>
          <cell r="O195">
            <v>0</v>
          </cell>
          <cell r="P195" t="str">
            <v/>
          </cell>
        </row>
        <row r="196">
          <cell r="B196" t="str">
            <v>000Z0017</v>
          </cell>
          <cell r="C196" t="str">
            <v>ANDALAN COPPERFLEX Y MINI CU 380</v>
          </cell>
          <cell r="D196">
            <v>64</v>
          </cell>
          <cell r="E196">
            <v>64</v>
          </cell>
          <cell r="F196">
            <v>64</v>
          </cell>
          <cell r="G196">
            <v>150</v>
          </cell>
          <cell r="H196">
            <v>214</v>
          </cell>
          <cell r="I196">
            <v>321</v>
          </cell>
          <cell r="J196">
            <v>321</v>
          </cell>
          <cell r="K196">
            <v>321</v>
          </cell>
          <cell r="L196">
            <v>428</v>
          </cell>
          <cell r="M196">
            <v>0</v>
          </cell>
          <cell r="N196">
            <v>0</v>
          </cell>
          <cell r="O196">
            <v>0</v>
          </cell>
          <cell r="P196" t="str">
            <v/>
          </cell>
        </row>
        <row r="197">
          <cell r="B197" t="str">
            <v>000Z0018</v>
          </cell>
          <cell r="C197" t="str">
            <v>ANDALAN COPPERFLEX Y CU 380</v>
          </cell>
          <cell r="D197">
            <v>128</v>
          </cell>
          <cell r="E197">
            <v>150</v>
          </cell>
          <cell r="F197">
            <v>150</v>
          </cell>
          <cell r="G197">
            <v>150</v>
          </cell>
          <cell r="H197">
            <v>235</v>
          </cell>
          <cell r="I197">
            <v>535</v>
          </cell>
          <cell r="J197">
            <v>535</v>
          </cell>
          <cell r="K197">
            <v>534</v>
          </cell>
          <cell r="L197">
            <v>534</v>
          </cell>
          <cell r="M197">
            <v>0</v>
          </cell>
          <cell r="N197">
            <v>0</v>
          </cell>
          <cell r="O197">
            <v>0</v>
          </cell>
          <cell r="P197" t="str">
            <v/>
          </cell>
        </row>
        <row r="198">
          <cell r="B198" t="str">
            <v>000Z0035</v>
          </cell>
          <cell r="C198" t="str">
            <v>HISTEROMETRO ANDALAN</v>
          </cell>
          <cell r="D198">
            <v>1600</v>
          </cell>
          <cell r="E198">
            <v>8072</v>
          </cell>
          <cell r="F198">
            <v>8000</v>
          </cell>
          <cell r="G198">
            <v>7200</v>
          </cell>
          <cell r="H198">
            <v>7200</v>
          </cell>
          <cell r="I198">
            <v>7200</v>
          </cell>
          <cell r="J198">
            <v>7200</v>
          </cell>
          <cell r="K198">
            <v>7200</v>
          </cell>
          <cell r="L198">
            <v>7200</v>
          </cell>
          <cell r="M198">
            <v>0</v>
          </cell>
          <cell r="N198">
            <v>0</v>
          </cell>
          <cell r="O198">
            <v>0</v>
          </cell>
          <cell r="P198" t="str">
            <v/>
          </cell>
        </row>
        <row r="199">
          <cell r="B199">
            <v>12</v>
          </cell>
          <cell r="C199" t="str">
            <v>SUTRA</v>
          </cell>
          <cell r="D199">
            <v>639</v>
          </cell>
          <cell r="E199">
            <v>715</v>
          </cell>
          <cell r="F199">
            <v>1242</v>
          </cell>
          <cell r="G199">
            <v>516</v>
          </cell>
          <cell r="H199">
            <v>661</v>
          </cell>
          <cell r="I199">
            <v>1324</v>
          </cell>
          <cell r="J199">
            <v>1423</v>
          </cell>
          <cell r="K199">
            <v>1013</v>
          </cell>
          <cell r="L199">
            <v>1261</v>
          </cell>
          <cell r="M199">
            <v>1950</v>
          </cell>
          <cell r="N199">
            <v>1950</v>
          </cell>
          <cell r="O199">
            <v>1950</v>
          </cell>
          <cell r="P199" t="str">
            <v/>
          </cell>
        </row>
        <row r="200">
          <cell r="B200">
            <v>13</v>
          </cell>
          <cell r="C200" t="str">
            <v>SUTRA MORANGO</v>
          </cell>
          <cell r="D200">
            <v>632</v>
          </cell>
          <cell r="E200">
            <v>722</v>
          </cell>
          <cell r="F200">
            <v>1118</v>
          </cell>
          <cell r="G200">
            <v>644</v>
          </cell>
          <cell r="H200">
            <v>708</v>
          </cell>
          <cell r="I200">
            <v>1209</v>
          </cell>
          <cell r="J200">
            <v>1086</v>
          </cell>
          <cell r="K200">
            <v>922</v>
          </cell>
          <cell r="L200">
            <v>1305</v>
          </cell>
          <cell r="M200">
            <v>2250</v>
          </cell>
          <cell r="N200">
            <v>2250</v>
          </cell>
          <cell r="O200">
            <v>2250</v>
          </cell>
          <cell r="P200" t="str">
            <v/>
          </cell>
        </row>
        <row r="201">
          <cell r="B201">
            <v>14</v>
          </cell>
          <cell r="C201" t="str">
            <v>SUTRA HORTELA</v>
          </cell>
          <cell r="D201">
            <v>555</v>
          </cell>
          <cell r="E201">
            <v>647</v>
          </cell>
          <cell r="F201">
            <v>1092</v>
          </cell>
          <cell r="G201">
            <v>825</v>
          </cell>
          <cell r="H201">
            <v>439</v>
          </cell>
          <cell r="I201">
            <v>796</v>
          </cell>
          <cell r="J201">
            <v>1200</v>
          </cell>
          <cell r="K201">
            <v>1200</v>
          </cell>
          <cell r="L201">
            <v>1200</v>
          </cell>
          <cell r="M201">
            <v>1500</v>
          </cell>
          <cell r="N201">
            <v>1500</v>
          </cell>
          <cell r="O201">
            <v>1500</v>
          </cell>
          <cell r="P201" t="str">
            <v/>
          </cell>
        </row>
        <row r="202">
          <cell r="B202">
            <v>17</v>
          </cell>
          <cell r="C202" t="str">
            <v>SUTRA SENSITIVE</v>
          </cell>
          <cell r="D202">
            <v>1368</v>
          </cell>
          <cell r="E202">
            <v>828</v>
          </cell>
          <cell r="F202">
            <v>1133</v>
          </cell>
          <cell r="G202">
            <v>426</v>
          </cell>
          <cell r="H202">
            <v>608</v>
          </cell>
          <cell r="I202">
            <v>478</v>
          </cell>
          <cell r="J202">
            <v>900</v>
          </cell>
          <cell r="K202">
            <v>900</v>
          </cell>
          <cell r="L202">
            <v>900</v>
          </cell>
          <cell r="M202">
            <v>900</v>
          </cell>
          <cell r="N202">
            <v>900</v>
          </cell>
          <cell r="O202">
            <v>900</v>
          </cell>
          <cell r="P202" t="str">
            <v/>
          </cell>
        </row>
        <row r="203">
          <cell r="B203" t="str">
            <v>000A1001</v>
          </cell>
          <cell r="C203" t="str">
            <v>PRUDENCE C S MORANGO</v>
          </cell>
          <cell r="D203">
            <v>2829</v>
          </cell>
          <cell r="E203">
            <v>2424</v>
          </cell>
          <cell r="F203">
            <v>2713</v>
          </cell>
          <cell r="G203">
            <v>3678</v>
          </cell>
          <cell r="H203">
            <v>3273</v>
          </cell>
          <cell r="I203">
            <v>3825</v>
          </cell>
          <cell r="J203">
            <v>4529</v>
          </cell>
          <cell r="K203">
            <v>4964</v>
          </cell>
          <cell r="L203">
            <v>4809</v>
          </cell>
          <cell r="M203">
            <v>3838</v>
          </cell>
          <cell r="N203">
            <v>2439</v>
          </cell>
          <cell r="O203">
            <v>1517</v>
          </cell>
          <cell r="P203">
            <v>3035</v>
          </cell>
        </row>
        <row r="204">
          <cell r="B204" t="str">
            <v>000A1002</v>
          </cell>
          <cell r="C204" t="str">
            <v>PRUDENCE C S HORTELA</v>
          </cell>
          <cell r="D204">
            <v>1488</v>
          </cell>
          <cell r="E204">
            <v>1397</v>
          </cell>
          <cell r="F204">
            <v>1272</v>
          </cell>
          <cell r="G204">
            <v>2412</v>
          </cell>
          <cell r="H204">
            <v>1316</v>
          </cell>
          <cell r="I204">
            <v>1479</v>
          </cell>
          <cell r="J204">
            <v>2208</v>
          </cell>
          <cell r="K204">
            <v>2208</v>
          </cell>
          <cell r="L204">
            <v>2208</v>
          </cell>
          <cell r="M204">
            <v>2208</v>
          </cell>
          <cell r="N204">
            <v>2208</v>
          </cell>
          <cell r="O204">
            <v>5040</v>
          </cell>
          <cell r="P204">
            <v>1597</v>
          </cell>
        </row>
        <row r="205">
          <cell r="B205" t="str">
            <v>000A1003</v>
          </cell>
          <cell r="C205" t="str">
            <v>PRUDENCE C S UVA</v>
          </cell>
          <cell r="D205">
            <v>1439</v>
          </cell>
          <cell r="E205">
            <v>1346</v>
          </cell>
          <cell r="F205">
            <v>1202</v>
          </cell>
          <cell r="G205">
            <v>2306</v>
          </cell>
          <cell r="H205">
            <v>1312</v>
          </cell>
          <cell r="I205">
            <v>1453</v>
          </cell>
          <cell r="J205">
            <v>3073</v>
          </cell>
          <cell r="K205">
            <v>2366</v>
          </cell>
          <cell r="L205">
            <v>3263</v>
          </cell>
          <cell r="M205">
            <v>1459</v>
          </cell>
          <cell r="N205">
            <v>3983</v>
          </cell>
          <cell r="O205">
            <v>4616</v>
          </cell>
          <cell r="P205">
            <v>1544</v>
          </cell>
        </row>
        <row r="206">
          <cell r="B206" t="str">
            <v>000A1004</v>
          </cell>
          <cell r="C206" t="str">
            <v>PRUDENCE C S CHOCOLATE</v>
          </cell>
          <cell r="D206">
            <v>120</v>
          </cell>
          <cell r="E206">
            <v>622</v>
          </cell>
          <cell r="F206">
            <v>733</v>
          </cell>
          <cell r="G206">
            <v>751</v>
          </cell>
          <cell r="H206">
            <v>791</v>
          </cell>
          <cell r="I206">
            <v>588</v>
          </cell>
          <cell r="J206">
            <v>1148</v>
          </cell>
          <cell r="K206">
            <v>1422</v>
          </cell>
          <cell r="L206">
            <v>1219</v>
          </cell>
          <cell r="M206">
            <v>590</v>
          </cell>
          <cell r="N206">
            <v>176</v>
          </cell>
          <cell r="O206">
            <v>1843</v>
          </cell>
          <cell r="P206">
            <v>129</v>
          </cell>
        </row>
        <row r="207">
          <cell r="B207" t="str">
            <v>000A1006</v>
          </cell>
          <cell r="C207" t="str">
            <v>PRUDENCE C S TUTTI-FRUTTI</v>
          </cell>
          <cell r="D207">
            <v>660</v>
          </cell>
          <cell r="E207">
            <v>1024</v>
          </cell>
          <cell r="F207">
            <v>1211</v>
          </cell>
          <cell r="G207">
            <v>1484</v>
          </cell>
          <cell r="H207">
            <v>830</v>
          </cell>
          <cell r="I207">
            <v>1689</v>
          </cell>
          <cell r="J207">
            <v>1737</v>
          </cell>
          <cell r="K207">
            <v>1945</v>
          </cell>
          <cell r="L207">
            <v>1844</v>
          </cell>
          <cell r="M207">
            <v>1694</v>
          </cell>
          <cell r="N207">
            <v>1075</v>
          </cell>
          <cell r="O207">
            <v>2471</v>
          </cell>
          <cell r="P207">
            <v>708</v>
          </cell>
        </row>
        <row r="208">
          <cell r="B208" t="str">
            <v>000A1012</v>
          </cell>
          <cell r="C208" t="str">
            <v>PRUDENCE C S MELANCIA</v>
          </cell>
          <cell r="D208">
            <v>126</v>
          </cell>
          <cell r="E208">
            <v>707</v>
          </cell>
          <cell r="F208">
            <v>441</v>
          </cell>
          <cell r="G208">
            <v>460</v>
          </cell>
          <cell r="H208">
            <v>1177</v>
          </cell>
          <cell r="I208">
            <v>1273</v>
          </cell>
          <cell r="J208">
            <v>74</v>
          </cell>
          <cell r="K208">
            <v>1016</v>
          </cell>
          <cell r="L208">
            <v>79</v>
          </cell>
          <cell r="M208">
            <v>1277</v>
          </cell>
          <cell r="N208">
            <v>492</v>
          </cell>
          <cell r="O208">
            <v>1480</v>
          </cell>
          <cell r="P208">
            <v>135</v>
          </cell>
        </row>
        <row r="209">
          <cell r="B209" t="str">
            <v>000A1017</v>
          </cell>
          <cell r="C209" t="str">
            <v>PRUDENCE C S MORANGAO</v>
          </cell>
          <cell r="D209">
            <v>23</v>
          </cell>
          <cell r="E209">
            <v>81</v>
          </cell>
          <cell r="F209">
            <v>371</v>
          </cell>
          <cell r="G209">
            <v>521</v>
          </cell>
          <cell r="H209">
            <v>298</v>
          </cell>
          <cell r="I209">
            <v>418</v>
          </cell>
          <cell r="J209">
            <v>113</v>
          </cell>
          <cell r="K209">
            <v>113</v>
          </cell>
          <cell r="L209">
            <v>120</v>
          </cell>
          <cell r="M209">
            <v>420</v>
          </cell>
          <cell r="N209">
            <v>1406</v>
          </cell>
          <cell r="O209">
            <v>1366</v>
          </cell>
          <cell r="P209">
            <v>25</v>
          </cell>
        </row>
        <row r="210">
          <cell r="B210" t="str">
            <v>000A1019</v>
          </cell>
          <cell r="C210" t="str">
            <v>PRUDENCE C S CHICLETE</v>
          </cell>
          <cell r="D210">
            <v>786</v>
          </cell>
          <cell r="E210">
            <v>530</v>
          </cell>
          <cell r="F210">
            <v>978</v>
          </cell>
          <cell r="G210">
            <v>1235</v>
          </cell>
          <cell r="H210">
            <v>844</v>
          </cell>
          <cell r="I210">
            <v>620</v>
          </cell>
          <cell r="J210">
            <v>956</v>
          </cell>
          <cell r="K210">
            <v>1143</v>
          </cell>
          <cell r="L210">
            <v>1015</v>
          </cell>
          <cell r="M210">
            <v>622</v>
          </cell>
          <cell r="N210">
            <v>868</v>
          </cell>
          <cell r="O210">
            <v>789</v>
          </cell>
          <cell r="P210">
            <v>844</v>
          </cell>
        </row>
        <row r="211">
          <cell r="B211" t="str">
            <v>000A1021</v>
          </cell>
          <cell r="C211" t="str">
            <v>PRUDENCE C S MORANGO C/6</v>
          </cell>
          <cell r="D211">
            <v>659</v>
          </cell>
          <cell r="E211">
            <v>15</v>
          </cell>
          <cell r="F211">
            <v>1634</v>
          </cell>
          <cell r="G211">
            <v>1855</v>
          </cell>
          <cell r="H211">
            <v>708</v>
          </cell>
          <cell r="I211">
            <v>1082</v>
          </cell>
          <cell r="J211">
            <v>1224</v>
          </cell>
          <cell r="K211">
            <v>1324</v>
          </cell>
          <cell r="L211">
            <v>1300</v>
          </cell>
          <cell r="M211">
            <v>1086</v>
          </cell>
          <cell r="N211">
            <v>523</v>
          </cell>
          <cell r="O211">
            <v>373</v>
          </cell>
          <cell r="P211">
            <v>707</v>
          </cell>
        </row>
        <row r="212">
          <cell r="B212" t="str">
            <v>000A1025</v>
          </cell>
          <cell r="C212" t="str">
            <v>PRUDENCE C S CAIPIRINHA</v>
          </cell>
          <cell r="D212">
            <v>329</v>
          </cell>
          <cell r="E212">
            <v>829</v>
          </cell>
          <cell r="F212">
            <v>736</v>
          </cell>
          <cell r="G212">
            <v>332</v>
          </cell>
          <cell r="H212">
            <v>396</v>
          </cell>
          <cell r="I212">
            <v>685</v>
          </cell>
          <cell r="J212">
            <v>858</v>
          </cell>
          <cell r="K212">
            <v>1002</v>
          </cell>
          <cell r="L212">
            <v>911</v>
          </cell>
          <cell r="M212">
            <v>688</v>
          </cell>
          <cell r="N212">
            <v>420</v>
          </cell>
          <cell r="O212">
            <v>430</v>
          </cell>
          <cell r="P212">
            <v>353</v>
          </cell>
        </row>
        <row r="213">
          <cell r="B213" t="str">
            <v>000A1028</v>
          </cell>
          <cell r="C213" t="str">
            <v>PRUDENCE C S MIX/FLOWPACK</v>
          </cell>
          <cell r="D213">
            <v>630</v>
          </cell>
          <cell r="E213">
            <v>243</v>
          </cell>
          <cell r="F213">
            <v>539</v>
          </cell>
          <cell r="G213">
            <v>439</v>
          </cell>
          <cell r="H213">
            <v>166</v>
          </cell>
          <cell r="I213">
            <v>361</v>
          </cell>
          <cell r="J213">
            <v>879</v>
          </cell>
          <cell r="K213">
            <v>499</v>
          </cell>
          <cell r="L213">
            <v>933</v>
          </cell>
          <cell r="M213">
            <v>363</v>
          </cell>
          <cell r="N213">
            <v>493</v>
          </cell>
          <cell r="O213">
            <v>694</v>
          </cell>
          <cell r="P213">
            <v>676</v>
          </cell>
        </row>
        <row r="214">
          <cell r="B214" t="str">
            <v>000A1031</v>
          </cell>
          <cell r="C214" t="str">
            <v>PRUDENCE C S MIX LEVE 8 PAGUE 6</v>
          </cell>
          <cell r="D214">
            <v>1239</v>
          </cell>
          <cell r="E214">
            <v>1894</v>
          </cell>
          <cell r="F214">
            <v>1572</v>
          </cell>
          <cell r="G214">
            <v>2399</v>
          </cell>
          <cell r="H214">
            <v>2087</v>
          </cell>
          <cell r="I214">
            <v>1452</v>
          </cell>
          <cell r="J214">
            <v>1884</v>
          </cell>
          <cell r="K214">
            <v>944</v>
          </cell>
          <cell r="L214">
            <v>2000</v>
          </cell>
          <cell r="M214">
            <v>1458</v>
          </cell>
          <cell r="N214">
            <v>1286</v>
          </cell>
          <cell r="O214">
            <v>2309</v>
          </cell>
          <cell r="P214">
            <v>1330</v>
          </cell>
        </row>
        <row r="215">
          <cell r="B215" t="str">
            <v>000A1034</v>
          </cell>
          <cell r="C215" t="str">
            <v>PRUDENCE C S MIX TROPICAL L8P6</v>
          </cell>
          <cell r="D215">
            <v>716</v>
          </cell>
          <cell r="E215">
            <v>721</v>
          </cell>
          <cell r="F215">
            <v>714</v>
          </cell>
          <cell r="G215">
            <v>730</v>
          </cell>
          <cell r="H215">
            <v>769</v>
          </cell>
          <cell r="I215">
            <v>765</v>
          </cell>
          <cell r="J215">
            <v>740</v>
          </cell>
          <cell r="K215">
            <v>771</v>
          </cell>
          <cell r="L215">
            <v>785</v>
          </cell>
          <cell r="M215">
            <v>768</v>
          </cell>
          <cell r="N215">
            <v>693</v>
          </cell>
          <cell r="O215">
            <v>712</v>
          </cell>
          <cell r="P215">
            <v>768</v>
          </cell>
        </row>
        <row r="216">
          <cell r="B216" t="str">
            <v>000A2001</v>
          </cell>
          <cell r="C216" t="str">
            <v>PRUDENCE ULTRA SENSIVEL</v>
          </cell>
          <cell r="D216">
            <v>1470</v>
          </cell>
          <cell r="E216">
            <v>2095</v>
          </cell>
          <cell r="F216">
            <v>2258</v>
          </cell>
          <cell r="G216">
            <v>1299</v>
          </cell>
          <cell r="H216">
            <v>2302</v>
          </cell>
          <cell r="I216">
            <v>1877</v>
          </cell>
          <cell r="J216">
            <v>2472</v>
          </cell>
          <cell r="K216">
            <v>3088</v>
          </cell>
          <cell r="L216">
            <v>2625</v>
          </cell>
          <cell r="M216">
            <v>1883</v>
          </cell>
          <cell r="N216">
            <v>1462</v>
          </cell>
          <cell r="O216">
            <v>3132</v>
          </cell>
          <cell r="P216">
            <v>1577</v>
          </cell>
        </row>
        <row r="217">
          <cell r="B217" t="str">
            <v>000A2005</v>
          </cell>
          <cell r="C217" t="str">
            <v>PRUDENCE ULTRA SENSIVEL LEVE 8 PAGUE 6</v>
          </cell>
          <cell r="D217">
            <v>4802</v>
          </cell>
          <cell r="E217">
            <v>5125</v>
          </cell>
          <cell r="F217">
            <v>5000</v>
          </cell>
          <cell r="G217">
            <v>4217</v>
          </cell>
          <cell r="H217">
            <v>4552</v>
          </cell>
          <cell r="I217">
            <v>5556</v>
          </cell>
          <cell r="J217">
            <v>6054</v>
          </cell>
          <cell r="K217">
            <v>6392</v>
          </cell>
          <cell r="L217">
            <v>6427</v>
          </cell>
          <cell r="M217">
            <v>5575</v>
          </cell>
          <cell r="N217">
            <v>4908</v>
          </cell>
          <cell r="O217">
            <v>6881</v>
          </cell>
          <cell r="P217">
            <v>5152</v>
          </cell>
        </row>
        <row r="218">
          <cell r="B218" t="str">
            <v>000A2007</v>
          </cell>
          <cell r="C218" t="str">
            <v>PRUDENCE SUPER SENSITIVE</v>
          </cell>
          <cell r="D218">
            <v>1154</v>
          </cell>
          <cell r="E218">
            <v>961</v>
          </cell>
          <cell r="F218">
            <v>801</v>
          </cell>
          <cell r="G218">
            <v>1122</v>
          </cell>
          <cell r="H218">
            <v>1044</v>
          </cell>
          <cell r="I218">
            <v>1415</v>
          </cell>
          <cell r="J218">
            <v>1132</v>
          </cell>
          <cell r="K218">
            <v>1126</v>
          </cell>
          <cell r="L218">
            <v>1202</v>
          </cell>
          <cell r="M218">
            <v>1420</v>
          </cell>
          <cell r="N218">
            <v>1075</v>
          </cell>
          <cell r="O218">
            <v>1174</v>
          </cell>
          <cell r="P218">
            <v>1238</v>
          </cell>
        </row>
        <row r="219">
          <cell r="B219" t="str">
            <v>000A2011</v>
          </cell>
          <cell r="C219" t="str">
            <v>PRUDENCE SENSACOES SENSITIVE RETARDANTE 3</v>
          </cell>
          <cell r="D219">
            <v>352</v>
          </cell>
          <cell r="E219">
            <v>105</v>
          </cell>
          <cell r="F219">
            <v>141</v>
          </cell>
          <cell r="G219">
            <v>893</v>
          </cell>
          <cell r="H219">
            <v>180</v>
          </cell>
          <cell r="I219">
            <v>91</v>
          </cell>
          <cell r="J219">
            <v>60</v>
          </cell>
          <cell r="K219">
            <v>780</v>
          </cell>
          <cell r="L219">
            <v>63</v>
          </cell>
          <cell r="M219">
            <v>92</v>
          </cell>
          <cell r="N219">
            <v>150</v>
          </cell>
          <cell r="O219">
            <v>491</v>
          </cell>
          <cell r="P219">
            <v>378</v>
          </cell>
        </row>
        <row r="220">
          <cell r="B220" t="str">
            <v>000A2014</v>
          </cell>
          <cell r="C220" t="str">
            <v>PRUDENCE SUPER SENSITIVE L8P6</v>
          </cell>
          <cell r="D220">
            <v>4258</v>
          </cell>
          <cell r="E220">
            <v>4388</v>
          </cell>
          <cell r="F220">
            <v>4450</v>
          </cell>
          <cell r="G220">
            <v>4646</v>
          </cell>
          <cell r="H220">
            <v>5000</v>
          </cell>
          <cell r="I220">
            <v>5081</v>
          </cell>
          <cell r="J220">
            <v>5006</v>
          </cell>
          <cell r="K220">
            <v>5319</v>
          </cell>
          <cell r="L220">
            <v>5315</v>
          </cell>
          <cell r="M220">
            <v>5099</v>
          </cell>
          <cell r="N220">
            <v>3918</v>
          </cell>
          <cell r="O220">
            <v>4021</v>
          </cell>
          <cell r="P220">
            <v>4568</v>
          </cell>
        </row>
        <row r="221">
          <cell r="B221" t="str">
            <v>000A2015</v>
          </cell>
          <cell r="C221" t="str">
            <v>PRUDENCE SUPER SENSITIVE L12P10</v>
          </cell>
          <cell r="D221">
            <v>1586</v>
          </cell>
          <cell r="E221">
            <v>1874</v>
          </cell>
          <cell r="F221">
            <v>2135</v>
          </cell>
          <cell r="G221">
            <v>2452</v>
          </cell>
          <cell r="H221">
            <v>2871</v>
          </cell>
          <cell r="I221">
            <v>3140</v>
          </cell>
          <cell r="J221">
            <v>3293</v>
          </cell>
          <cell r="K221">
            <v>3705</v>
          </cell>
          <cell r="L221">
            <v>3495</v>
          </cell>
          <cell r="M221">
            <v>3151</v>
          </cell>
          <cell r="N221">
            <v>984</v>
          </cell>
          <cell r="O221">
            <v>1164</v>
          </cell>
          <cell r="P221">
            <v>1702</v>
          </cell>
        </row>
        <row r="222">
          <cell r="B222" t="str">
            <v>000A2018</v>
          </cell>
          <cell r="C222" t="str">
            <v>PRUDENCE SUPER SENSITIVE INTENSE 3</v>
          </cell>
          <cell r="D222">
            <v>475</v>
          </cell>
          <cell r="E222">
            <v>495</v>
          </cell>
          <cell r="F222">
            <v>497</v>
          </cell>
          <cell r="G222">
            <v>479</v>
          </cell>
          <cell r="H222">
            <v>489</v>
          </cell>
          <cell r="I222">
            <v>489</v>
          </cell>
          <cell r="J222">
            <v>474</v>
          </cell>
          <cell r="K222">
            <v>492</v>
          </cell>
          <cell r="L222">
            <v>492</v>
          </cell>
          <cell r="M222">
            <v>494</v>
          </cell>
          <cell r="N222">
            <v>495</v>
          </cell>
          <cell r="O222">
            <v>486</v>
          </cell>
          <cell r="P222">
            <v>510</v>
          </cell>
        </row>
        <row r="223">
          <cell r="B223" t="str">
            <v>000A2019</v>
          </cell>
          <cell r="C223" t="str">
            <v>PRUDENCE SUPER SENSITIVE INTENSE 6</v>
          </cell>
          <cell r="D223">
            <v>806</v>
          </cell>
          <cell r="E223">
            <v>885</v>
          </cell>
          <cell r="F223">
            <v>782</v>
          </cell>
          <cell r="G223">
            <v>936</v>
          </cell>
          <cell r="H223">
            <v>958</v>
          </cell>
          <cell r="I223">
            <v>732</v>
          </cell>
          <cell r="J223">
            <v>719</v>
          </cell>
          <cell r="K223">
            <v>811</v>
          </cell>
          <cell r="L223">
            <v>911</v>
          </cell>
          <cell r="M223">
            <v>843</v>
          </cell>
          <cell r="N223">
            <v>902</v>
          </cell>
          <cell r="O223">
            <v>754</v>
          </cell>
          <cell r="P223">
            <v>865</v>
          </cell>
        </row>
        <row r="224">
          <cell r="B224" t="str">
            <v>000A3005</v>
          </cell>
          <cell r="C224" t="str">
            <v>PRUDENCE EFEITO RETARDANTE</v>
          </cell>
          <cell r="D224">
            <v>1823</v>
          </cell>
          <cell r="E224">
            <v>958</v>
          </cell>
          <cell r="F224">
            <v>368</v>
          </cell>
          <cell r="G224">
            <v>3943</v>
          </cell>
          <cell r="H224">
            <v>2237</v>
          </cell>
          <cell r="I224">
            <v>2956</v>
          </cell>
          <cell r="J224">
            <v>2331</v>
          </cell>
          <cell r="K224">
            <v>1861</v>
          </cell>
          <cell r="L224">
            <v>2474</v>
          </cell>
          <cell r="M224">
            <v>2965</v>
          </cell>
          <cell r="N224">
            <v>1093</v>
          </cell>
          <cell r="O224">
            <v>2614</v>
          </cell>
          <cell r="P224">
            <v>1956</v>
          </cell>
        </row>
        <row r="225">
          <cell r="B225" t="str">
            <v>000A3009</v>
          </cell>
          <cell r="C225" t="str">
            <v>PRUDENCE EFEITO RETARDANTE L8P6</v>
          </cell>
          <cell r="D225">
            <v>1439</v>
          </cell>
          <cell r="E225">
            <v>1981</v>
          </cell>
          <cell r="F225">
            <v>4542</v>
          </cell>
          <cell r="G225">
            <v>2139</v>
          </cell>
          <cell r="H225">
            <v>1364</v>
          </cell>
          <cell r="I225">
            <v>1773</v>
          </cell>
          <cell r="J225">
            <v>2603</v>
          </cell>
          <cell r="K225">
            <v>2724</v>
          </cell>
          <cell r="L225">
            <v>2763</v>
          </cell>
          <cell r="M225">
            <v>1779</v>
          </cell>
          <cell r="N225">
            <v>2116</v>
          </cell>
          <cell r="O225">
            <v>2431</v>
          </cell>
          <cell r="P225">
            <v>1544</v>
          </cell>
        </row>
        <row r="226">
          <cell r="B226" t="str">
            <v>000A3014</v>
          </cell>
          <cell r="C226" t="str">
            <v>PRUDENCE EXTRA TEXTURIZADO C/6</v>
          </cell>
          <cell r="D226">
            <v>56</v>
          </cell>
          <cell r="E226">
            <v>217</v>
          </cell>
          <cell r="F226">
            <v>262</v>
          </cell>
          <cell r="G226">
            <v>276</v>
          </cell>
          <cell r="H226">
            <v>395</v>
          </cell>
          <cell r="I226">
            <v>219</v>
          </cell>
          <cell r="J226">
            <v>344</v>
          </cell>
          <cell r="K226">
            <v>310</v>
          </cell>
          <cell r="L226">
            <v>365</v>
          </cell>
          <cell r="M226">
            <v>220</v>
          </cell>
          <cell r="N226">
            <v>49</v>
          </cell>
          <cell r="O226">
            <v>434</v>
          </cell>
          <cell r="P226">
            <v>60</v>
          </cell>
        </row>
        <row r="227">
          <cell r="B227" t="str">
            <v>000A3018</v>
          </cell>
          <cell r="C227" t="str">
            <v>PRUDENCE SENSACOES TEXTURIZADO RETARDANTE C/6</v>
          </cell>
          <cell r="D227">
            <v>401</v>
          </cell>
          <cell r="E227">
            <v>266</v>
          </cell>
          <cell r="F227">
            <v>182</v>
          </cell>
          <cell r="G227">
            <v>361</v>
          </cell>
          <cell r="H227">
            <v>320</v>
          </cell>
          <cell r="I227">
            <v>241</v>
          </cell>
          <cell r="J227">
            <v>313</v>
          </cell>
          <cell r="K227">
            <v>400</v>
          </cell>
          <cell r="L227">
            <v>332</v>
          </cell>
          <cell r="M227">
            <v>241</v>
          </cell>
          <cell r="N227">
            <v>190</v>
          </cell>
          <cell r="O227">
            <v>437</v>
          </cell>
          <cell r="P227">
            <v>431</v>
          </cell>
        </row>
        <row r="228">
          <cell r="B228" t="str">
            <v>000A3050</v>
          </cell>
          <cell r="C228" t="str">
            <v>PRUDENCE NEON</v>
          </cell>
          <cell r="D228">
            <v>284</v>
          </cell>
          <cell r="E228">
            <v>106</v>
          </cell>
          <cell r="F228">
            <v>244</v>
          </cell>
          <cell r="G228">
            <v>198</v>
          </cell>
          <cell r="H228">
            <v>324</v>
          </cell>
          <cell r="I228">
            <v>126</v>
          </cell>
          <cell r="J228">
            <v>231</v>
          </cell>
          <cell r="K228">
            <v>301</v>
          </cell>
          <cell r="L228">
            <v>246</v>
          </cell>
          <cell r="M228">
            <v>126</v>
          </cell>
          <cell r="N228">
            <v>403</v>
          </cell>
          <cell r="O228">
            <v>351</v>
          </cell>
          <cell r="P228">
            <v>305</v>
          </cell>
        </row>
        <row r="229">
          <cell r="B229" t="str">
            <v>000A4005</v>
          </cell>
          <cell r="C229" t="str">
            <v>PRUDENCE ULTRA RESISTENTE</v>
          </cell>
          <cell r="D229">
            <v>88</v>
          </cell>
          <cell r="E229">
            <v>227</v>
          </cell>
          <cell r="F229">
            <v>94</v>
          </cell>
          <cell r="G229">
            <v>231</v>
          </cell>
          <cell r="H229">
            <v>306</v>
          </cell>
          <cell r="I229">
            <v>220</v>
          </cell>
          <cell r="J229">
            <v>231</v>
          </cell>
          <cell r="K229">
            <v>180</v>
          </cell>
          <cell r="L229">
            <v>246</v>
          </cell>
          <cell r="M229">
            <v>221</v>
          </cell>
          <cell r="N229">
            <v>39</v>
          </cell>
          <cell r="O229">
            <v>134</v>
          </cell>
          <cell r="P229">
            <v>95</v>
          </cell>
        </row>
        <row r="230">
          <cell r="B230" t="str">
            <v>000A4010</v>
          </cell>
          <cell r="C230" t="str">
            <v>PRUDENCE EXTRA GRANDE</v>
          </cell>
          <cell r="D230">
            <v>1419</v>
          </cell>
          <cell r="E230">
            <v>672</v>
          </cell>
          <cell r="F230">
            <v>1131</v>
          </cell>
          <cell r="G230">
            <v>1082</v>
          </cell>
          <cell r="H230">
            <v>2018</v>
          </cell>
          <cell r="I230">
            <v>905</v>
          </cell>
          <cell r="J230">
            <v>1082</v>
          </cell>
          <cell r="K230">
            <v>638</v>
          </cell>
          <cell r="L230">
            <v>1149</v>
          </cell>
          <cell r="M230">
            <v>909</v>
          </cell>
          <cell r="N230">
            <v>249</v>
          </cell>
          <cell r="O230">
            <v>1248</v>
          </cell>
          <cell r="P230">
            <v>1522</v>
          </cell>
        </row>
        <row r="231">
          <cell r="B231" t="str">
            <v>000A4012</v>
          </cell>
          <cell r="C231" t="str">
            <v>PRUCENCE EXTRA GDE ULTRA SENSIVEL C/3</v>
          </cell>
          <cell r="D231">
            <v>329</v>
          </cell>
          <cell r="E231">
            <v>399</v>
          </cell>
          <cell r="F231">
            <v>299</v>
          </cell>
          <cell r="G231">
            <v>323</v>
          </cell>
          <cell r="H231">
            <v>797</v>
          </cell>
          <cell r="I231">
            <v>466</v>
          </cell>
          <cell r="J231">
            <v>366</v>
          </cell>
          <cell r="K231">
            <v>354</v>
          </cell>
          <cell r="L231">
            <v>389</v>
          </cell>
          <cell r="M231">
            <v>467</v>
          </cell>
          <cell r="N231">
            <v>202</v>
          </cell>
          <cell r="O231">
            <v>343</v>
          </cell>
          <cell r="P231">
            <v>353</v>
          </cell>
        </row>
        <row r="232">
          <cell r="B232" t="str">
            <v>000A4013</v>
          </cell>
          <cell r="C232" t="str">
            <v>PRUDENCE EXTRA GDE ULTRA SENSIVEL L8P6</v>
          </cell>
          <cell r="D232">
            <v>2244</v>
          </cell>
          <cell r="E232">
            <v>3149</v>
          </cell>
          <cell r="F232">
            <v>2340</v>
          </cell>
          <cell r="G232">
            <v>2349</v>
          </cell>
          <cell r="H232">
            <v>2809</v>
          </cell>
          <cell r="I232">
            <v>2989</v>
          </cell>
          <cell r="J232">
            <v>3594</v>
          </cell>
          <cell r="K232">
            <v>2360</v>
          </cell>
          <cell r="L232">
            <v>3816</v>
          </cell>
          <cell r="M232">
            <v>3000</v>
          </cell>
          <cell r="N232">
            <v>2445</v>
          </cell>
          <cell r="O232">
            <v>3726</v>
          </cell>
          <cell r="P232">
            <v>2407</v>
          </cell>
        </row>
        <row r="233">
          <cell r="B233" t="str">
            <v>000A4023</v>
          </cell>
          <cell r="C233" t="str">
            <v>PRUDENCE CLASSICO 3</v>
          </cell>
          <cell r="D233">
            <v>7942</v>
          </cell>
          <cell r="E233">
            <v>3492</v>
          </cell>
          <cell r="F233">
            <v>3799</v>
          </cell>
          <cell r="G233">
            <v>5116</v>
          </cell>
          <cell r="H233">
            <v>5335</v>
          </cell>
          <cell r="I233">
            <v>7017</v>
          </cell>
          <cell r="J233">
            <v>3664</v>
          </cell>
          <cell r="K233">
            <v>8082</v>
          </cell>
          <cell r="L233">
            <v>3890</v>
          </cell>
          <cell r="M233">
            <v>7041</v>
          </cell>
          <cell r="N233">
            <v>9088</v>
          </cell>
          <cell r="O233">
            <v>8745</v>
          </cell>
          <cell r="P233">
            <v>8521</v>
          </cell>
        </row>
        <row r="234">
          <cell r="B234" t="str">
            <v>000A4025</v>
          </cell>
          <cell r="C234" t="str">
            <v>PRUDENCE CLASSICO 8</v>
          </cell>
          <cell r="D234">
            <v>3184</v>
          </cell>
          <cell r="E234">
            <v>3588</v>
          </cell>
          <cell r="F234">
            <v>6734</v>
          </cell>
          <cell r="G234">
            <v>1923</v>
          </cell>
          <cell r="H234">
            <v>3891</v>
          </cell>
          <cell r="I234">
            <v>1895</v>
          </cell>
          <cell r="J234">
            <v>4365</v>
          </cell>
          <cell r="K234">
            <v>2665</v>
          </cell>
          <cell r="L234">
            <v>4634</v>
          </cell>
          <cell r="M234">
            <v>1902</v>
          </cell>
          <cell r="N234">
            <v>4215</v>
          </cell>
          <cell r="O234">
            <v>4595</v>
          </cell>
          <cell r="P234">
            <v>3417</v>
          </cell>
        </row>
        <row r="235">
          <cell r="B235" t="str">
            <v>000A4026</v>
          </cell>
          <cell r="C235" t="str">
            <v>PRUDENCE CLASSICO 12</v>
          </cell>
          <cell r="D235">
            <v>1983</v>
          </cell>
          <cell r="E235">
            <v>1535</v>
          </cell>
          <cell r="F235">
            <v>1588</v>
          </cell>
          <cell r="G235">
            <v>1978</v>
          </cell>
          <cell r="H235">
            <v>1722</v>
          </cell>
          <cell r="I235">
            <v>773</v>
          </cell>
          <cell r="J235">
            <v>2200</v>
          </cell>
          <cell r="K235">
            <v>2298</v>
          </cell>
          <cell r="L235">
            <v>2337</v>
          </cell>
          <cell r="M235">
            <v>776</v>
          </cell>
          <cell r="N235">
            <v>1662</v>
          </cell>
          <cell r="O235">
            <v>1620</v>
          </cell>
          <cell r="P235">
            <v>2128</v>
          </cell>
        </row>
        <row r="236">
          <cell r="B236" t="str">
            <v>000A4028</v>
          </cell>
          <cell r="C236" t="str">
            <v>PRUDENCE 3  THAI NIPPON</v>
          </cell>
          <cell r="D236">
            <v>2242</v>
          </cell>
          <cell r="E236">
            <v>984</v>
          </cell>
          <cell r="F236">
            <v>1070</v>
          </cell>
          <cell r="G236">
            <v>1442</v>
          </cell>
          <cell r="H236">
            <v>1504</v>
          </cell>
          <cell r="I236">
            <v>1979</v>
          </cell>
          <cell r="J236">
            <v>1033</v>
          </cell>
          <cell r="K236">
            <v>2279</v>
          </cell>
          <cell r="L236">
            <v>1097</v>
          </cell>
          <cell r="M236">
            <v>1985</v>
          </cell>
          <cell r="N236">
            <v>2563</v>
          </cell>
          <cell r="O236">
            <v>2745</v>
          </cell>
          <cell r="P236">
            <v>2405</v>
          </cell>
        </row>
        <row r="237">
          <cell r="B237" t="str">
            <v>000A4029</v>
          </cell>
          <cell r="C237" t="str">
            <v>PRUDENCE 8 THAI NIPPON</v>
          </cell>
          <cell r="D237">
            <v>4221</v>
          </cell>
          <cell r="E237">
            <v>4755</v>
          </cell>
          <cell r="F237">
            <v>8926</v>
          </cell>
          <cell r="G237">
            <v>2549</v>
          </cell>
          <cell r="H237">
            <v>5159</v>
          </cell>
          <cell r="I237">
            <v>2513</v>
          </cell>
          <cell r="J237">
            <v>5787</v>
          </cell>
          <cell r="K237">
            <v>3532</v>
          </cell>
          <cell r="L237">
            <v>6144</v>
          </cell>
          <cell r="M237">
            <v>2522</v>
          </cell>
          <cell r="N237">
            <v>5587</v>
          </cell>
          <cell r="O237">
            <v>5990</v>
          </cell>
          <cell r="P237">
            <v>4529</v>
          </cell>
        </row>
        <row r="238">
          <cell r="B238" t="str">
            <v>000A4030</v>
          </cell>
          <cell r="C238" t="str">
            <v>PRUDENCE 12  THAI NIPPON</v>
          </cell>
          <cell r="D238">
            <v>3378</v>
          </cell>
          <cell r="E238">
            <v>2613</v>
          </cell>
          <cell r="F238">
            <v>2703</v>
          </cell>
          <cell r="G238">
            <v>3368</v>
          </cell>
          <cell r="H238">
            <v>2934</v>
          </cell>
          <cell r="I238">
            <v>1316</v>
          </cell>
          <cell r="J238">
            <v>3746</v>
          </cell>
          <cell r="K238">
            <v>3914</v>
          </cell>
          <cell r="L238">
            <v>3977</v>
          </cell>
          <cell r="M238">
            <v>1321</v>
          </cell>
          <cell r="N238">
            <v>2829</v>
          </cell>
          <cell r="O238">
            <v>2672</v>
          </cell>
          <cell r="P238">
            <v>3625</v>
          </cell>
        </row>
        <row r="239">
          <cell r="B239" t="str">
            <v>000A5014</v>
          </cell>
          <cell r="C239" t="str">
            <v>GEL PRUD MORANGO FIRE 60G</v>
          </cell>
          <cell r="D239">
            <v>306</v>
          </cell>
          <cell r="E239">
            <v>396</v>
          </cell>
          <cell r="F239">
            <v>496</v>
          </cell>
          <cell r="G239">
            <v>93</v>
          </cell>
          <cell r="H239">
            <v>464</v>
          </cell>
          <cell r="I239">
            <v>270</v>
          </cell>
          <cell r="J239">
            <v>602</v>
          </cell>
          <cell r="K239">
            <v>356</v>
          </cell>
          <cell r="L239">
            <v>638</v>
          </cell>
          <cell r="M239">
            <v>271</v>
          </cell>
          <cell r="N239">
            <v>329</v>
          </cell>
          <cell r="O239">
            <v>110</v>
          </cell>
          <cell r="P239">
            <v>329</v>
          </cell>
        </row>
        <row r="240">
          <cell r="B240" t="str">
            <v>000A5034</v>
          </cell>
          <cell r="C240" t="str">
            <v>PRUDENCE GEL NEUTRO 100G</v>
          </cell>
          <cell r="D240">
            <v>155</v>
          </cell>
          <cell r="E240">
            <v>274</v>
          </cell>
          <cell r="F240">
            <v>156</v>
          </cell>
          <cell r="G240">
            <v>252</v>
          </cell>
          <cell r="H240">
            <v>281</v>
          </cell>
          <cell r="I240">
            <v>183</v>
          </cell>
          <cell r="J240">
            <v>283</v>
          </cell>
          <cell r="K240">
            <v>280</v>
          </cell>
          <cell r="L240">
            <v>245</v>
          </cell>
          <cell r="M240">
            <v>260</v>
          </cell>
          <cell r="N240">
            <v>280</v>
          </cell>
          <cell r="O240">
            <v>282</v>
          </cell>
          <cell r="P240">
            <v>166</v>
          </cell>
        </row>
        <row r="241">
          <cell r="B241" t="str">
            <v>000A5035</v>
          </cell>
          <cell r="C241" t="str">
            <v>PRUDENCE GEL MORANGO 100G</v>
          </cell>
          <cell r="D241">
            <v>1371</v>
          </cell>
          <cell r="E241">
            <v>1444</v>
          </cell>
          <cell r="F241">
            <v>1870</v>
          </cell>
          <cell r="G241">
            <v>1843</v>
          </cell>
          <cell r="H241">
            <v>876</v>
          </cell>
          <cell r="I241">
            <v>1623</v>
          </cell>
          <cell r="J241">
            <v>1908</v>
          </cell>
          <cell r="K241">
            <v>1713</v>
          </cell>
          <cell r="L241">
            <v>1345</v>
          </cell>
          <cell r="M241">
            <v>1014</v>
          </cell>
          <cell r="N241">
            <v>1814</v>
          </cell>
          <cell r="O241">
            <v>1830</v>
          </cell>
          <cell r="P241">
            <v>1471</v>
          </cell>
        </row>
        <row r="242">
          <cell r="B242" t="str">
            <v>000A5036</v>
          </cell>
          <cell r="C242" t="str">
            <v>GEL PRUDENCE HORTELA 100G.</v>
          </cell>
          <cell r="D242">
            <v>489</v>
          </cell>
          <cell r="E242">
            <v>458</v>
          </cell>
          <cell r="F242">
            <v>360</v>
          </cell>
          <cell r="G242">
            <v>563</v>
          </cell>
          <cell r="H242">
            <v>228</v>
          </cell>
          <cell r="I242">
            <v>292</v>
          </cell>
          <cell r="J242">
            <v>564</v>
          </cell>
          <cell r="K242">
            <v>237</v>
          </cell>
          <cell r="L242">
            <v>423</v>
          </cell>
          <cell r="M242">
            <v>309</v>
          </cell>
          <cell r="N242">
            <v>485</v>
          </cell>
          <cell r="O242">
            <v>377</v>
          </cell>
          <cell r="P242">
            <v>524</v>
          </cell>
        </row>
        <row r="243">
          <cell r="B243" t="str">
            <v>000A5037</v>
          </cell>
          <cell r="C243" t="str">
            <v>GEL PRUDENCE CHICLETE 100 G</v>
          </cell>
          <cell r="D243">
            <v>991</v>
          </cell>
          <cell r="E243">
            <v>900</v>
          </cell>
          <cell r="F243">
            <v>713</v>
          </cell>
          <cell r="G243">
            <v>810</v>
          </cell>
          <cell r="H243">
            <v>913</v>
          </cell>
          <cell r="I243">
            <v>613</v>
          </cell>
          <cell r="J243">
            <v>657</v>
          </cell>
          <cell r="K243">
            <v>916</v>
          </cell>
          <cell r="L243">
            <v>1111</v>
          </cell>
          <cell r="M243">
            <v>812</v>
          </cell>
          <cell r="N243">
            <v>636</v>
          </cell>
          <cell r="O243">
            <v>925</v>
          </cell>
          <cell r="P243">
            <v>1063</v>
          </cell>
        </row>
        <row r="244">
          <cell r="B244" t="str">
            <v>000EC0001</v>
          </cell>
          <cell r="C244" t="str">
            <v>SAYA CONTROL</v>
          </cell>
          <cell r="D244">
            <v>43994</v>
          </cell>
          <cell r="E244">
            <v>47709</v>
          </cell>
          <cell r="F244">
            <v>51682</v>
          </cell>
          <cell r="G244">
            <v>55524</v>
          </cell>
          <cell r="H244">
            <v>59496</v>
          </cell>
          <cell r="I244">
            <v>63340</v>
          </cell>
          <cell r="J244">
            <v>67311</v>
          </cell>
          <cell r="K244">
            <v>71283</v>
          </cell>
          <cell r="L244">
            <v>75127</v>
          </cell>
          <cell r="M244">
            <v>0</v>
          </cell>
          <cell r="N244">
            <v>0</v>
          </cell>
          <cell r="O244">
            <v>41827</v>
          </cell>
          <cell r="P244">
            <v>47202</v>
          </cell>
        </row>
        <row r="245">
          <cell r="B245" t="str">
            <v>000H1003</v>
          </cell>
          <cell r="C245" t="str">
            <v>PRUDENCE SOFTCUP</v>
          </cell>
          <cell r="D245">
            <v>603</v>
          </cell>
          <cell r="E245">
            <v>687</v>
          </cell>
          <cell r="F245">
            <v>710</v>
          </cell>
          <cell r="G245">
            <v>601</v>
          </cell>
          <cell r="H245">
            <v>621</v>
          </cell>
          <cell r="I245">
            <v>930</v>
          </cell>
          <cell r="J245">
            <v>732</v>
          </cell>
          <cell r="K245">
            <v>754</v>
          </cell>
          <cell r="L245">
            <v>777</v>
          </cell>
          <cell r="M245">
            <v>933</v>
          </cell>
          <cell r="N245">
            <v>414</v>
          </cell>
          <cell r="O245">
            <v>752</v>
          </cell>
          <cell r="P245">
            <v>647</v>
          </cell>
        </row>
        <row r="246">
          <cell r="B246" t="str">
            <v>000H1013</v>
          </cell>
          <cell r="C246" t="str">
            <v>PRUDENCE INTIMA - LENCO UMEDECIDO LEVE 20,PAGUE 16</v>
          </cell>
          <cell r="D246">
            <v>872</v>
          </cell>
          <cell r="E246">
            <v>885</v>
          </cell>
          <cell r="F246">
            <v>1020</v>
          </cell>
          <cell r="G246">
            <v>984</v>
          </cell>
          <cell r="H246">
            <v>1217</v>
          </cell>
          <cell r="I246">
            <v>808</v>
          </cell>
          <cell r="J246">
            <v>1190</v>
          </cell>
          <cell r="K246">
            <v>1049</v>
          </cell>
          <cell r="L246">
            <v>1264</v>
          </cell>
          <cell r="M246">
            <v>811</v>
          </cell>
          <cell r="N246">
            <v>554</v>
          </cell>
          <cell r="O246">
            <v>1087</v>
          </cell>
          <cell r="P246">
            <v>935</v>
          </cell>
        </row>
        <row r="247">
          <cell r="B247" t="str">
            <v>000IC0001</v>
          </cell>
          <cell r="C247" t="str">
            <v>LYNDAVEL UNO (AMP 25MG + CIP ESTRADIOL 5MG)</v>
          </cell>
          <cell r="D247">
            <v>300</v>
          </cell>
          <cell r="E247">
            <v>487</v>
          </cell>
          <cell r="F247">
            <v>684</v>
          </cell>
          <cell r="G247">
            <v>876</v>
          </cell>
          <cell r="H247">
            <v>1075</v>
          </cell>
          <cell r="I247">
            <v>1267</v>
          </cell>
          <cell r="J247">
            <v>1466</v>
          </cell>
          <cell r="K247">
            <v>1664</v>
          </cell>
          <cell r="L247">
            <v>1856</v>
          </cell>
          <cell r="M247">
            <v>2054</v>
          </cell>
          <cell r="N247">
            <v>2246</v>
          </cell>
          <cell r="O247">
            <v>196</v>
          </cell>
          <cell r="P247">
            <v>322</v>
          </cell>
        </row>
        <row r="248">
          <cell r="B248" t="str">
            <v>000X0101</v>
          </cell>
          <cell r="C248" t="str">
            <v>ASPIRADOR IPAS MVA  AMIU PLUS</v>
          </cell>
          <cell r="D248">
            <v>419</v>
          </cell>
          <cell r="E248">
            <v>607</v>
          </cell>
          <cell r="F248">
            <v>977</v>
          </cell>
          <cell r="G248">
            <v>418</v>
          </cell>
          <cell r="H248">
            <v>697</v>
          </cell>
          <cell r="I248">
            <v>508</v>
          </cell>
          <cell r="J248">
            <v>917</v>
          </cell>
          <cell r="K248">
            <v>917</v>
          </cell>
          <cell r="L248">
            <v>793</v>
          </cell>
          <cell r="M248">
            <v>1060</v>
          </cell>
          <cell r="N248">
            <v>283</v>
          </cell>
          <cell r="O248">
            <v>413</v>
          </cell>
          <cell r="P248">
            <v>449</v>
          </cell>
        </row>
        <row r="249">
          <cell r="B249" t="str">
            <v>000X0102</v>
          </cell>
          <cell r="C249" t="str">
            <v>SR4 CANULA IPAS ENGATE RAPIDO</v>
          </cell>
          <cell r="D249">
            <v>165</v>
          </cell>
          <cell r="E249">
            <v>574</v>
          </cell>
          <cell r="F249">
            <v>235</v>
          </cell>
          <cell r="G249">
            <v>257</v>
          </cell>
          <cell r="H249">
            <v>58</v>
          </cell>
          <cell r="I249">
            <v>274</v>
          </cell>
          <cell r="J249">
            <v>343</v>
          </cell>
          <cell r="K249">
            <v>316</v>
          </cell>
          <cell r="L249">
            <v>714</v>
          </cell>
          <cell r="M249">
            <v>254</v>
          </cell>
          <cell r="N249">
            <v>138</v>
          </cell>
          <cell r="O249">
            <v>117</v>
          </cell>
          <cell r="P249">
            <v>177</v>
          </cell>
        </row>
        <row r="250">
          <cell r="B250" t="str">
            <v>000X0103</v>
          </cell>
          <cell r="C250" t="str">
            <v>SR5 CANULA IPAS ENGATE RAPIDO</v>
          </cell>
          <cell r="D250">
            <v>451</v>
          </cell>
          <cell r="E250">
            <v>714</v>
          </cell>
          <cell r="F250">
            <v>401</v>
          </cell>
          <cell r="G250">
            <v>312</v>
          </cell>
          <cell r="H250">
            <v>127</v>
          </cell>
          <cell r="I250">
            <v>246</v>
          </cell>
          <cell r="J250">
            <v>318</v>
          </cell>
          <cell r="K250">
            <v>239</v>
          </cell>
          <cell r="L250">
            <v>1620</v>
          </cell>
          <cell r="M250">
            <v>348</v>
          </cell>
          <cell r="N250">
            <v>26</v>
          </cell>
          <cell r="O250">
            <v>408</v>
          </cell>
          <cell r="P250">
            <v>484</v>
          </cell>
        </row>
        <row r="251">
          <cell r="B251" t="str">
            <v>000X0104</v>
          </cell>
          <cell r="C251" t="str">
            <v>SR6 CANULA IPAS ENGATE RAPIDO</v>
          </cell>
          <cell r="D251">
            <v>272</v>
          </cell>
          <cell r="E251">
            <v>845</v>
          </cell>
          <cell r="F251">
            <v>662</v>
          </cell>
          <cell r="G251">
            <v>244</v>
          </cell>
          <cell r="H251">
            <v>38</v>
          </cell>
          <cell r="I251">
            <v>642</v>
          </cell>
          <cell r="J251">
            <v>894</v>
          </cell>
          <cell r="K251">
            <v>580</v>
          </cell>
          <cell r="L251">
            <v>1628</v>
          </cell>
          <cell r="M251">
            <v>406</v>
          </cell>
          <cell r="N251">
            <v>178</v>
          </cell>
          <cell r="O251">
            <v>645</v>
          </cell>
          <cell r="P251">
            <v>291</v>
          </cell>
        </row>
        <row r="252">
          <cell r="B252" t="str">
            <v>000X0105</v>
          </cell>
          <cell r="C252" t="str">
            <v>SR7 CANULA IPAS ENGATE RAPIDO</v>
          </cell>
          <cell r="D252">
            <v>2770</v>
          </cell>
          <cell r="E252">
            <v>1663</v>
          </cell>
          <cell r="F252">
            <v>766</v>
          </cell>
          <cell r="G252">
            <v>824</v>
          </cell>
          <cell r="H252">
            <v>107</v>
          </cell>
          <cell r="I252">
            <v>659</v>
          </cell>
          <cell r="J252">
            <v>1214</v>
          </cell>
          <cell r="K252">
            <v>848</v>
          </cell>
          <cell r="L252">
            <v>3</v>
          </cell>
          <cell r="M252">
            <v>330</v>
          </cell>
          <cell r="N252">
            <v>1060</v>
          </cell>
          <cell r="O252">
            <v>536</v>
          </cell>
          <cell r="P252">
            <v>2972</v>
          </cell>
        </row>
        <row r="253">
          <cell r="B253" t="str">
            <v>000X0106</v>
          </cell>
          <cell r="C253" t="str">
            <v>SR8 CANULA IPAS ENGATE RAPIDO</v>
          </cell>
          <cell r="D253">
            <v>2484</v>
          </cell>
          <cell r="E253">
            <v>1441</v>
          </cell>
          <cell r="F253">
            <v>673</v>
          </cell>
          <cell r="G253">
            <v>573</v>
          </cell>
          <cell r="H253">
            <v>51</v>
          </cell>
          <cell r="I253">
            <v>52</v>
          </cell>
          <cell r="J253">
            <v>182</v>
          </cell>
          <cell r="K253">
            <v>228</v>
          </cell>
          <cell r="L253">
            <v>3018</v>
          </cell>
          <cell r="M253">
            <v>1183</v>
          </cell>
          <cell r="N253">
            <v>1452</v>
          </cell>
          <cell r="O253">
            <v>1818</v>
          </cell>
          <cell r="P253">
            <v>2666</v>
          </cell>
        </row>
        <row r="254">
          <cell r="B254" t="str">
            <v>000X0107</v>
          </cell>
          <cell r="C254" t="str">
            <v>SR9 CANULA IPAS ENGATE RAPIDO</v>
          </cell>
          <cell r="D254">
            <v>3084</v>
          </cell>
          <cell r="E254">
            <v>1814</v>
          </cell>
          <cell r="F254">
            <v>1431</v>
          </cell>
          <cell r="G254">
            <v>984</v>
          </cell>
          <cell r="H254">
            <v>376</v>
          </cell>
          <cell r="I254">
            <v>31</v>
          </cell>
          <cell r="J254">
            <v>187</v>
          </cell>
          <cell r="K254">
            <v>522</v>
          </cell>
          <cell r="L254">
            <v>2590</v>
          </cell>
          <cell r="M254">
            <v>1702</v>
          </cell>
          <cell r="N254">
            <v>1743</v>
          </cell>
          <cell r="O254">
            <v>1509</v>
          </cell>
          <cell r="P254">
            <v>3308</v>
          </cell>
        </row>
        <row r="255">
          <cell r="B255" t="str">
            <v>000X0108</v>
          </cell>
          <cell r="C255" t="str">
            <v>SR10 CANULA IPAS ENGATE RAPIDO</v>
          </cell>
          <cell r="D255">
            <v>4063</v>
          </cell>
          <cell r="E255">
            <v>2964</v>
          </cell>
          <cell r="F255">
            <v>1783</v>
          </cell>
          <cell r="G255">
            <v>1192</v>
          </cell>
          <cell r="H255">
            <v>876</v>
          </cell>
          <cell r="I255">
            <v>501</v>
          </cell>
          <cell r="J255">
            <v>929</v>
          </cell>
          <cell r="K255">
            <v>1478</v>
          </cell>
          <cell r="L255">
            <v>4033</v>
          </cell>
          <cell r="M255">
            <v>2664</v>
          </cell>
          <cell r="N255">
            <v>2524</v>
          </cell>
          <cell r="O255">
            <v>1434</v>
          </cell>
          <cell r="P255">
            <v>4359</v>
          </cell>
        </row>
        <row r="256">
          <cell r="B256" t="str">
            <v>000X0109</v>
          </cell>
          <cell r="C256" t="str">
            <v>SR12 CANULA IPAS ENGATE RAPIDO</v>
          </cell>
          <cell r="D256">
            <v>3747</v>
          </cell>
          <cell r="E256">
            <v>1948</v>
          </cell>
          <cell r="F256">
            <v>1247</v>
          </cell>
          <cell r="G256">
            <v>659</v>
          </cell>
          <cell r="H256">
            <v>714</v>
          </cell>
          <cell r="I256">
            <v>736</v>
          </cell>
          <cell r="J256">
            <v>989</v>
          </cell>
          <cell r="K256">
            <v>1442</v>
          </cell>
          <cell r="L256">
            <v>5661</v>
          </cell>
          <cell r="M256">
            <v>2234</v>
          </cell>
          <cell r="N256">
            <v>1940</v>
          </cell>
          <cell r="O256">
            <v>1226</v>
          </cell>
          <cell r="P256">
            <v>4020</v>
          </cell>
        </row>
        <row r="257">
          <cell r="B257" t="str">
            <v>000XE101</v>
          </cell>
          <cell r="C257" t="str">
            <v>ASPIRADOR IPAS AMIU DVS</v>
          </cell>
          <cell r="D257">
            <v>396</v>
          </cell>
          <cell r="E257">
            <v>277</v>
          </cell>
          <cell r="F257">
            <v>368</v>
          </cell>
          <cell r="G257">
            <v>235</v>
          </cell>
          <cell r="H257">
            <v>340</v>
          </cell>
          <cell r="I257">
            <v>408</v>
          </cell>
          <cell r="J257">
            <v>492</v>
          </cell>
          <cell r="K257">
            <v>105</v>
          </cell>
          <cell r="L257">
            <v>591</v>
          </cell>
          <cell r="M257">
            <v>169</v>
          </cell>
          <cell r="N257">
            <v>342</v>
          </cell>
          <cell r="O257">
            <v>327</v>
          </cell>
          <cell r="P257">
            <v>425</v>
          </cell>
        </row>
        <row r="258">
          <cell r="B258" t="str">
            <v>000Z0009</v>
          </cell>
          <cell r="C258" t="str">
            <v>ANDALAN COMFORT MINI CU 375</v>
          </cell>
          <cell r="D258">
            <v>578</v>
          </cell>
          <cell r="E258">
            <v>727</v>
          </cell>
          <cell r="F258">
            <v>1287</v>
          </cell>
          <cell r="G258">
            <v>131</v>
          </cell>
          <cell r="H258">
            <v>204</v>
          </cell>
          <cell r="I258">
            <v>180</v>
          </cell>
          <cell r="J258">
            <v>997</v>
          </cell>
          <cell r="K258">
            <v>640</v>
          </cell>
          <cell r="L258">
            <v>591</v>
          </cell>
          <cell r="M258">
            <v>518</v>
          </cell>
          <cell r="N258">
            <v>213</v>
          </cell>
          <cell r="O258">
            <v>540</v>
          </cell>
          <cell r="P258">
            <v>620</v>
          </cell>
        </row>
        <row r="259">
          <cell r="B259" t="str">
            <v>000Z0011</v>
          </cell>
          <cell r="C259" t="str">
            <v>ANDALAN COMFORT CU 375</v>
          </cell>
          <cell r="D259">
            <v>217</v>
          </cell>
          <cell r="E259">
            <v>220</v>
          </cell>
          <cell r="F259">
            <v>547</v>
          </cell>
          <cell r="G259">
            <v>48</v>
          </cell>
          <cell r="H259">
            <v>12</v>
          </cell>
          <cell r="I259">
            <v>41</v>
          </cell>
          <cell r="J259">
            <v>564</v>
          </cell>
          <cell r="K259">
            <v>233</v>
          </cell>
          <cell r="L259">
            <v>163</v>
          </cell>
          <cell r="M259">
            <v>194</v>
          </cell>
          <cell r="N259">
            <v>31</v>
          </cell>
          <cell r="O259">
            <v>93</v>
          </cell>
          <cell r="P259">
            <v>233</v>
          </cell>
        </row>
        <row r="260">
          <cell r="B260" t="str">
            <v>000Z0012</v>
          </cell>
          <cell r="C260" t="str">
            <v>ANDALAN SILVERFLEX CU 380 AG</v>
          </cell>
          <cell r="D260">
            <v>4334</v>
          </cell>
          <cell r="E260">
            <v>5057</v>
          </cell>
          <cell r="F260">
            <v>5057</v>
          </cell>
          <cell r="G260">
            <v>5264</v>
          </cell>
          <cell r="H260">
            <v>5883</v>
          </cell>
          <cell r="I260">
            <v>5883</v>
          </cell>
          <cell r="J260">
            <v>5986</v>
          </cell>
          <cell r="K260">
            <v>5883</v>
          </cell>
          <cell r="L260">
            <v>5894</v>
          </cell>
          <cell r="M260">
            <v>5883</v>
          </cell>
          <cell r="N260">
            <v>5894</v>
          </cell>
          <cell r="O260">
            <v>4383</v>
          </cell>
          <cell r="P260">
            <v>4650</v>
          </cell>
        </row>
        <row r="261">
          <cell r="B261" t="str">
            <v>000Z0013</v>
          </cell>
          <cell r="C261" t="str">
            <v>ANDALAN CLASSIC CU 380</v>
          </cell>
          <cell r="D261">
            <v>123</v>
          </cell>
          <cell r="E261">
            <v>144</v>
          </cell>
          <cell r="F261">
            <v>144</v>
          </cell>
          <cell r="G261">
            <v>144</v>
          </cell>
          <cell r="H261">
            <v>226</v>
          </cell>
          <cell r="I261">
            <v>514</v>
          </cell>
          <cell r="J261">
            <v>514</v>
          </cell>
          <cell r="K261">
            <v>513</v>
          </cell>
          <cell r="L261">
            <v>513</v>
          </cell>
          <cell r="M261">
            <v>513</v>
          </cell>
          <cell r="N261">
            <v>513</v>
          </cell>
          <cell r="O261">
            <v>95</v>
          </cell>
          <cell r="P261">
            <v>132</v>
          </cell>
        </row>
        <row r="262">
          <cell r="B262" t="str">
            <v>000Z0016</v>
          </cell>
          <cell r="C262" t="str">
            <v>ANDALAN SILVERFLEX MINI CU 380 AG</v>
          </cell>
          <cell r="D262">
            <v>1536</v>
          </cell>
          <cell r="E262">
            <v>1208</v>
          </cell>
          <cell r="F262">
            <v>1648</v>
          </cell>
          <cell r="G262">
            <v>470</v>
          </cell>
          <cell r="H262">
            <v>723</v>
          </cell>
          <cell r="I262">
            <v>1568</v>
          </cell>
          <cell r="J262">
            <v>581</v>
          </cell>
          <cell r="K262">
            <v>1213</v>
          </cell>
          <cell r="L262">
            <v>965</v>
          </cell>
          <cell r="M262">
            <v>914</v>
          </cell>
          <cell r="N262">
            <v>1034</v>
          </cell>
          <cell r="O262">
            <v>124</v>
          </cell>
          <cell r="P262">
            <v>1648</v>
          </cell>
        </row>
        <row r="263">
          <cell r="B263" t="str">
            <v>000Z0017</v>
          </cell>
          <cell r="C263" t="str">
            <v>ANDALAN COPPERFLEX Y MINI CU 380</v>
          </cell>
          <cell r="D263">
            <v>935</v>
          </cell>
          <cell r="E263">
            <v>1256</v>
          </cell>
          <cell r="F263">
            <v>1598</v>
          </cell>
          <cell r="G263">
            <v>1931</v>
          </cell>
          <cell r="H263">
            <v>2273</v>
          </cell>
          <cell r="I263">
            <v>2605</v>
          </cell>
          <cell r="J263">
            <v>2949</v>
          </cell>
          <cell r="K263">
            <v>3292</v>
          </cell>
          <cell r="L263">
            <v>3624</v>
          </cell>
          <cell r="M263">
            <v>3967</v>
          </cell>
          <cell r="N263">
            <v>4299</v>
          </cell>
          <cell r="O263">
            <v>683</v>
          </cell>
          <cell r="P263">
            <v>1003</v>
          </cell>
        </row>
        <row r="264">
          <cell r="B264" t="str">
            <v>000Z0018</v>
          </cell>
          <cell r="C264" t="str">
            <v>ANDALAN COPPERFLEX Y CU 380</v>
          </cell>
          <cell r="D264">
            <v>973</v>
          </cell>
          <cell r="E264">
            <v>1299</v>
          </cell>
          <cell r="F264">
            <v>1647</v>
          </cell>
          <cell r="G264">
            <v>1984</v>
          </cell>
          <cell r="H264">
            <v>2332</v>
          </cell>
          <cell r="I264">
            <v>2669</v>
          </cell>
          <cell r="J264">
            <v>3017</v>
          </cell>
          <cell r="K264">
            <v>3365</v>
          </cell>
          <cell r="L264">
            <v>3702</v>
          </cell>
          <cell r="M264">
            <v>4050</v>
          </cell>
          <cell r="N264">
            <v>4386</v>
          </cell>
          <cell r="O264">
            <v>655</v>
          </cell>
          <cell r="P264">
            <v>1044</v>
          </cell>
        </row>
        <row r="265">
          <cell r="B265" t="str">
            <v>000Z0035</v>
          </cell>
          <cell r="C265" t="str">
            <v>HISTEROMETRO ANDALAN</v>
          </cell>
          <cell r="D265">
            <v>11606</v>
          </cell>
          <cell r="E265">
            <v>9016</v>
          </cell>
          <cell r="F265">
            <v>8641</v>
          </cell>
          <cell r="G265">
            <v>7245</v>
          </cell>
          <cell r="H265">
            <v>3752</v>
          </cell>
          <cell r="I265">
            <v>12730</v>
          </cell>
          <cell r="J265">
            <v>4063</v>
          </cell>
          <cell r="K265">
            <v>5160</v>
          </cell>
          <cell r="L265">
            <v>7860</v>
          </cell>
          <cell r="M265">
            <v>7746</v>
          </cell>
          <cell r="N265">
            <v>4394</v>
          </cell>
          <cell r="O265">
            <v>1179</v>
          </cell>
          <cell r="P265">
            <v>12453</v>
          </cell>
        </row>
        <row r="266">
          <cell r="B266">
            <v>12</v>
          </cell>
          <cell r="C266" t="str">
            <v>SUTRA</v>
          </cell>
          <cell r="D266">
            <v>546</v>
          </cell>
          <cell r="E266">
            <v>4560</v>
          </cell>
          <cell r="F266">
            <v>2143</v>
          </cell>
          <cell r="G266">
            <v>748</v>
          </cell>
          <cell r="H266">
            <v>179</v>
          </cell>
          <cell r="I266">
            <v>3763</v>
          </cell>
          <cell r="J266">
            <v>391</v>
          </cell>
          <cell r="K266">
            <v>140</v>
          </cell>
          <cell r="L266">
            <v>60</v>
          </cell>
          <cell r="M266">
            <v>443</v>
          </cell>
          <cell r="N266">
            <v>1606</v>
          </cell>
          <cell r="O266">
            <v>1179</v>
          </cell>
          <cell r="P266">
            <v>586</v>
          </cell>
        </row>
        <row r="267">
          <cell r="B267">
            <v>13</v>
          </cell>
          <cell r="C267" t="str">
            <v>SUTRA MORANGO</v>
          </cell>
          <cell r="D267">
            <v>533</v>
          </cell>
          <cell r="E267">
            <v>621</v>
          </cell>
          <cell r="F267">
            <v>1048</v>
          </cell>
          <cell r="G267">
            <v>792</v>
          </cell>
          <cell r="H267">
            <v>421</v>
          </cell>
          <cell r="I267">
            <v>764</v>
          </cell>
          <cell r="J267">
            <v>1152</v>
          </cell>
          <cell r="K267">
            <v>1152</v>
          </cell>
          <cell r="L267">
            <v>1152</v>
          </cell>
          <cell r="M267">
            <v>1152</v>
          </cell>
          <cell r="N267">
            <v>1152</v>
          </cell>
          <cell r="O267">
            <v>1075</v>
          </cell>
          <cell r="P267">
            <v>572</v>
          </cell>
        </row>
        <row r="268">
          <cell r="B268">
            <v>14</v>
          </cell>
          <cell r="C268" t="str">
            <v>SUTRA HORTELA</v>
          </cell>
          <cell r="D268">
            <v>1313</v>
          </cell>
          <cell r="E268">
            <v>795</v>
          </cell>
          <cell r="F268">
            <v>1088</v>
          </cell>
          <cell r="G268">
            <v>409</v>
          </cell>
          <cell r="H268">
            <v>584</v>
          </cell>
          <cell r="I268">
            <v>459</v>
          </cell>
          <cell r="J268">
            <v>864</v>
          </cell>
          <cell r="K268">
            <v>864</v>
          </cell>
          <cell r="L268">
            <v>864</v>
          </cell>
          <cell r="M268">
            <v>864</v>
          </cell>
          <cell r="N268">
            <v>864</v>
          </cell>
          <cell r="O268">
            <v>1000</v>
          </cell>
          <cell r="P268">
            <v>1409</v>
          </cell>
        </row>
        <row r="269">
          <cell r="B269">
            <v>17</v>
          </cell>
          <cell r="C269" t="str">
            <v>SUTRA SENSITIVE</v>
          </cell>
          <cell r="D269">
            <v>546</v>
          </cell>
          <cell r="E269">
            <v>4560</v>
          </cell>
          <cell r="F269">
            <v>2143</v>
          </cell>
          <cell r="G269">
            <v>748</v>
          </cell>
          <cell r="H269">
            <v>179</v>
          </cell>
          <cell r="I269">
            <v>3763</v>
          </cell>
          <cell r="J269">
            <v>391</v>
          </cell>
          <cell r="K269">
            <v>140</v>
          </cell>
          <cell r="L269">
            <v>60</v>
          </cell>
          <cell r="M269">
            <v>443</v>
          </cell>
          <cell r="N269">
            <v>1606</v>
          </cell>
          <cell r="O269">
            <v>749</v>
          </cell>
          <cell r="P269">
            <v>586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iionescu_dkt_com_br/Documents/Documentos/Masterplan/Masterplan%20Supply%20Brasil_Jun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a Georgiana Ionescu" refreshedDate="45803.759775578706" createdVersion="8" refreshedVersion="8" minRefreshableVersion="3" recordCount="9648" xr:uid="{D7C89884-A128-4C8C-977D-356894BFF58F}">
  <cacheSource type="worksheet">
    <worksheetSource ref="A1:H9649" sheet="Overview" r:id="rId2"/>
  </cacheSource>
  <cacheFields count="8">
    <cacheField name="Codigo" numFmtId="0">
      <sharedItems count="67">
        <s v="000A4023"/>
        <s v="000A4025"/>
        <s v="000A4026"/>
        <s v="000A1001"/>
        <s v="000A1031"/>
        <s v="000A1003"/>
        <s v="000A1034"/>
        <s v="000A1002"/>
        <s v="000A1004"/>
        <s v="000A1006"/>
        <s v="000A1025"/>
        <s v="000A1012"/>
        <s v="000A1019"/>
        <s v="000A1021"/>
        <s v="000A1028"/>
        <s v="000A2005"/>
        <s v="000A3005"/>
        <s v="000A2001"/>
        <s v="000A4010"/>
        <s v="000A3009"/>
        <s v="000A4013"/>
        <s v="000A4012"/>
        <s v="000A1017"/>
        <s v="000A3050"/>
        <s v="000A2011"/>
        <s v="000A4005"/>
        <s v="00012"/>
        <s v="00017"/>
        <s v="00013"/>
        <s v="00014"/>
        <s v="000A4028"/>
        <s v="000A4029"/>
        <s v="000A4030"/>
        <s v="000A2007"/>
        <s v="000A2014"/>
        <s v="000A2015"/>
        <s v="000A2018"/>
        <s v="000A2019"/>
        <s v="000A3018"/>
        <s v="000A3014"/>
        <s v="000A5035"/>
        <s v="000A5034"/>
        <s v="000A5037"/>
        <s v="000A5036"/>
        <s v="000A5014"/>
        <s v="000H1013"/>
        <s v="000H1003"/>
        <s v="000X0101"/>
        <s v="000XE101"/>
        <s v="000X0102"/>
        <s v="000X0103"/>
        <s v="000X0104"/>
        <s v="000X0105"/>
        <s v="000X0106"/>
        <s v="000X0107"/>
        <s v="000X0108"/>
        <s v="000X0109"/>
        <s v="000Z0013"/>
        <s v="000Z0011"/>
        <s v="000Z0009"/>
        <s v="000Z0012"/>
        <s v="000Z0016"/>
        <s v="000Z0018"/>
        <s v="000Z0017"/>
        <s v="000Z0035"/>
        <s v="000IC0001"/>
        <s v="000EC0001"/>
      </sharedItems>
    </cacheField>
    <cacheField name="Year" numFmtId="0">
      <sharedItems containsSemiMixedTypes="0" containsString="0" containsNumber="1" containsInteger="1" minValue="2024" maxValue="2026"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Type" numFmtId="0">
      <sharedItems count="4">
        <s v="Demand"/>
        <s v="Inventory"/>
        <s v="Initial Stock"/>
        <s v="Receipts"/>
      </sharedItems>
    </cacheField>
    <cacheField name="Cat" numFmtId="0">
      <sharedItems/>
    </cacheField>
    <cacheField name="Subcat" numFmtId="0">
      <sharedItems/>
    </cacheField>
    <cacheField name="Nome Produto" numFmtId="0">
      <sharedItems count="67">
        <s v="PRUDENCE CLASSICO 3"/>
        <s v="PRUDENCE CLASSICO 8"/>
        <s v="PRUDENCE CLASSICO 12"/>
        <s v="PRUDENCE C S MORANGO"/>
        <s v="PRUDENCE C S MIX LEVE 8 PAGUE 6"/>
        <s v="PRUDENCE C S UVA"/>
        <s v="PRUDENCE C S MIX TROPICAL L8P6"/>
        <s v="PRUDENCE C S HORTELA"/>
        <s v="PRUDENCE C S CHOCOLATE"/>
        <s v="PRUDENCE C S TUTTI-FRUTTI"/>
        <s v="PRUDENCE C S CAIPIRINHA"/>
        <s v="PRUDENCE C S MELANCIA"/>
        <s v="PRUDENCE C S CHICLETE"/>
        <s v="PRUDENCE C S MORANGO C/6"/>
        <s v="PRUDENCE C S MIX/FLOWPACK 12"/>
        <s v="PRUDENCE ULTRA SENSIVEL LEVE 8 PAGUE 6"/>
        <s v="PRUDENCE EFEITO RETARDANTE"/>
        <s v="PRUDENCE ULTRA SENSIVEL"/>
        <s v="PRUDENCE EXTRA GRANDE"/>
        <s v="PRUDENCE EFEITO RETARDANTE L8P6"/>
        <s v="PRUDENCE EXTRA GDE ULTRA SENSIVEL L8P6"/>
        <s v="PRUCENCE EXTRA GDE ULTRA SENSIVEL C/3"/>
        <s v="PRUDENCE C S MORANGAO"/>
        <s v="PRUDENCE NEON"/>
        <s v="PRUDENCE SENSACOES SENSITIVE RETARDANTE 3"/>
        <s v="PRUDENCE ULTRA RESISTENTE"/>
        <s v="SUTRA"/>
        <s v="SUTRA SENSITIVE"/>
        <s v="SUTRA MORANGO"/>
        <s v="SUTRA HORTELA"/>
        <s v="PRUDENCE PRESERVATIVOS LUBRIFICADOS 3S"/>
        <s v="PRUDENCE PRESERVATIVOS LUBRIFICADOS L8P6"/>
        <s v="PRUDENCE PRESERVATIVOS LUBRIFICADOS 12S"/>
        <s v="PRUDENCE SUPER SENSITIVE"/>
        <s v="PRUDENCE SUPER SENSITIVE L8P6"/>
        <s v="PRUDENCE SUPER SENSITIVE L12P10"/>
        <s v="PRUDENCE SUPER SENSITIVE INTENSE 3 "/>
        <s v="PRUDENCE SUPER SENSITIVE INTENSE 6"/>
        <s v="PRUDENCE SENSACOES TEXTURIZADO RETARDANTE C/6"/>
        <s v="PRUDENCE EXTRA TEXTURIZADO C/6"/>
        <s v="PRUDENCE GEL MORANGO 100G"/>
        <s v="PRUDENCE GEL NEUTRO 100G"/>
        <s v="GEL PRUDENCE CHICLETE 100 G"/>
        <s v="GEL PRUDENCE HORTELA 100G."/>
        <s v="GEL PRUD MORANGO FIRE 60G"/>
        <s v="LENCO L20P16S"/>
        <s v="PRUDENCE SOFTCUP"/>
        <s v="ASPIRADOR IPAS MVA  AMIU PLUS"/>
        <s v="ASPIRADOR IPAS AMIU DVS"/>
        <s v="SR4 CANULA IPAS ENGATE RAPIDO"/>
        <s v="SR5 CANULA IPAS ENGATE RAPIDO"/>
        <s v="SR6 CANULA IPAS ENGATE RAPIDO"/>
        <s v="SR7 CANULA IPAS ENGATE RAPIDO"/>
        <s v="SR8 CANULA IPAS ENGATE RAPIDO"/>
        <s v="SR9 CANULA IPAS ENGATE RAPIDO"/>
        <s v="SR10 CANULA IPAS ENGATE RAPIDO"/>
        <s v="SR12 CANULA IPAS ENGATE RAPIDO"/>
        <s v="ANDALAN CLASSIC CU 380"/>
        <s v="ANDALAN COMFORT CU 375"/>
        <s v="ANDALAN COMFORT MINI CU 375"/>
        <s v="ANDALAN SILVERFLEX CU 380 AG"/>
        <s v="ANDALAN SILVERFLEX MINI CU 380 AG"/>
        <s v="ANDALAN COPPERFLEX Y CU 380"/>
        <s v="ANDALAN COPPERFLEX Y MINI CU 380"/>
        <s v="HISTEROMETRO ANDALAN"/>
        <s v="LYNDAVEL UNO"/>
        <s v="SAYA CONTROL"/>
      </sharedItems>
    </cacheField>
    <cacheField name="QTY/grosa" numFmtId="1">
      <sharedItems containsSemiMixedTypes="0" containsString="0" containsNumber="1" minValue="0" maxValue="1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2024"/>
    <x v="0"/>
    <x v="0"/>
    <s v="Preservativo Masculino"/>
    <s v="Básico"/>
    <x v="0"/>
    <n v="0"/>
  </r>
  <r>
    <x v="0"/>
    <n v="2024"/>
    <x v="1"/>
    <x v="0"/>
    <s v="Preservativo Masculino"/>
    <s v="Básico"/>
    <x v="0"/>
    <n v="0"/>
  </r>
  <r>
    <x v="0"/>
    <n v="2024"/>
    <x v="2"/>
    <x v="0"/>
    <s v="Preservativo Masculino"/>
    <s v="Básico"/>
    <x v="0"/>
    <n v="0"/>
  </r>
  <r>
    <x v="0"/>
    <n v="2024"/>
    <x v="3"/>
    <x v="0"/>
    <s v="Preservativo Masculino"/>
    <s v="Básico"/>
    <x v="0"/>
    <n v="0"/>
  </r>
  <r>
    <x v="0"/>
    <n v="2024"/>
    <x v="4"/>
    <x v="0"/>
    <s v="Preservativo Masculino"/>
    <s v="Básico"/>
    <x v="0"/>
    <n v="0"/>
  </r>
  <r>
    <x v="0"/>
    <n v="2024"/>
    <x v="5"/>
    <x v="0"/>
    <s v="Preservativo Masculino"/>
    <s v="Básico"/>
    <x v="0"/>
    <n v="0"/>
  </r>
  <r>
    <x v="0"/>
    <n v="2024"/>
    <x v="6"/>
    <x v="0"/>
    <s v="Preservativo Masculino"/>
    <s v="Básico"/>
    <x v="0"/>
    <n v="0"/>
  </r>
  <r>
    <x v="0"/>
    <n v="2024"/>
    <x v="7"/>
    <x v="0"/>
    <s v="Preservativo Masculino"/>
    <s v="Básico"/>
    <x v="0"/>
    <n v="0"/>
  </r>
  <r>
    <x v="0"/>
    <n v="2024"/>
    <x v="8"/>
    <x v="0"/>
    <s v="Preservativo Masculino"/>
    <s v="Básico"/>
    <x v="0"/>
    <n v="14619"/>
  </r>
  <r>
    <x v="0"/>
    <n v="2024"/>
    <x v="9"/>
    <x v="0"/>
    <s v="Preservativo Masculino"/>
    <s v="Básico"/>
    <x v="0"/>
    <n v="16673"/>
  </r>
  <r>
    <x v="0"/>
    <n v="2024"/>
    <x v="10"/>
    <x v="0"/>
    <s v="Preservativo Masculino"/>
    <s v="Básico"/>
    <x v="0"/>
    <n v="7285"/>
  </r>
  <r>
    <x v="0"/>
    <n v="2024"/>
    <x v="11"/>
    <x v="0"/>
    <s v="Preservativo Masculino"/>
    <s v="Básico"/>
    <x v="0"/>
    <n v="478"/>
  </r>
  <r>
    <x v="1"/>
    <n v="2024"/>
    <x v="0"/>
    <x v="0"/>
    <s v="Preservativo Masculino"/>
    <s v="Básico"/>
    <x v="1"/>
    <n v="0"/>
  </r>
  <r>
    <x v="1"/>
    <n v="2024"/>
    <x v="1"/>
    <x v="0"/>
    <s v="Preservativo Masculino"/>
    <s v="Básico"/>
    <x v="1"/>
    <n v="0"/>
  </r>
  <r>
    <x v="1"/>
    <n v="2024"/>
    <x v="2"/>
    <x v="0"/>
    <s v="Preservativo Masculino"/>
    <s v="Básico"/>
    <x v="1"/>
    <n v="0"/>
  </r>
  <r>
    <x v="1"/>
    <n v="2024"/>
    <x v="3"/>
    <x v="0"/>
    <s v="Preservativo Masculino"/>
    <s v="Básico"/>
    <x v="1"/>
    <n v="0"/>
  </r>
  <r>
    <x v="1"/>
    <n v="2024"/>
    <x v="4"/>
    <x v="0"/>
    <s v="Preservativo Masculino"/>
    <s v="Básico"/>
    <x v="1"/>
    <n v="0"/>
  </r>
  <r>
    <x v="1"/>
    <n v="2024"/>
    <x v="5"/>
    <x v="0"/>
    <s v="Preservativo Masculino"/>
    <s v="Básico"/>
    <x v="1"/>
    <n v="0"/>
  </r>
  <r>
    <x v="1"/>
    <n v="2024"/>
    <x v="6"/>
    <x v="0"/>
    <s v="Preservativo Masculino"/>
    <s v="Básico"/>
    <x v="1"/>
    <n v="0"/>
  </r>
  <r>
    <x v="1"/>
    <n v="2024"/>
    <x v="7"/>
    <x v="0"/>
    <s v="Preservativo Masculino"/>
    <s v="Básico"/>
    <x v="1"/>
    <n v="0"/>
  </r>
  <r>
    <x v="1"/>
    <n v="2024"/>
    <x v="8"/>
    <x v="0"/>
    <s v="Preservativo Masculino"/>
    <s v="Básico"/>
    <x v="1"/>
    <n v="12592"/>
  </r>
  <r>
    <x v="1"/>
    <n v="2024"/>
    <x v="9"/>
    <x v="0"/>
    <s v="Preservativo Masculino"/>
    <s v="Básico"/>
    <x v="1"/>
    <n v="11854"/>
  </r>
  <r>
    <x v="1"/>
    <n v="2024"/>
    <x v="10"/>
    <x v="0"/>
    <s v="Preservativo Masculino"/>
    <s v="Básico"/>
    <x v="1"/>
    <n v="6727"/>
  </r>
  <r>
    <x v="1"/>
    <n v="2024"/>
    <x v="11"/>
    <x v="0"/>
    <s v="Preservativo Masculino"/>
    <s v="Básico"/>
    <x v="1"/>
    <n v="5995"/>
  </r>
  <r>
    <x v="2"/>
    <n v="2024"/>
    <x v="0"/>
    <x v="0"/>
    <s v="Preservativo Masculino"/>
    <s v="Básico"/>
    <x v="2"/>
    <n v="0"/>
  </r>
  <r>
    <x v="2"/>
    <n v="2024"/>
    <x v="1"/>
    <x v="0"/>
    <s v="Preservativo Masculino"/>
    <s v="Básico"/>
    <x v="2"/>
    <n v="0"/>
  </r>
  <r>
    <x v="2"/>
    <n v="2024"/>
    <x v="2"/>
    <x v="0"/>
    <s v="Preservativo Masculino"/>
    <s v="Básico"/>
    <x v="2"/>
    <n v="0"/>
  </r>
  <r>
    <x v="2"/>
    <n v="2024"/>
    <x v="3"/>
    <x v="0"/>
    <s v="Preservativo Masculino"/>
    <s v="Básico"/>
    <x v="2"/>
    <n v="0"/>
  </r>
  <r>
    <x v="2"/>
    <n v="2024"/>
    <x v="4"/>
    <x v="0"/>
    <s v="Preservativo Masculino"/>
    <s v="Básico"/>
    <x v="2"/>
    <n v="0"/>
  </r>
  <r>
    <x v="2"/>
    <n v="2024"/>
    <x v="5"/>
    <x v="0"/>
    <s v="Preservativo Masculino"/>
    <s v="Básico"/>
    <x v="2"/>
    <n v="0"/>
  </r>
  <r>
    <x v="2"/>
    <n v="2024"/>
    <x v="6"/>
    <x v="0"/>
    <s v="Preservativo Masculino"/>
    <s v="Básico"/>
    <x v="2"/>
    <n v="0"/>
  </r>
  <r>
    <x v="2"/>
    <n v="2024"/>
    <x v="7"/>
    <x v="0"/>
    <s v="Preservativo Masculino"/>
    <s v="Básico"/>
    <x v="2"/>
    <n v="0"/>
  </r>
  <r>
    <x v="2"/>
    <n v="2024"/>
    <x v="8"/>
    <x v="0"/>
    <s v="Preservativo Masculino"/>
    <s v="Básico"/>
    <x v="2"/>
    <n v="5201"/>
  </r>
  <r>
    <x v="2"/>
    <n v="2024"/>
    <x v="9"/>
    <x v="0"/>
    <s v="Preservativo Masculino"/>
    <s v="Básico"/>
    <x v="2"/>
    <n v="2790"/>
  </r>
  <r>
    <x v="2"/>
    <n v="2024"/>
    <x v="10"/>
    <x v="0"/>
    <s v="Preservativo Masculino"/>
    <s v="Básico"/>
    <x v="2"/>
    <n v="4753"/>
  </r>
  <r>
    <x v="2"/>
    <n v="2024"/>
    <x v="11"/>
    <x v="0"/>
    <s v="Preservativo Masculino"/>
    <s v="Básico"/>
    <x v="2"/>
    <n v="2894"/>
  </r>
  <r>
    <x v="3"/>
    <n v="2024"/>
    <x v="0"/>
    <x v="0"/>
    <s v="Preservativo Masculino"/>
    <s v="Cores e Sabores"/>
    <x v="3"/>
    <n v="0"/>
  </r>
  <r>
    <x v="3"/>
    <n v="2024"/>
    <x v="1"/>
    <x v="0"/>
    <s v="Preservativo Masculino"/>
    <s v="Cores e Sabores"/>
    <x v="3"/>
    <n v="0"/>
  </r>
  <r>
    <x v="3"/>
    <n v="2024"/>
    <x v="2"/>
    <x v="0"/>
    <s v="Preservativo Masculino"/>
    <s v="Cores e Sabores"/>
    <x v="3"/>
    <n v="0"/>
  </r>
  <r>
    <x v="3"/>
    <n v="2024"/>
    <x v="3"/>
    <x v="0"/>
    <s v="Preservativo Masculino"/>
    <s v="Cores e Sabores"/>
    <x v="3"/>
    <n v="0"/>
  </r>
  <r>
    <x v="3"/>
    <n v="2024"/>
    <x v="4"/>
    <x v="0"/>
    <s v="Preservativo Masculino"/>
    <s v="Cores e Sabores"/>
    <x v="3"/>
    <n v="0"/>
  </r>
  <r>
    <x v="3"/>
    <n v="2024"/>
    <x v="5"/>
    <x v="0"/>
    <s v="Preservativo Masculino"/>
    <s v="Cores e Sabores"/>
    <x v="3"/>
    <n v="0"/>
  </r>
  <r>
    <x v="3"/>
    <n v="2024"/>
    <x v="6"/>
    <x v="0"/>
    <s v="Preservativo Masculino"/>
    <s v="Cores e Sabores"/>
    <x v="3"/>
    <n v="0"/>
  </r>
  <r>
    <x v="3"/>
    <n v="2024"/>
    <x v="7"/>
    <x v="0"/>
    <s v="Preservativo Masculino"/>
    <s v="Cores e Sabores"/>
    <x v="3"/>
    <n v="0"/>
  </r>
  <r>
    <x v="3"/>
    <n v="2024"/>
    <x v="8"/>
    <x v="0"/>
    <s v="Preservativo Masculino"/>
    <s v="Cores e Sabores"/>
    <x v="3"/>
    <n v="3024"/>
  </r>
  <r>
    <x v="3"/>
    <n v="2024"/>
    <x v="9"/>
    <x v="0"/>
    <s v="Preservativo Masculino"/>
    <s v="Cores e Sabores"/>
    <x v="3"/>
    <n v="37"/>
  </r>
  <r>
    <x v="3"/>
    <n v="2024"/>
    <x v="10"/>
    <x v="0"/>
    <s v="Preservativo Masculino"/>
    <s v="Cores e Sabores"/>
    <x v="3"/>
    <n v="6025"/>
  </r>
  <r>
    <x v="3"/>
    <n v="2024"/>
    <x v="11"/>
    <x v="0"/>
    <s v="Preservativo Masculino"/>
    <s v="Cores e Sabores"/>
    <x v="3"/>
    <n v="5993"/>
  </r>
  <r>
    <x v="4"/>
    <n v="2024"/>
    <x v="0"/>
    <x v="0"/>
    <s v="Preservativo Masculino"/>
    <s v="Cores e Sabores"/>
    <x v="4"/>
    <n v="0"/>
  </r>
  <r>
    <x v="4"/>
    <n v="2024"/>
    <x v="1"/>
    <x v="0"/>
    <s v="Preservativo Masculino"/>
    <s v="Cores e Sabores"/>
    <x v="4"/>
    <n v="0"/>
  </r>
  <r>
    <x v="4"/>
    <n v="2024"/>
    <x v="2"/>
    <x v="0"/>
    <s v="Preservativo Masculino"/>
    <s v="Cores e Sabores"/>
    <x v="4"/>
    <n v="0"/>
  </r>
  <r>
    <x v="4"/>
    <n v="2024"/>
    <x v="3"/>
    <x v="0"/>
    <s v="Preservativo Masculino"/>
    <s v="Cores e Sabores"/>
    <x v="4"/>
    <n v="0"/>
  </r>
  <r>
    <x v="4"/>
    <n v="2024"/>
    <x v="4"/>
    <x v="0"/>
    <s v="Preservativo Masculino"/>
    <s v="Cores e Sabores"/>
    <x v="4"/>
    <n v="0"/>
  </r>
  <r>
    <x v="4"/>
    <n v="2024"/>
    <x v="5"/>
    <x v="0"/>
    <s v="Preservativo Masculino"/>
    <s v="Cores e Sabores"/>
    <x v="4"/>
    <n v="0"/>
  </r>
  <r>
    <x v="4"/>
    <n v="2024"/>
    <x v="6"/>
    <x v="0"/>
    <s v="Preservativo Masculino"/>
    <s v="Cores e Sabores"/>
    <x v="4"/>
    <n v="0"/>
  </r>
  <r>
    <x v="4"/>
    <n v="2024"/>
    <x v="7"/>
    <x v="0"/>
    <s v="Preservativo Masculino"/>
    <s v="Cores e Sabores"/>
    <x v="4"/>
    <n v="0"/>
  </r>
  <r>
    <x v="4"/>
    <n v="2024"/>
    <x v="8"/>
    <x v="0"/>
    <s v="Preservativo Masculino"/>
    <s v="Cores e Sabores"/>
    <x v="4"/>
    <n v="2039"/>
  </r>
  <r>
    <x v="4"/>
    <n v="2024"/>
    <x v="9"/>
    <x v="0"/>
    <s v="Preservativo Masculino"/>
    <s v="Cores e Sabores"/>
    <x v="4"/>
    <n v="45"/>
  </r>
  <r>
    <x v="4"/>
    <n v="2024"/>
    <x v="10"/>
    <x v="0"/>
    <s v="Preservativo Masculino"/>
    <s v="Cores e Sabores"/>
    <x v="4"/>
    <n v="4100"/>
  </r>
  <r>
    <x v="4"/>
    <n v="2024"/>
    <x v="11"/>
    <x v="0"/>
    <s v="Preservativo Masculino"/>
    <s v="Cores e Sabores"/>
    <x v="4"/>
    <n v="2277"/>
  </r>
  <r>
    <x v="5"/>
    <n v="2024"/>
    <x v="0"/>
    <x v="0"/>
    <s v="Preservativo Masculino"/>
    <s v="Cores e Sabores"/>
    <x v="5"/>
    <n v="0"/>
  </r>
  <r>
    <x v="5"/>
    <n v="2024"/>
    <x v="1"/>
    <x v="0"/>
    <s v="Preservativo Masculino"/>
    <s v="Cores e Sabores"/>
    <x v="5"/>
    <n v="0"/>
  </r>
  <r>
    <x v="5"/>
    <n v="2024"/>
    <x v="2"/>
    <x v="0"/>
    <s v="Preservativo Masculino"/>
    <s v="Cores e Sabores"/>
    <x v="5"/>
    <n v="0"/>
  </r>
  <r>
    <x v="5"/>
    <n v="2024"/>
    <x v="3"/>
    <x v="0"/>
    <s v="Preservativo Masculino"/>
    <s v="Cores e Sabores"/>
    <x v="5"/>
    <n v="0"/>
  </r>
  <r>
    <x v="5"/>
    <n v="2024"/>
    <x v="4"/>
    <x v="0"/>
    <s v="Preservativo Masculino"/>
    <s v="Cores e Sabores"/>
    <x v="5"/>
    <n v="0"/>
  </r>
  <r>
    <x v="5"/>
    <n v="2024"/>
    <x v="5"/>
    <x v="0"/>
    <s v="Preservativo Masculino"/>
    <s v="Cores e Sabores"/>
    <x v="5"/>
    <n v="0"/>
  </r>
  <r>
    <x v="5"/>
    <n v="2024"/>
    <x v="6"/>
    <x v="0"/>
    <s v="Preservativo Masculino"/>
    <s v="Cores e Sabores"/>
    <x v="5"/>
    <n v="0"/>
  </r>
  <r>
    <x v="5"/>
    <n v="2024"/>
    <x v="7"/>
    <x v="0"/>
    <s v="Preservativo Masculino"/>
    <s v="Cores e Sabores"/>
    <x v="5"/>
    <n v="0"/>
  </r>
  <r>
    <x v="5"/>
    <n v="2024"/>
    <x v="8"/>
    <x v="0"/>
    <s v="Preservativo Masculino"/>
    <s v="Cores e Sabores"/>
    <x v="5"/>
    <n v="2991"/>
  </r>
  <r>
    <x v="5"/>
    <n v="2024"/>
    <x v="9"/>
    <x v="0"/>
    <s v="Preservativo Masculino"/>
    <s v="Cores e Sabores"/>
    <x v="5"/>
    <n v="18"/>
  </r>
  <r>
    <x v="5"/>
    <n v="2024"/>
    <x v="10"/>
    <x v="0"/>
    <s v="Preservativo Masculino"/>
    <s v="Cores e Sabores"/>
    <x v="5"/>
    <n v="2982"/>
  </r>
  <r>
    <x v="5"/>
    <n v="2024"/>
    <x v="11"/>
    <x v="0"/>
    <s v="Preservativo Masculino"/>
    <s v="Cores e Sabores"/>
    <x v="5"/>
    <n v="3035"/>
  </r>
  <r>
    <x v="6"/>
    <n v="2024"/>
    <x v="0"/>
    <x v="0"/>
    <s v="Preservativo Masculino"/>
    <s v="Cores e Sabores"/>
    <x v="6"/>
    <n v="0"/>
  </r>
  <r>
    <x v="6"/>
    <n v="2024"/>
    <x v="1"/>
    <x v="0"/>
    <s v="Preservativo Masculino"/>
    <s v="Cores e Sabores"/>
    <x v="6"/>
    <n v="0"/>
  </r>
  <r>
    <x v="6"/>
    <n v="2024"/>
    <x v="2"/>
    <x v="0"/>
    <s v="Preservativo Masculino"/>
    <s v="Cores e Sabores"/>
    <x v="6"/>
    <n v="0"/>
  </r>
  <r>
    <x v="6"/>
    <n v="2024"/>
    <x v="3"/>
    <x v="0"/>
    <s v="Preservativo Masculino"/>
    <s v="Cores e Sabores"/>
    <x v="6"/>
    <n v="0"/>
  </r>
  <r>
    <x v="6"/>
    <n v="2024"/>
    <x v="4"/>
    <x v="0"/>
    <s v="Preservativo Masculino"/>
    <s v="Cores e Sabores"/>
    <x v="6"/>
    <n v="0"/>
  </r>
  <r>
    <x v="6"/>
    <n v="2024"/>
    <x v="5"/>
    <x v="0"/>
    <s v="Preservativo Masculino"/>
    <s v="Cores e Sabores"/>
    <x v="6"/>
    <n v="0"/>
  </r>
  <r>
    <x v="6"/>
    <n v="2024"/>
    <x v="6"/>
    <x v="0"/>
    <s v="Preservativo Masculino"/>
    <s v="Cores e Sabores"/>
    <x v="6"/>
    <n v="0"/>
  </r>
  <r>
    <x v="6"/>
    <n v="2024"/>
    <x v="7"/>
    <x v="0"/>
    <s v="Preservativo Masculino"/>
    <s v="Cores e Sabores"/>
    <x v="6"/>
    <n v="0"/>
  </r>
  <r>
    <x v="6"/>
    <n v="2024"/>
    <x v="8"/>
    <x v="0"/>
    <s v="Preservativo Masculino"/>
    <s v="Cores e Sabores"/>
    <x v="6"/>
    <n v="0"/>
  </r>
  <r>
    <x v="6"/>
    <n v="2024"/>
    <x v="9"/>
    <x v="0"/>
    <s v="Preservativo Masculino"/>
    <s v="Cores e Sabores"/>
    <x v="6"/>
    <n v="0"/>
  </r>
  <r>
    <x v="6"/>
    <n v="2024"/>
    <x v="10"/>
    <x v="0"/>
    <s v="Preservativo Masculino"/>
    <s v="Cores e Sabores"/>
    <x v="6"/>
    <n v="0"/>
  </r>
  <r>
    <x v="6"/>
    <n v="2024"/>
    <x v="11"/>
    <x v="0"/>
    <s v="Preservativo Masculino"/>
    <s v="Cores e Sabores"/>
    <x v="6"/>
    <n v="0"/>
  </r>
  <r>
    <x v="7"/>
    <n v="2024"/>
    <x v="0"/>
    <x v="0"/>
    <s v="Preservativo Masculino"/>
    <s v="Cores e Sabores"/>
    <x v="7"/>
    <n v="0"/>
  </r>
  <r>
    <x v="7"/>
    <n v="2024"/>
    <x v="1"/>
    <x v="0"/>
    <s v="Preservativo Masculino"/>
    <s v="Cores e Sabores"/>
    <x v="7"/>
    <n v="0"/>
  </r>
  <r>
    <x v="7"/>
    <n v="2024"/>
    <x v="2"/>
    <x v="0"/>
    <s v="Preservativo Masculino"/>
    <s v="Cores e Sabores"/>
    <x v="7"/>
    <n v="0"/>
  </r>
  <r>
    <x v="7"/>
    <n v="2024"/>
    <x v="3"/>
    <x v="0"/>
    <s v="Preservativo Masculino"/>
    <s v="Cores e Sabores"/>
    <x v="7"/>
    <n v="0"/>
  </r>
  <r>
    <x v="7"/>
    <n v="2024"/>
    <x v="4"/>
    <x v="0"/>
    <s v="Preservativo Masculino"/>
    <s v="Cores e Sabores"/>
    <x v="7"/>
    <n v="0"/>
  </r>
  <r>
    <x v="7"/>
    <n v="2024"/>
    <x v="5"/>
    <x v="0"/>
    <s v="Preservativo Masculino"/>
    <s v="Cores e Sabores"/>
    <x v="7"/>
    <n v="0"/>
  </r>
  <r>
    <x v="7"/>
    <n v="2024"/>
    <x v="6"/>
    <x v="0"/>
    <s v="Preservativo Masculino"/>
    <s v="Cores e Sabores"/>
    <x v="7"/>
    <n v="0"/>
  </r>
  <r>
    <x v="7"/>
    <n v="2024"/>
    <x v="7"/>
    <x v="0"/>
    <s v="Preservativo Masculino"/>
    <s v="Cores e Sabores"/>
    <x v="7"/>
    <n v="0"/>
  </r>
  <r>
    <x v="7"/>
    <n v="2024"/>
    <x v="8"/>
    <x v="0"/>
    <s v="Preservativo Masculino"/>
    <s v="Cores e Sabores"/>
    <x v="7"/>
    <n v="22"/>
  </r>
  <r>
    <x v="7"/>
    <n v="2024"/>
    <x v="9"/>
    <x v="0"/>
    <s v="Preservativo Masculino"/>
    <s v="Cores e Sabores"/>
    <x v="7"/>
    <n v="2478"/>
  </r>
  <r>
    <x v="7"/>
    <n v="2024"/>
    <x v="10"/>
    <x v="0"/>
    <s v="Preservativo Masculino"/>
    <s v="Cores e Sabores"/>
    <x v="7"/>
    <n v="2982"/>
  </r>
  <r>
    <x v="7"/>
    <n v="2024"/>
    <x v="11"/>
    <x v="0"/>
    <s v="Preservativo Masculino"/>
    <s v="Cores e Sabores"/>
    <x v="7"/>
    <n v="3328"/>
  </r>
  <r>
    <x v="8"/>
    <n v="2024"/>
    <x v="0"/>
    <x v="0"/>
    <s v="Preservativo Masculino"/>
    <s v="Cores e Sabores"/>
    <x v="8"/>
    <n v="0"/>
  </r>
  <r>
    <x v="8"/>
    <n v="2024"/>
    <x v="1"/>
    <x v="0"/>
    <s v="Preservativo Masculino"/>
    <s v="Cores e Sabores"/>
    <x v="8"/>
    <n v="0"/>
  </r>
  <r>
    <x v="8"/>
    <n v="2024"/>
    <x v="2"/>
    <x v="0"/>
    <s v="Preservativo Masculino"/>
    <s v="Cores e Sabores"/>
    <x v="8"/>
    <n v="0"/>
  </r>
  <r>
    <x v="8"/>
    <n v="2024"/>
    <x v="3"/>
    <x v="0"/>
    <s v="Preservativo Masculino"/>
    <s v="Cores e Sabores"/>
    <x v="8"/>
    <n v="0"/>
  </r>
  <r>
    <x v="8"/>
    <n v="2024"/>
    <x v="4"/>
    <x v="0"/>
    <s v="Preservativo Masculino"/>
    <s v="Cores e Sabores"/>
    <x v="8"/>
    <n v="0"/>
  </r>
  <r>
    <x v="8"/>
    <n v="2024"/>
    <x v="5"/>
    <x v="0"/>
    <s v="Preservativo Masculino"/>
    <s v="Cores e Sabores"/>
    <x v="8"/>
    <n v="0"/>
  </r>
  <r>
    <x v="8"/>
    <n v="2024"/>
    <x v="6"/>
    <x v="0"/>
    <s v="Preservativo Masculino"/>
    <s v="Cores e Sabores"/>
    <x v="8"/>
    <n v="0"/>
  </r>
  <r>
    <x v="8"/>
    <n v="2024"/>
    <x v="7"/>
    <x v="0"/>
    <s v="Preservativo Masculino"/>
    <s v="Cores e Sabores"/>
    <x v="8"/>
    <n v="0"/>
  </r>
  <r>
    <x v="8"/>
    <n v="2024"/>
    <x v="8"/>
    <x v="0"/>
    <s v="Preservativo Masculino"/>
    <s v="Cores e Sabores"/>
    <x v="8"/>
    <n v="1833"/>
  </r>
  <r>
    <x v="8"/>
    <n v="2024"/>
    <x v="9"/>
    <x v="0"/>
    <s v="Preservativo Masculino"/>
    <s v="Cores e Sabores"/>
    <x v="8"/>
    <n v="1893"/>
  </r>
  <r>
    <x v="8"/>
    <n v="2024"/>
    <x v="10"/>
    <x v="0"/>
    <s v="Preservativo Masculino"/>
    <s v="Cores e Sabores"/>
    <x v="8"/>
    <n v="1234"/>
  </r>
  <r>
    <x v="8"/>
    <n v="2024"/>
    <x v="11"/>
    <x v="0"/>
    <s v="Preservativo Masculino"/>
    <s v="Cores e Sabores"/>
    <x v="8"/>
    <n v="2268"/>
  </r>
  <r>
    <x v="9"/>
    <n v="2024"/>
    <x v="0"/>
    <x v="0"/>
    <s v="Preservativo Masculino"/>
    <s v="Cores e Sabores"/>
    <x v="9"/>
    <n v="0"/>
  </r>
  <r>
    <x v="9"/>
    <n v="2024"/>
    <x v="1"/>
    <x v="0"/>
    <s v="Preservativo Masculino"/>
    <s v="Cores e Sabores"/>
    <x v="9"/>
    <n v="0"/>
  </r>
  <r>
    <x v="9"/>
    <n v="2024"/>
    <x v="2"/>
    <x v="0"/>
    <s v="Preservativo Masculino"/>
    <s v="Cores e Sabores"/>
    <x v="9"/>
    <n v="0"/>
  </r>
  <r>
    <x v="9"/>
    <n v="2024"/>
    <x v="3"/>
    <x v="0"/>
    <s v="Preservativo Masculino"/>
    <s v="Cores e Sabores"/>
    <x v="9"/>
    <n v="0"/>
  </r>
  <r>
    <x v="9"/>
    <n v="2024"/>
    <x v="4"/>
    <x v="0"/>
    <s v="Preservativo Masculino"/>
    <s v="Cores e Sabores"/>
    <x v="9"/>
    <n v="0"/>
  </r>
  <r>
    <x v="9"/>
    <n v="2024"/>
    <x v="5"/>
    <x v="0"/>
    <s v="Preservativo Masculino"/>
    <s v="Cores e Sabores"/>
    <x v="9"/>
    <n v="0"/>
  </r>
  <r>
    <x v="9"/>
    <n v="2024"/>
    <x v="6"/>
    <x v="0"/>
    <s v="Preservativo Masculino"/>
    <s v="Cores e Sabores"/>
    <x v="9"/>
    <n v="0"/>
  </r>
  <r>
    <x v="9"/>
    <n v="2024"/>
    <x v="7"/>
    <x v="0"/>
    <s v="Preservativo Masculino"/>
    <s v="Cores e Sabores"/>
    <x v="9"/>
    <n v="0"/>
  </r>
  <r>
    <x v="9"/>
    <n v="2024"/>
    <x v="8"/>
    <x v="0"/>
    <s v="Preservativo Masculino"/>
    <s v="Cores e Sabores"/>
    <x v="9"/>
    <n v="3"/>
  </r>
  <r>
    <x v="9"/>
    <n v="2024"/>
    <x v="9"/>
    <x v="0"/>
    <s v="Preservativo Masculino"/>
    <s v="Cores e Sabores"/>
    <x v="9"/>
    <n v="2979"/>
  </r>
  <r>
    <x v="9"/>
    <n v="2024"/>
    <x v="10"/>
    <x v="0"/>
    <s v="Preservativo Masculino"/>
    <s v="Cores e Sabores"/>
    <x v="9"/>
    <n v="15"/>
  </r>
  <r>
    <x v="9"/>
    <n v="2024"/>
    <x v="11"/>
    <x v="0"/>
    <s v="Preservativo Masculino"/>
    <s v="Cores e Sabores"/>
    <x v="9"/>
    <n v="4432"/>
  </r>
  <r>
    <x v="10"/>
    <n v="2024"/>
    <x v="0"/>
    <x v="0"/>
    <s v="Preservativo Masculino"/>
    <s v="Cores e Sabores"/>
    <x v="10"/>
    <n v="0"/>
  </r>
  <r>
    <x v="10"/>
    <n v="2024"/>
    <x v="1"/>
    <x v="0"/>
    <s v="Preservativo Masculino"/>
    <s v="Cores e Sabores"/>
    <x v="10"/>
    <n v="0"/>
  </r>
  <r>
    <x v="10"/>
    <n v="2024"/>
    <x v="2"/>
    <x v="0"/>
    <s v="Preservativo Masculino"/>
    <s v="Cores e Sabores"/>
    <x v="10"/>
    <n v="0"/>
  </r>
  <r>
    <x v="10"/>
    <n v="2024"/>
    <x v="3"/>
    <x v="0"/>
    <s v="Preservativo Masculino"/>
    <s v="Cores e Sabores"/>
    <x v="10"/>
    <n v="0"/>
  </r>
  <r>
    <x v="10"/>
    <n v="2024"/>
    <x v="4"/>
    <x v="0"/>
    <s v="Preservativo Masculino"/>
    <s v="Cores e Sabores"/>
    <x v="10"/>
    <n v="0"/>
  </r>
  <r>
    <x v="10"/>
    <n v="2024"/>
    <x v="5"/>
    <x v="0"/>
    <s v="Preservativo Masculino"/>
    <s v="Cores e Sabores"/>
    <x v="10"/>
    <n v="0"/>
  </r>
  <r>
    <x v="10"/>
    <n v="2024"/>
    <x v="6"/>
    <x v="0"/>
    <s v="Preservativo Masculino"/>
    <s v="Cores e Sabores"/>
    <x v="10"/>
    <n v="0"/>
  </r>
  <r>
    <x v="10"/>
    <n v="2024"/>
    <x v="7"/>
    <x v="0"/>
    <s v="Preservativo Masculino"/>
    <s v="Cores e Sabores"/>
    <x v="10"/>
    <n v="0"/>
  </r>
  <r>
    <x v="10"/>
    <n v="2024"/>
    <x v="8"/>
    <x v="0"/>
    <s v="Preservativo Masculino"/>
    <s v="Cores e Sabores"/>
    <x v="10"/>
    <n v="2"/>
  </r>
  <r>
    <x v="10"/>
    <n v="2024"/>
    <x v="9"/>
    <x v="0"/>
    <s v="Preservativo Masculino"/>
    <s v="Cores e Sabores"/>
    <x v="10"/>
    <n v="0"/>
  </r>
  <r>
    <x v="10"/>
    <n v="2024"/>
    <x v="10"/>
    <x v="0"/>
    <s v="Preservativo Masculino"/>
    <s v="Cores e Sabores"/>
    <x v="10"/>
    <n v="0"/>
  </r>
  <r>
    <x v="10"/>
    <n v="2024"/>
    <x v="11"/>
    <x v="0"/>
    <s v="Preservativo Masculino"/>
    <s v="Cores e Sabores"/>
    <x v="10"/>
    <n v="2011"/>
  </r>
  <r>
    <x v="11"/>
    <n v="2024"/>
    <x v="0"/>
    <x v="0"/>
    <s v="Preservativo Masculino"/>
    <s v="Cores e Sabores"/>
    <x v="11"/>
    <n v="0"/>
  </r>
  <r>
    <x v="11"/>
    <n v="2024"/>
    <x v="1"/>
    <x v="0"/>
    <s v="Preservativo Masculino"/>
    <s v="Cores e Sabores"/>
    <x v="11"/>
    <n v="0"/>
  </r>
  <r>
    <x v="11"/>
    <n v="2024"/>
    <x v="2"/>
    <x v="0"/>
    <s v="Preservativo Masculino"/>
    <s v="Cores e Sabores"/>
    <x v="11"/>
    <n v="0"/>
  </r>
  <r>
    <x v="11"/>
    <n v="2024"/>
    <x v="3"/>
    <x v="0"/>
    <s v="Preservativo Masculino"/>
    <s v="Cores e Sabores"/>
    <x v="11"/>
    <n v="0"/>
  </r>
  <r>
    <x v="11"/>
    <n v="2024"/>
    <x v="4"/>
    <x v="0"/>
    <s v="Preservativo Masculino"/>
    <s v="Cores e Sabores"/>
    <x v="11"/>
    <n v="0"/>
  </r>
  <r>
    <x v="11"/>
    <n v="2024"/>
    <x v="5"/>
    <x v="0"/>
    <s v="Preservativo Masculino"/>
    <s v="Cores e Sabores"/>
    <x v="11"/>
    <n v="0"/>
  </r>
  <r>
    <x v="11"/>
    <n v="2024"/>
    <x v="6"/>
    <x v="0"/>
    <s v="Preservativo Masculino"/>
    <s v="Cores e Sabores"/>
    <x v="11"/>
    <n v="0"/>
  </r>
  <r>
    <x v="11"/>
    <n v="2024"/>
    <x v="7"/>
    <x v="0"/>
    <s v="Preservativo Masculino"/>
    <s v="Cores e Sabores"/>
    <x v="11"/>
    <n v="0"/>
  </r>
  <r>
    <x v="11"/>
    <n v="2024"/>
    <x v="8"/>
    <x v="0"/>
    <s v="Preservativo Masculino"/>
    <s v="Cores e Sabores"/>
    <x v="11"/>
    <n v="1822"/>
  </r>
  <r>
    <x v="11"/>
    <n v="2024"/>
    <x v="9"/>
    <x v="0"/>
    <s v="Preservativo Masculino"/>
    <s v="Cores e Sabores"/>
    <x v="11"/>
    <n v="2095"/>
  </r>
  <r>
    <x v="11"/>
    <n v="2024"/>
    <x v="10"/>
    <x v="0"/>
    <s v="Preservativo Masculino"/>
    <s v="Cores e Sabores"/>
    <x v="11"/>
    <n v="54"/>
  </r>
  <r>
    <x v="11"/>
    <n v="2024"/>
    <x v="11"/>
    <x v="0"/>
    <s v="Preservativo Masculino"/>
    <s v="Cores e Sabores"/>
    <x v="11"/>
    <n v="3"/>
  </r>
  <r>
    <x v="12"/>
    <n v="2024"/>
    <x v="0"/>
    <x v="0"/>
    <s v="Preservativo Masculino"/>
    <s v="Cores e Sabores"/>
    <x v="12"/>
    <n v="0"/>
  </r>
  <r>
    <x v="12"/>
    <n v="2024"/>
    <x v="1"/>
    <x v="0"/>
    <s v="Preservativo Masculino"/>
    <s v="Cores e Sabores"/>
    <x v="12"/>
    <n v="0"/>
  </r>
  <r>
    <x v="12"/>
    <n v="2024"/>
    <x v="2"/>
    <x v="0"/>
    <s v="Preservativo Masculino"/>
    <s v="Cores e Sabores"/>
    <x v="12"/>
    <n v="0"/>
  </r>
  <r>
    <x v="12"/>
    <n v="2024"/>
    <x v="3"/>
    <x v="0"/>
    <s v="Preservativo Masculino"/>
    <s v="Cores e Sabores"/>
    <x v="12"/>
    <n v="0"/>
  </r>
  <r>
    <x v="12"/>
    <n v="2024"/>
    <x v="4"/>
    <x v="0"/>
    <s v="Preservativo Masculino"/>
    <s v="Cores e Sabores"/>
    <x v="12"/>
    <n v="0"/>
  </r>
  <r>
    <x v="12"/>
    <n v="2024"/>
    <x v="5"/>
    <x v="0"/>
    <s v="Preservativo Masculino"/>
    <s v="Cores e Sabores"/>
    <x v="12"/>
    <n v="0"/>
  </r>
  <r>
    <x v="12"/>
    <n v="2024"/>
    <x v="6"/>
    <x v="0"/>
    <s v="Preservativo Masculino"/>
    <s v="Cores e Sabores"/>
    <x v="12"/>
    <n v="0"/>
  </r>
  <r>
    <x v="12"/>
    <n v="2024"/>
    <x v="7"/>
    <x v="0"/>
    <s v="Preservativo Masculino"/>
    <s v="Cores e Sabores"/>
    <x v="12"/>
    <n v="0"/>
  </r>
  <r>
    <x v="12"/>
    <n v="2024"/>
    <x v="8"/>
    <x v="0"/>
    <s v="Preservativo Masculino"/>
    <s v="Cores e Sabores"/>
    <x v="12"/>
    <n v="1096"/>
  </r>
  <r>
    <x v="12"/>
    <n v="2024"/>
    <x v="9"/>
    <x v="0"/>
    <s v="Preservativo Masculino"/>
    <s v="Cores e Sabores"/>
    <x v="12"/>
    <n v="7"/>
  </r>
  <r>
    <x v="12"/>
    <n v="2024"/>
    <x v="10"/>
    <x v="0"/>
    <s v="Preservativo Masculino"/>
    <s v="Cores e Sabores"/>
    <x v="12"/>
    <n v="3"/>
  </r>
  <r>
    <x v="12"/>
    <n v="2024"/>
    <x v="11"/>
    <x v="0"/>
    <s v="Preservativo Masculino"/>
    <s v="Cores e Sabores"/>
    <x v="12"/>
    <n v="17"/>
  </r>
  <r>
    <x v="13"/>
    <n v="2024"/>
    <x v="0"/>
    <x v="0"/>
    <s v="Preservativo Masculino"/>
    <s v="Cores e Sabores"/>
    <x v="13"/>
    <n v="0"/>
  </r>
  <r>
    <x v="13"/>
    <n v="2024"/>
    <x v="1"/>
    <x v="0"/>
    <s v="Preservativo Masculino"/>
    <s v="Cores e Sabores"/>
    <x v="13"/>
    <n v="0"/>
  </r>
  <r>
    <x v="13"/>
    <n v="2024"/>
    <x v="2"/>
    <x v="0"/>
    <s v="Preservativo Masculino"/>
    <s v="Cores e Sabores"/>
    <x v="13"/>
    <n v="0"/>
  </r>
  <r>
    <x v="13"/>
    <n v="2024"/>
    <x v="3"/>
    <x v="0"/>
    <s v="Preservativo Masculino"/>
    <s v="Cores e Sabores"/>
    <x v="13"/>
    <n v="0"/>
  </r>
  <r>
    <x v="13"/>
    <n v="2024"/>
    <x v="4"/>
    <x v="0"/>
    <s v="Preservativo Masculino"/>
    <s v="Cores e Sabores"/>
    <x v="13"/>
    <n v="0"/>
  </r>
  <r>
    <x v="13"/>
    <n v="2024"/>
    <x v="5"/>
    <x v="0"/>
    <s v="Preservativo Masculino"/>
    <s v="Cores e Sabores"/>
    <x v="13"/>
    <n v="0"/>
  </r>
  <r>
    <x v="13"/>
    <n v="2024"/>
    <x v="6"/>
    <x v="0"/>
    <s v="Preservativo Masculino"/>
    <s v="Cores e Sabores"/>
    <x v="13"/>
    <n v="0"/>
  </r>
  <r>
    <x v="13"/>
    <n v="2024"/>
    <x v="7"/>
    <x v="0"/>
    <s v="Preservativo Masculino"/>
    <s v="Cores e Sabores"/>
    <x v="13"/>
    <n v="0"/>
  </r>
  <r>
    <x v="13"/>
    <n v="2024"/>
    <x v="8"/>
    <x v="0"/>
    <s v="Preservativo Masculino"/>
    <s v="Cores e Sabores"/>
    <x v="13"/>
    <n v="2"/>
  </r>
  <r>
    <x v="13"/>
    <n v="2024"/>
    <x v="9"/>
    <x v="0"/>
    <s v="Preservativo Masculino"/>
    <s v="Cores e Sabores"/>
    <x v="13"/>
    <n v="0"/>
  </r>
  <r>
    <x v="13"/>
    <n v="2024"/>
    <x v="10"/>
    <x v="0"/>
    <s v="Preservativo Masculino"/>
    <s v="Cores e Sabores"/>
    <x v="13"/>
    <n v="2621"/>
  </r>
  <r>
    <x v="13"/>
    <n v="2024"/>
    <x v="11"/>
    <x v="0"/>
    <s v="Preservativo Masculino"/>
    <s v="Cores e Sabores"/>
    <x v="13"/>
    <n v="1256"/>
  </r>
  <r>
    <x v="14"/>
    <n v="2024"/>
    <x v="0"/>
    <x v="0"/>
    <s v="Preservativo Masculino"/>
    <s v="Cores e Sabores"/>
    <x v="14"/>
    <n v="0"/>
  </r>
  <r>
    <x v="14"/>
    <n v="2024"/>
    <x v="1"/>
    <x v="0"/>
    <s v="Preservativo Masculino"/>
    <s v="Cores e Sabores"/>
    <x v="14"/>
    <n v="0"/>
  </r>
  <r>
    <x v="14"/>
    <n v="2024"/>
    <x v="2"/>
    <x v="0"/>
    <s v="Preservativo Masculino"/>
    <s v="Cores e Sabores"/>
    <x v="14"/>
    <n v="0"/>
  </r>
  <r>
    <x v="14"/>
    <n v="2024"/>
    <x v="3"/>
    <x v="0"/>
    <s v="Preservativo Masculino"/>
    <s v="Cores e Sabores"/>
    <x v="14"/>
    <n v="0"/>
  </r>
  <r>
    <x v="14"/>
    <n v="2024"/>
    <x v="4"/>
    <x v="0"/>
    <s v="Preservativo Masculino"/>
    <s v="Cores e Sabores"/>
    <x v="14"/>
    <n v="0"/>
  </r>
  <r>
    <x v="14"/>
    <n v="2024"/>
    <x v="5"/>
    <x v="0"/>
    <s v="Preservativo Masculino"/>
    <s v="Cores e Sabores"/>
    <x v="14"/>
    <n v="0"/>
  </r>
  <r>
    <x v="14"/>
    <n v="2024"/>
    <x v="6"/>
    <x v="0"/>
    <s v="Preservativo Masculino"/>
    <s v="Cores e Sabores"/>
    <x v="14"/>
    <n v="0"/>
  </r>
  <r>
    <x v="14"/>
    <n v="2024"/>
    <x v="7"/>
    <x v="0"/>
    <s v="Preservativo Masculino"/>
    <s v="Cores e Sabores"/>
    <x v="14"/>
    <n v="0"/>
  </r>
  <r>
    <x v="14"/>
    <n v="2024"/>
    <x v="8"/>
    <x v="0"/>
    <s v="Preservativo Masculino"/>
    <s v="Cores e Sabores"/>
    <x v="14"/>
    <n v="1313"/>
  </r>
  <r>
    <x v="14"/>
    <n v="2024"/>
    <x v="9"/>
    <x v="0"/>
    <s v="Preservativo Masculino"/>
    <s v="Cores e Sabores"/>
    <x v="14"/>
    <n v="1319"/>
  </r>
  <r>
    <x v="14"/>
    <n v="2024"/>
    <x v="10"/>
    <x v="0"/>
    <s v="Preservativo Masculino"/>
    <s v="Cores e Sabores"/>
    <x v="14"/>
    <n v="1240"/>
  </r>
  <r>
    <x v="14"/>
    <n v="2024"/>
    <x v="11"/>
    <x v="0"/>
    <s v="Preservativo Masculino"/>
    <s v="Cores e Sabores"/>
    <x v="14"/>
    <n v="1009"/>
  </r>
  <r>
    <x v="15"/>
    <n v="2024"/>
    <x v="0"/>
    <x v="0"/>
    <s v="Preservativo Masculino"/>
    <s v="Performance"/>
    <x v="15"/>
    <n v="0"/>
  </r>
  <r>
    <x v="15"/>
    <n v="2024"/>
    <x v="1"/>
    <x v="0"/>
    <s v="Preservativo Masculino"/>
    <s v="Performance"/>
    <x v="15"/>
    <n v="0"/>
  </r>
  <r>
    <x v="15"/>
    <n v="2024"/>
    <x v="2"/>
    <x v="0"/>
    <s v="Preservativo Masculino"/>
    <s v="Performance"/>
    <x v="15"/>
    <n v="0"/>
  </r>
  <r>
    <x v="15"/>
    <n v="2024"/>
    <x v="3"/>
    <x v="0"/>
    <s v="Preservativo Masculino"/>
    <s v="Performance"/>
    <x v="15"/>
    <n v="0"/>
  </r>
  <r>
    <x v="15"/>
    <n v="2024"/>
    <x v="4"/>
    <x v="0"/>
    <s v="Preservativo Masculino"/>
    <s v="Performance"/>
    <x v="15"/>
    <n v="0"/>
  </r>
  <r>
    <x v="15"/>
    <n v="2024"/>
    <x v="5"/>
    <x v="0"/>
    <s v="Preservativo Masculino"/>
    <s v="Performance"/>
    <x v="15"/>
    <n v="0"/>
  </r>
  <r>
    <x v="15"/>
    <n v="2024"/>
    <x v="6"/>
    <x v="0"/>
    <s v="Preservativo Masculino"/>
    <s v="Performance"/>
    <x v="15"/>
    <n v="0"/>
  </r>
  <r>
    <x v="15"/>
    <n v="2024"/>
    <x v="7"/>
    <x v="0"/>
    <s v="Preservativo Masculino"/>
    <s v="Performance"/>
    <x v="15"/>
    <n v="0"/>
  </r>
  <r>
    <x v="15"/>
    <n v="2024"/>
    <x v="8"/>
    <x v="0"/>
    <s v="Preservativo Masculino"/>
    <s v="Performance"/>
    <x v="15"/>
    <n v="9863"/>
  </r>
  <r>
    <x v="15"/>
    <n v="2024"/>
    <x v="9"/>
    <x v="0"/>
    <s v="Preservativo Masculino"/>
    <s v="Performance"/>
    <x v="15"/>
    <n v="5762"/>
  </r>
  <r>
    <x v="15"/>
    <n v="2024"/>
    <x v="10"/>
    <x v="0"/>
    <s v="Preservativo Masculino"/>
    <s v="Performance"/>
    <x v="15"/>
    <n v="4683"/>
  </r>
  <r>
    <x v="15"/>
    <n v="2024"/>
    <x v="11"/>
    <x v="0"/>
    <s v="Preservativo Masculino"/>
    <s v="Performance"/>
    <x v="15"/>
    <n v="4561"/>
  </r>
  <r>
    <x v="16"/>
    <n v="2024"/>
    <x v="0"/>
    <x v="0"/>
    <s v="Preservativo Masculino"/>
    <s v="Performance"/>
    <x v="16"/>
    <n v="0"/>
  </r>
  <r>
    <x v="16"/>
    <n v="2024"/>
    <x v="1"/>
    <x v="0"/>
    <s v="Preservativo Masculino"/>
    <s v="Performance"/>
    <x v="16"/>
    <n v="0"/>
  </r>
  <r>
    <x v="16"/>
    <n v="2024"/>
    <x v="2"/>
    <x v="0"/>
    <s v="Preservativo Masculino"/>
    <s v="Performance"/>
    <x v="16"/>
    <n v="0"/>
  </r>
  <r>
    <x v="16"/>
    <n v="2024"/>
    <x v="3"/>
    <x v="0"/>
    <s v="Preservativo Masculino"/>
    <s v="Performance"/>
    <x v="16"/>
    <n v="0"/>
  </r>
  <r>
    <x v="16"/>
    <n v="2024"/>
    <x v="4"/>
    <x v="0"/>
    <s v="Preservativo Masculino"/>
    <s v="Performance"/>
    <x v="16"/>
    <n v="0"/>
  </r>
  <r>
    <x v="16"/>
    <n v="2024"/>
    <x v="5"/>
    <x v="0"/>
    <s v="Preservativo Masculino"/>
    <s v="Performance"/>
    <x v="16"/>
    <n v="0"/>
  </r>
  <r>
    <x v="16"/>
    <n v="2024"/>
    <x v="6"/>
    <x v="0"/>
    <s v="Preservativo Masculino"/>
    <s v="Performance"/>
    <x v="16"/>
    <n v="0"/>
  </r>
  <r>
    <x v="16"/>
    <n v="2024"/>
    <x v="7"/>
    <x v="0"/>
    <s v="Preservativo Masculino"/>
    <s v="Performance"/>
    <x v="16"/>
    <n v="0"/>
  </r>
  <r>
    <x v="16"/>
    <n v="2024"/>
    <x v="8"/>
    <x v="0"/>
    <s v="Preservativo Masculino"/>
    <s v="Performance"/>
    <x v="16"/>
    <n v="5"/>
  </r>
  <r>
    <x v="16"/>
    <n v="2024"/>
    <x v="9"/>
    <x v="0"/>
    <s v="Preservativo Masculino"/>
    <s v="Performance"/>
    <x v="16"/>
    <n v="2"/>
  </r>
  <r>
    <x v="16"/>
    <n v="2024"/>
    <x v="10"/>
    <x v="0"/>
    <s v="Preservativo Masculino"/>
    <s v="Performance"/>
    <x v="16"/>
    <n v="2974"/>
  </r>
  <r>
    <x v="16"/>
    <n v="2024"/>
    <x v="11"/>
    <x v="0"/>
    <s v="Preservativo Masculino"/>
    <s v="Performance"/>
    <x v="16"/>
    <n v="3961"/>
  </r>
  <r>
    <x v="17"/>
    <n v="2024"/>
    <x v="0"/>
    <x v="0"/>
    <s v="Preservativo Masculino"/>
    <s v="Performance"/>
    <x v="17"/>
    <n v="0"/>
  </r>
  <r>
    <x v="17"/>
    <n v="2024"/>
    <x v="1"/>
    <x v="0"/>
    <s v="Preservativo Masculino"/>
    <s v="Performance"/>
    <x v="17"/>
    <n v="0"/>
  </r>
  <r>
    <x v="17"/>
    <n v="2024"/>
    <x v="2"/>
    <x v="0"/>
    <s v="Preservativo Masculino"/>
    <s v="Performance"/>
    <x v="17"/>
    <n v="0"/>
  </r>
  <r>
    <x v="17"/>
    <n v="2024"/>
    <x v="3"/>
    <x v="0"/>
    <s v="Preservativo Masculino"/>
    <s v="Performance"/>
    <x v="17"/>
    <n v="0"/>
  </r>
  <r>
    <x v="17"/>
    <n v="2024"/>
    <x v="4"/>
    <x v="0"/>
    <s v="Preservativo Masculino"/>
    <s v="Performance"/>
    <x v="17"/>
    <n v="0"/>
  </r>
  <r>
    <x v="17"/>
    <n v="2024"/>
    <x v="5"/>
    <x v="0"/>
    <s v="Preservativo Masculino"/>
    <s v="Performance"/>
    <x v="17"/>
    <n v="0"/>
  </r>
  <r>
    <x v="17"/>
    <n v="2024"/>
    <x v="6"/>
    <x v="0"/>
    <s v="Preservativo Masculino"/>
    <s v="Performance"/>
    <x v="17"/>
    <n v="0"/>
  </r>
  <r>
    <x v="17"/>
    <n v="2024"/>
    <x v="7"/>
    <x v="0"/>
    <s v="Preservativo Masculino"/>
    <s v="Performance"/>
    <x v="17"/>
    <n v="0"/>
  </r>
  <r>
    <x v="17"/>
    <n v="2024"/>
    <x v="8"/>
    <x v="0"/>
    <s v="Preservativo Masculino"/>
    <s v="Performance"/>
    <x v="17"/>
    <n v="175"/>
  </r>
  <r>
    <x v="17"/>
    <n v="2024"/>
    <x v="9"/>
    <x v="0"/>
    <s v="Preservativo Masculino"/>
    <s v="Performance"/>
    <x v="17"/>
    <n v="14"/>
  </r>
  <r>
    <x v="17"/>
    <n v="2024"/>
    <x v="10"/>
    <x v="0"/>
    <s v="Preservativo Masculino"/>
    <s v="Performance"/>
    <x v="17"/>
    <n v="8"/>
  </r>
  <r>
    <x v="17"/>
    <n v="2024"/>
    <x v="11"/>
    <x v="0"/>
    <s v="Preservativo Masculino"/>
    <s v="Performance"/>
    <x v="17"/>
    <n v="5372"/>
  </r>
  <r>
    <x v="18"/>
    <n v="2024"/>
    <x v="0"/>
    <x v="0"/>
    <s v="Preservativo Masculino"/>
    <s v="Performance"/>
    <x v="18"/>
    <n v="0"/>
  </r>
  <r>
    <x v="18"/>
    <n v="2024"/>
    <x v="1"/>
    <x v="0"/>
    <s v="Preservativo Masculino"/>
    <s v="Performance"/>
    <x v="18"/>
    <n v="0"/>
  </r>
  <r>
    <x v="18"/>
    <n v="2024"/>
    <x v="2"/>
    <x v="0"/>
    <s v="Preservativo Masculino"/>
    <s v="Performance"/>
    <x v="18"/>
    <n v="0"/>
  </r>
  <r>
    <x v="18"/>
    <n v="2024"/>
    <x v="3"/>
    <x v="0"/>
    <s v="Preservativo Masculino"/>
    <s v="Performance"/>
    <x v="18"/>
    <n v="0"/>
  </r>
  <r>
    <x v="18"/>
    <n v="2024"/>
    <x v="4"/>
    <x v="0"/>
    <s v="Preservativo Masculino"/>
    <s v="Performance"/>
    <x v="18"/>
    <n v="0"/>
  </r>
  <r>
    <x v="18"/>
    <n v="2024"/>
    <x v="5"/>
    <x v="0"/>
    <s v="Preservativo Masculino"/>
    <s v="Performance"/>
    <x v="18"/>
    <n v="0"/>
  </r>
  <r>
    <x v="18"/>
    <n v="2024"/>
    <x v="6"/>
    <x v="0"/>
    <s v="Preservativo Masculino"/>
    <s v="Performance"/>
    <x v="18"/>
    <n v="0"/>
  </r>
  <r>
    <x v="18"/>
    <n v="2024"/>
    <x v="7"/>
    <x v="0"/>
    <s v="Preservativo Masculino"/>
    <s v="Performance"/>
    <x v="18"/>
    <n v="0"/>
  </r>
  <r>
    <x v="18"/>
    <n v="2024"/>
    <x v="8"/>
    <x v="0"/>
    <s v="Preservativo Masculino"/>
    <s v="Performance"/>
    <x v="18"/>
    <n v="1"/>
  </r>
  <r>
    <x v="18"/>
    <n v="2024"/>
    <x v="9"/>
    <x v="0"/>
    <s v="Preservativo Masculino"/>
    <s v="Performance"/>
    <x v="18"/>
    <n v="39"/>
  </r>
  <r>
    <x v="18"/>
    <n v="2024"/>
    <x v="10"/>
    <x v="0"/>
    <s v="Preservativo Masculino"/>
    <s v="Performance"/>
    <x v="18"/>
    <n v="2"/>
  </r>
  <r>
    <x v="18"/>
    <n v="2024"/>
    <x v="11"/>
    <x v="0"/>
    <s v="Preservativo Masculino"/>
    <s v="Performance"/>
    <x v="18"/>
    <n v="2930"/>
  </r>
  <r>
    <x v="19"/>
    <n v="2024"/>
    <x v="0"/>
    <x v="0"/>
    <s v="Preservativo Masculino"/>
    <s v="Performance"/>
    <x v="19"/>
    <n v="0"/>
  </r>
  <r>
    <x v="19"/>
    <n v="2024"/>
    <x v="1"/>
    <x v="0"/>
    <s v="Preservativo Masculino"/>
    <s v="Performance"/>
    <x v="19"/>
    <n v="0"/>
  </r>
  <r>
    <x v="19"/>
    <n v="2024"/>
    <x v="2"/>
    <x v="0"/>
    <s v="Preservativo Masculino"/>
    <s v="Performance"/>
    <x v="19"/>
    <n v="0"/>
  </r>
  <r>
    <x v="19"/>
    <n v="2024"/>
    <x v="3"/>
    <x v="0"/>
    <s v="Preservativo Masculino"/>
    <s v="Performance"/>
    <x v="19"/>
    <n v="0"/>
  </r>
  <r>
    <x v="19"/>
    <n v="2024"/>
    <x v="4"/>
    <x v="0"/>
    <s v="Preservativo Masculino"/>
    <s v="Performance"/>
    <x v="19"/>
    <n v="0"/>
  </r>
  <r>
    <x v="19"/>
    <n v="2024"/>
    <x v="5"/>
    <x v="0"/>
    <s v="Preservativo Masculino"/>
    <s v="Performance"/>
    <x v="19"/>
    <n v="0"/>
  </r>
  <r>
    <x v="19"/>
    <n v="2024"/>
    <x v="6"/>
    <x v="0"/>
    <s v="Preservativo Masculino"/>
    <s v="Performance"/>
    <x v="19"/>
    <n v="0"/>
  </r>
  <r>
    <x v="19"/>
    <n v="2024"/>
    <x v="7"/>
    <x v="0"/>
    <s v="Preservativo Masculino"/>
    <s v="Performance"/>
    <x v="19"/>
    <n v="0"/>
  </r>
  <r>
    <x v="19"/>
    <n v="2024"/>
    <x v="8"/>
    <x v="0"/>
    <s v="Preservativo Masculino"/>
    <s v="Performance"/>
    <x v="19"/>
    <n v="2133"/>
  </r>
  <r>
    <x v="19"/>
    <n v="2024"/>
    <x v="9"/>
    <x v="0"/>
    <s v="Preservativo Masculino"/>
    <s v="Performance"/>
    <x v="19"/>
    <n v="2110"/>
  </r>
  <r>
    <x v="19"/>
    <n v="2024"/>
    <x v="10"/>
    <x v="0"/>
    <s v="Preservativo Masculino"/>
    <s v="Performance"/>
    <x v="19"/>
    <n v="3544"/>
  </r>
  <r>
    <x v="19"/>
    <n v="2024"/>
    <x v="11"/>
    <x v="0"/>
    <s v="Preservativo Masculino"/>
    <s v="Performance"/>
    <x v="19"/>
    <n v="3453"/>
  </r>
  <r>
    <x v="20"/>
    <n v="2024"/>
    <x v="0"/>
    <x v="0"/>
    <s v="Preservativo Masculino"/>
    <s v="Performance"/>
    <x v="20"/>
    <n v="0"/>
  </r>
  <r>
    <x v="20"/>
    <n v="2024"/>
    <x v="1"/>
    <x v="0"/>
    <s v="Preservativo Masculino"/>
    <s v="Performance"/>
    <x v="20"/>
    <n v="0"/>
  </r>
  <r>
    <x v="20"/>
    <n v="2024"/>
    <x v="2"/>
    <x v="0"/>
    <s v="Preservativo Masculino"/>
    <s v="Performance"/>
    <x v="20"/>
    <n v="0"/>
  </r>
  <r>
    <x v="20"/>
    <n v="2024"/>
    <x v="3"/>
    <x v="0"/>
    <s v="Preservativo Masculino"/>
    <s v="Performance"/>
    <x v="20"/>
    <n v="0"/>
  </r>
  <r>
    <x v="20"/>
    <n v="2024"/>
    <x v="4"/>
    <x v="0"/>
    <s v="Preservativo Masculino"/>
    <s v="Performance"/>
    <x v="20"/>
    <n v="0"/>
  </r>
  <r>
    <x v="20"/>
    <n v="2024"/>
    <x v="5"/>
    <x v="0"/>
    <s v="Preservativo Masculino"/>
    <s v="Performance"/>
    <x v="20"/>
    <n v="0"/>
  </r>
  <r>
    <x v="20"/>
    <n v="2024"/>
    <x v="6"/>
    <x v="0"/>
    <s v="Preservativo Masculino"/>
    <s v="Performance"/>
    <x v="20"/>
    <n v="0"/>
  </r>
  <r>
    <x v="20"/>
    <n v="2024"/>
    <x v="7"/>
    <x v="0"/>
    <s v="Preservativo Masculino"/>
    <s v="Performance"/>
    <x v="20"/>
    <n v="0"/>
  </r>
  <r>
    <x v="20"/>
    <n v="2024"/>
    <x v="8"/>
    <x v="0"/>
    <s v="Preservativo Masculino"/>
    <s v="Performance"/>
    <x v="20"/>
    <n v="3458"/>
  </r>
  <r>
    <x v="20"/>
    <n v="2024"/>
    <x v="9"/>
    <x v="0"/>
    <s v="Preservativo Masculino"/>
    <s v="Performance"/>
    <x v="20"/>
    <n v="3820"/>
  </r>
  <r>
    <x v="20"/>
    <n v="2024"/>
    <x v="10"/>
    <x v="0"/>
    <s v="Preservativo Masculino"/>
    <s v="Performance"/>
    <x v="20"/>
    <n v="3062"/>
  </r>
  <r>
    <x v="20"/>
    <n v="2024"/>
    <x v="11"/>
    <x v="0"/>
    <s v="Preservativo Masculino"/>
    <s v="Performance"/>
    <x v="20"/>
    <n v="3275"/>
  </r>
  <r>
    <x v="21"/>
    <n v="2024"/>
    <x v="0"/>
    <x v="0"/>
    <s v="Preservativo Masculino"/>
    <s v="Performance"/>
    <x v="21"/>
    <n v="0"/>
  </r>
  <r>
    <x v="21"/>
    <n v="2024"/>
    <x v="1"/>
    <x v="0"/>
    <s v="Preservativo Masculino"/>
    <s v="Performance"/>
    <x v="21"/>
    <n v="0"/>
  </r>
  <r>
    <x v="21"/>
    <n v="2024"/>
    <x v="2"/>
    <x v="0"/>
    <s v="Preservativo Masculino"/>
    <s v="Performance"/>
    <x v="21"/>
    <n v="0"/>
  </r>
  <r>
    <x v="21"/>
    <n v="2024"/>
    <x v="3"/>
    <x v="0"/>
    <s v="Preservativo Masculino"/>
    <s v="Performance"/>
    <x v="21"/>
    <n v="0"/>
  </r>
  <r>
    <x v="21"/>
    <n v="2024"/>
    <x v="4"/>
    <x v="0"/>
    <s v="Preservativo Masculino"/>
    <s v="Performance"/>
    <x v="21"/>
    <n v="0"/>
  </r>
  <r>
    <x v="21"/>
    <n v="2024"/>
    <x v="5"/>
    <x v="0"/>
    <s v="Preservativo Masculino"/>
    <s v="Performance"/>
    <x v="21"/>
    <n v="0"/>
  </r>
  <r>
    <x v="21"/>
    <n v="2024"/>
    <x v="6"/>
    <x v="0"/>
    <s v="Preservativo Masculino"/>
    <s v="Performance"/>
    <x v="21"/>
    <n v="0"/>
  </r>
  <r>
    <x v="21"/>
    <n v="2024"/>
    <x v="7"/>
    <x v="0"/>
    <s v="Preservativo Masculino"/>
    <s v="Performance"/>
    <x v="21"/>
    <n v="0"/>
  </r>
  <r>
    <x v="21"/>
    <n v="2024"/>
    <x v="8"/>
    <x v="0"/>
    <s v="Preservativo Masculino"/>
    <s v="Performance"/>
    <x v="21"/>
    <n v="2"/>
  </r>
  <r>
    <x v="21"/>
    <n v="2024"/>
    <x v="9"/>
    <x v="0"/>
    <s v="Preservativo Masculino"/>
    <s v="Performance"/>
    <x v="21"/>
    <n v="0"/>
  </r>
  <r>
    <x v="21"/>
    <n v="2024"/>
    <x v="10"/>
    <x v="0"/>
    <s v="Preservativo Masculino"/>
    <s v="Performance"/>
    <x v="21"/>
    <n v="0"/>
  </r>
  <r>
    <x v="21"/>
    <n v="2024"/>
    <x v="11"/>
    <x v="0"/>
    <s v="Preservativo Masculino"/>
    <s v="Performance"/>
    <x v="21"/>
    <n v="1259"/>
  </r>
  <r>
    <x v="22"/>
    <n v="2024"/>
    <x v="0"/>
    <x v="0"/>
    <s v="Preservativo Masculino"/>
    <s v="Cores e Sabores"/>
    <x v="22"/>
    <n v="0"/>
  </r>
  <r>
    <x v="22"/>
    <n v="2024"/>
    <x v="1"/>
    <x v="0"/>
    <s v="Preservativo Masculino"/>
    <s v="Cores e Sabores"/>
    <x v="22"/>
    <n v="0"/>
  </r>
  <r>
    <x v="22"/>
    <n v="2024"/>
    <x v="2"/>
    <x v="0"/>
    <s v="Preservativo Masculino"/>
    <s v="Cores e Sabores"/>
    <x v="22"/>
    <n v="0"/>
  </r>
  <r>
    <x v="22"/>
    <n v="2024"/>
    <x v="3"/>
    <x v="0"/>
    <s v="Preservativo Masculino"/>
    <s v="Cores e Sabores"/>
    <x v="22"/>
    <n v="0"/>
  </r>
  <r>
    <x v="22"/>
    <n v="2024"/>
    <x v="4"/>
    <x v="0"/>
    <s v="Preservativo Masculino"/>
    <s v="Cores e Sabores"/>
    <x v="22"/>
    <n v="0"/>
  </r>
  <r>
    <x v="22"/>
    <n v="2024"/>
    <x v="5"/>
    <x v="0"/>
    <s v="Preservativo Masculino"/>
    <s v="Cores e Sabores"/>
    <x v="22"/>
    <n v="0"/>
  </r>
  <r>
    <x v="22"/>
    <n v="2024"/>
    <x v="6"/>
    <x v="0"/>
    <s v="Preservativo Masculino"/>
    <s v="Cores e Sabores"/>
    <x v="22"/>
    <n v="0"/>
  </r>
  <r>
    <x v="22"/>
    <n v="2024"/>
    <x v="7"/>
    <x v="0"/>
    <s v="Preservativo Masculino"/>
    <s v="Cores e Sabores"/>
    <x v="22"/>
    <n v="0"/>
  </r>
  <r>
    <x v="22"/>
    <n v="2024"/>
    <x v="8"/>
    <x v="0"/>
    <s v="Preservativo Masculino"/>
    <s v="Cores e Sabores"/>
    <x v="22"/>
    <n v="0"/>
  </r>
  <r>
    <x v="22"/>
    <n v="2024"/>
    <x v="9"/>
    <x v="0"/>
    <s v="Preservativo Masculino"/>
    <s v="Cores e Sabores"/>
    <x v="22"/>
    <n v="0"/>
  </r>
  <r>
    <x v="22"/>
    <n v="2024"/>
    <x v="10"/>
    <x v="0"/>
    <s v="Preservativo Masculino"/>
    <s v="Cores e Sabores"/>
    <x v="22"/>
    <n v="0"/>
  </r>
  <r>
    <x v="22"/>
    <n v="2024"/>
    <x v="11"/>
    <x v="0"/>
    <s v="Preservativo Masculino"/>
    <s v="Cores e Sabores"/>
    <x v="22"/>
    <n v="0"/>
  </r>
  <r>
    <x v="23"/>
    <n v="2024"/>
    <x v="0"/>
    <x v="0"/>
    <s v="Preservativo Masculino"/>
    <s v="Performance"/>
    <x v="23"/>
    <n v="0"/>
  </r>
  <r>
    <x v="23"/>
    <n v="2024"/>
    <x v="1"/>
    <x v="0"/>
    <s v="Preservativo Masculino"/>
    <s v="Performance"/>
    <x v="23"/>
    <n v="0"/>
  </r>
  <r>
    <x v="23"/>
    <n v="2024"/>
    <x v="2"/>
    <x v="0"/>
    <s v="Preservativo Masculino"/>
    <s v="Performance"/>
    <x v="23"/>
    <n v="0"/>
  </r>
  <r>
    <x v="23"/>
    <n v="2024"/>
    <x v="3"/>
    <x v="0"/>
    <s v="Preservativo Masculino"/>
    <s v="Performance"/>
    <x v="23"/>
    <n v="0"/>
  </r>
  <r>
    <x v="23"/>
    <n v="2024"/>
    <x v="4"/>
    <x v="0"/>
    <s v="Preservativo Masculino"/>
    <s v="Performance"/>
    <x v="23"/>
    <n v="0"/>
  </r>
  <r>
    <x v="23"/>
    <n v="2024"/>
    <x v="5"/>
    <x v="0"/>
    <s v="Preservativo Masculino"/>
    <s v="Performance"/>
    <x v="23"/>
    <n v="0"/>
  </r>
  <r>
    <x v="23"/>
    <n v="2024"/>
    <x v="6"/>
    <x v="0"/>
    <s v="Preservativo Masculino"/>
    <s v="Performance"/>
    <x v="23"/>
    <n v="0"/>
  </r>
  <r>
    <x v="23"/>
    <n v="2024"/>
    <x v="7"/>
    <x v="0"/>
    <s v="Preservativo Masculino"/>
    <s v="Performance"/>
    <x v="23"/>
    <n v="0"/>
  </r>
  <r>
    <x v="23"/>
    <n v="2024"/>
    <x v="8"/>
    <x v="0"/>
    <s v="Preservativo Masculino"/>
    <s v="Performance"/>
    <x v="23"/>
    <n v="4"/>
  </r>
  <r>
    <x v="23"/>
    <n v="2024"/>
    <x v="9"/>
    <x v="0"/>
    <s v="Preservativo Masculino"/>
    <s v="Performance"/>
    <x v="23"/>
    <n v="0"/>
  </r>
  <r>
    <x v="23"/>
    <n v="2024"/>
    <x v="10"/>
    <x v="0"/>
    <s v="Preservativo Masculino"/>
    <s v="Performance"/>
    <x v="23"/>
    <n v="4"/>
  </r>
  <r>
    <x v="23"/>
    <n v="2024"/>
    <x v="11"/>
    <x v="0"/>
    <s v="Preservativo Masculino"/>
    <s v="Performance"/>
    <x v="23"/>
    <n v="0"/>
  </r>
  <r>
    <x v="24"/>
    <n v="2024"/>
    <x v="0"/>
    <x v="0"/>
    <s v="Preservativo Masculino"/>
    <s v="Performance"/>
    <x v="24"/>
    <n v="0"/>
  </r>
  <r>
    <x v="24"/>
    <n v="2024"/>
    <x v="1"/>
    <x v="0"/>
    <s v="Preservativo Masculino"/>
    <s v="Performance"/>
    <x v="24"/>
    <n v="0"/>
  </r>
  <r>
    <x v="24"/>
    <n v="2024"/>
    <x v="2"/>
    <x v="0"/>
    <s v="Preservativo Masculino"/>
    <s v="Performance"/>
    <x v="24"/>
    <n v="0"/>
  </r>
  <r>
    <x v="24"/>
    <n v="2024"/>
    <x v="3"/>
    <x v="0"/>
    <s v="Preservativo Masculino"/>
    <s v="Performance"/>
    <x v="24"/>
    <n v="0"/>
  </r>
  <r>
    <x v="24"/>
    <n v="2024"/>
    <x v="4"/>
    <x v="0"/>
    <s v="Preservativo Masculino"/>
    <s v="Performance"/>
    <x v="24"/>
    <n v="0"/>
  </r>
  <r>
    <x v="24"/>
    <n v="2024"/>
    <x v="5"/>
    <x v="0"/>
    <s v="Preservativo Masculino"/>
    <s v="Performance"/>
    <x v="24"/>
    <n v="0"/>
  </r>
  <r>
    <x v="24"/>
    <n v="2024"/>
    <x v="6"/>
    <x v="0"/>
    <s v="Preservativo Masculino"/>
    <s v="Performance"/>
    <x v="24"/>
    <n v="0"/>
  </r>
  <r>
    <x v="24"/>
    <n v="2024"/>
    <x v="7"/>
    <x v="0"/>
    <s v="Preservativo Masculino"/>
    <s v="Performance"/>
    <x v="24"/>
    <n v="0"/>
  </r>
  <r>
    <x v="24"/>
    <n v="2024"/>
    <x v="8"/>
    <x v="0"/>
    <s v="Preservativo Masculino"/>
    <s v="Performance"/>
    <x v="24"/>
    <n v="0"/>
  </r>
  <r>
    <x v="24"/>
    <n v="2024"/>
    <x v="9"/>
    <x v="0"/>
    <s v="Preservativo Masculino"/>
    <s v="Performance"/>
    <x v="24"/>
    <n v="760"/>
  </r>
  <r>
    <x v="24"/>
    <n v="2024"/>
    <x v="10"/>
    <x v="0"/>
    <s v="Preservativo Masculino"/>
    <s v="Performance"/>
    <x v="24"/>
    <n v="769"/>
  </r>
  <r>
    <x v="24"/>
    <n v="2024"/>
    <x v="11"/>
    <x v="0"/>
    <s v="Preservativo Masculino"/>
    <s v="Performance"/>
    <x v="24"/>
    <n v="408"/>
  </r>
  <r>
    <x v="25"/>
    <n v="2024"/>
    <x v="0"/>
    <x v="0"/>
    <s v="Preservativo Masculino"/>
    <s v="Performance"/>
    <x v="25"/>
    <n v="0"/>
  </r>
  <r>
    <x v="25"/>
    <n v="2024"/>
    <x v="1"/>
    <x v="0"/>
    <s v="Preservativo Masculino"/>
    <s v="Performance"/>
    <x v="25"/>
    <n v="0"/>
  </r>
  <r>
    <x v="25"/>
    <n v="2024"/>
    <x v="2"/>
    <x v="0"/>
    <s v="Preservativo Masculino"/>
    <s v="Performance"/>
    <x v="25"/>
    <n v="0"/>
  </r>
  <r>
    <x v="25"/>
    <n v="2024"/>
    <x v="3"/>
    <x v="0"/>
    <s v="Preservativo Masculino"/>
    <s v="Performance"/>
    <x v="25"/>
    <n v="0"/>
  </r>
  <r>
    <x v="25"/>
    <n v="2024"/>
    <x v="4"/>
    <x v="0"/>
    <s v="Preservativo Masculino"/>
    <s v="Performance"/>
    <x v="25"/>
    <n v="0"/>
  </r>
  <r>
    <x v="25"/>
    <n v="2024"/>
    <x v="5"/>
    <x v="0"/>
    <s v="Preservativo Masculino"/>
    <s v="Performance"/>
    <x v="25"/>
    <n v="0"/>
  </r>
  <r>
    <x v="25"/>
    <n v="2024"/>
    <x v="6"/>
    <x v="0"/>
    <s v="Preservativo Masculino"/>
    <s v="Performance"/>
    <x v="25"/>
    <n v="0"/>
  </r>
  <r>
    <x v="25"/>
    <n v="2024"/>
    <x v="7"/>
    <x v="0"/>
    <s v="Preservativo Masculino"/>
    <s v="Performance"/>
    <x v="25"/>
    <n v="0"/>
  </r>
  <r>
    <x v="25"/>
    <n v="2024"/>
    <x v="8"/>
    <x v="0"/>
    <s v="Preservativo Masculino"/>
    <s v="Performance"/>
    <x v="25"/>
    <n v="0"/>
  </r>
  <r>
    <x v="25"/>
    <n v="2024"/>
    <x v="9"/>
    <x v="0"/>
    <s v="Preservativo Masculino"/>
    <s v="Performance"/>
    <x v="25"/>
    <n v="0"/>
  </r>
  <r>
    <x v="25"/>
    <n v="2024"/>
    <x v="10"/>
    <x v="0"/>
    <s v="Preservativo Masculino"/>
    <s v="Performance"/>
    <x v="25"/>
    <n v="0"/>
  </r>
  <r>
    <x v="25"/>
    <n v="2024"/>
    <x v="11"/>
    <x v="0"/>
    <s v="Preservativo Masculino"/>
    <s v="Performance"/>
    <x v="25"/>
    <n v="632"/>
  </r>
  <r>
    <x v="26"/>
    <n v="2024"/>
    <x v="0"/>
    <x v="0"/>
    <s v="Preservativo Masculino"/>
    <s v="Low Price "/>
    <x v="26"/>
    <n v="0"/>
  </r>
  <r>
    <x v="26"/>
    <n v="2024"/>
    <x v="1"/>
    <x v="0"/>
    <s v="Preservativo Masculino"/>
    <s v="Low Price "/>
    <x v="26"/>
    <n v="0"/>
  </r>
  <r>
    <x v="26"/>
    <n v="2024"/>
    <x v="2"/>
    <x v="0"/>
    <s v="Preservativo Masculino"/>
    <s v="Low Price "/>
    <x v="26"/>
    <n v="0"/>
  </r>
  <r>
    <x v="26"/>
    <n v="2024"/>
    <x v="3"/>
    <x v="0"/>
    <s v="Preservativo Masculino"/>
    <s v="Low Price "/>
    <x v="26"/>
    <n v="0"/>
  </r>
  <r>
    <x v="26"/>
    <n v="2024"/>
    <x v="4"/>
    <x v="0"/>
    <s v="Preservativo Masculino"/>
    <s v="Low Price "/>
    <x v="26"/>
    <n v="0"/>
  </r>
  <r>
    <x v="26"/>
    <n v="2024"/>
    <x v="5"/>
    <x v="0"/>
    <s v="Preservativo Masculino"/>
    <s v="Low Price "/>
    <x v="26"/>
    <n v="0"/>
  </r>
  <r>
    <x v="26"/>
    <n v="2024"/>
    <x v="6"/>
    <x v="0"/>
    <s v="Preservativo Masculino"/>
    <s v="Low Price "/>
    <x v="26"/>
    <n v="0"/>
  </r>
  <r>
    <x v="26"/>
    <n v="2024"/>
    <x v="7"/>
    <x v="0"/>
    <s v="Preservativo Masculino"/>
    <s v="Low Price "/>
    <x v="26"/>
    <n v="0"/>
  </r>
  <r>
    <x v="26"/>
    <n v="2024"/>
    <x v="8"/>
    <x v="0"/>
    <s v="Preservativo Masculino"/>
    <s v="Low Price "/>
    <x v="26"/>
    <n v="0"/>
  </r>
  <r>
    <x v="26"/>
    <n v="2024"/>
    <x v="9"/>
    <x v="0"/>
    <s v="Preservativo Masculino"/>
    <s v="Low Price "/>
    <x v="26"/>
    <n v="0"/>
  </r>
  <r>
    <x v="26"/>
    <n v="2024"/>
    <x v="10"/>
    <x v="0"/>
    <s v="Preservativo Masculino"/>
    <s v="Low Price "/>
    <x v="26"/>
    <n v="0"/>
  </r>
  <r>
    <x v="26"/>
    <n v="2024"/>
    <x v="11"/>
    <x v="0"/>
    <s v="Preservativo Masculino"/>
    <s v="Low Price "/>
    <x v="26"/>
    <n v="2898"/>
  </r>
  <r>
    <x v="27"/>
    <n v="2024"/>
    <x v="0"/>
    <x v="0"/>
    <s v="Preservativo Masculino"/>
    <s v="Low Price "/>
    <x v="27"/>
    <n v="0"/>
  </r>
  <r>
    <x v="27"/>
    <n v="2024"/>
    <x v="1"/>
    <x v="0"/>
    <s v="Preservativo Masculino"/>
    <s v="Low Price "/>
    <x v="27"/>
    <n v="0"/>
  </r>
  <r>
    <x v="27"/>
    <n v="2024"/>
    <x v="2"/>
    <x v="0"/>
    <s v="Preservativo Masculino"/>
    <s v="Low Price "/>
    <x v="27"/>
    <n v="0"/>
  </r>
  <r>
    <x v="27"/>
    <n v="2024"/>
    <x v="3"/>
    <x v="0"/>
    <s v="Preservativo Masculino"/>
    <s v="Low Price "/>
    <x v="27"/>
    <n v="0"/>
  </r>
  <r>
    <x v="27"/>
    <n v="2024"/>
    <x v="4"/>
    <x v="0"/>
    <s v="Preservativo Masculino"/>
    <s v="Low Price "/>
    <x v="27"/>
    <n v="0"/>
  </r>
  <r>
    <x v="27"/>
    <n v="2024"/>
    <x v="5"/>
    <x v="0"/>
    <s v="Preservativo Masculino"/>
    <s v="Low Price "/>
    <x v="27"/>
    <n v="0"/>
  </r>
  <r>
    <x v="27"/>
    <n v="2024"/>
    <x v="6"/>
    <x v="0"/>
    <s v="Preservativo Masculino"/>
    <s v="Low Price "/>
    <x v="27"/>
    <n v="0"/>
  </r>
  <r>
    <x v="27"/>
    <n v="2024"/>
    <x v="7"/>
    <x v="0"/>
    <s v="Preservativo Masculino"/>
    <s v="Low Price "/>
    <x v="27"/>
    <n v="0"/>
  </r>
  <r>
    <x v="27"/>
    <n v="2024"/>
    <x v="8"/>
    <x v="0"/>
    <s v="Preservativo Masculino"/>
    <s v="Low Price "/>
    <x v="27"/>
    <n v="0"/>
  </r>
  <r>
    <x v="27"/>
    <n v="2024"/>
    <x v="9"/>
    <x v="0"/>
    <s v="Preservativo Masculino"/>
    <s v="Low Price "/>
    <x v="27"/>
    <n v="0"/>
  </r>
  <r>
    <x v="27"/>
    <n v="2024"/>
    <x v="10"/>
    <x v="0"/>
    <s v="Preservativo Masculino"/>
    <s v="Low Price "/>
    <x v="27"/>
    <n v="1986"/>
  </r>
  <r>
    <x v="27"/>
    <n v="2024"/>
    <x v="11"/>
    <x v="0"/>
    <s v="Preservativo Masculino"/>
    <s v="Low Price "/>
    <x v="27"/>
    <n v="976"/>
  </r>
  <r>
    <x v="28"/>
    <n v="2024"/>
    <x v="0"/>
    <x v="0"/>
    <s v="Preservativo Masculino"/>
    <s v="Low Price "/>
    <x v="28"/>
    <n v="0"/>
  </r>
  <r>
    <x v="28"/>
    <n v="2024"/>
    <x v="1"/>
    <x v="0"/>
    <s v="Preservativo Masculino"/>
    <s v="Low Price "/>
    <x v="28"/>
    <n v="0"/>
  </r>
  <r>
    <x v="28"/>
    <n v="2024"/>
    <x v="2"/>
    <x v="0"/>
    <s v="Preservativo Masculino"/>
    <s v="Low Price "/>
    <x v="28"/>
    <n v="0"/>
  </r>
  <r>
    <x v="28"/>
    <n v="2024"/>
    <x v="3"/>
    <x v="0"/>
    <s v="Preservativo Masculino"/>
    <s v="Low Price "/>
    <x v="28"/>
    <n v="0"/>
  </r>
  <r>
    <x v="28"/>
    <n v="2024"/>
    <x v="4"/>
    <x v="0"/>
    <s v="Preservativo Masculino"/>
    <s v="Low Price "/>
    <x v="28"/>
    <n v="0"/>
  </r>
  <r>
    <x v="28"/>
    <n v="2024"/>
    <x v="5"/>
    <x v="0"/>
    <s v="Preservativo Masculino"/>
    <s v="Low Price "/>
    <x v="28"/>
    <n v="0"/>
  </r>
  <r>
    <x v="28"/>
    <n v="2024"/>
    <x v="6"/>
    <x v="0"/>
    <s v="Preservativo Masculino"/>
    <s v="Low Price "/>
    <x v="28"/>
    <n v="0"/>
  </r>
  <r>
    <x v="28"/>
    <n v="2024"/>
    <x v="7"/>
    <x v="0"/>
    <s v="Preservativo Masculino"/>
    <s v="Low Price "/>
    <x v="28"/>
    <n v="0"/>
  </r>
  <r>
    <x v="28"/>
    <n v="2024"/>
    <x v="8"/>
    <x v="0"/>
    <s v="Preservativo Masculino"/>
    <s v="Low Price "/>
    <x v="28"/>
    <n v="0"/>
  </r>
  <r>
    <x v="28"/>
    <n v="2024"/>
    <x v="9"/>
    <x v="0"/>
    <s v="Preservativo Masculino"/>
    <s v="Low Price "/>
    <x v="28"/>
    <n v="0"/>
  </r>
  <r>
    <x v="28"/>
    <n v="2024"/>
    <x v="10"/>
    <x v="0"/>
    <s v="Preservativo Masculino"/>
    <s v="Low Price "/>
    <x v="28"/>
    <n v="0"/>
  </r>
  <r>
    <x v="28"/>
    <n v="2024"/>
    <x v="11"/>
    <x v="0"/>
    <s v="Preservativo Masculino"/>
    <s v="Low Price "/>
    <x v="28"/>
    <n v="3753"/>
  </r>
  <r>
    <x v="29"/>
    <n v="2024"/>
    <x v="0"/>
    <x v="0"/>
    <s v="Preservativo Masculino"/>
    <s v="Low Price "/>
    <x v="29"/>
    <n v="0"/>
  </r>
  <r>
    <x v="29"/>
    <n v="2024"/>
    <x v="1"/>
    <x v="0"/>
    <s v="Preservativo Masculino"/>
    <s v="Low Price "/>
    <x v="29"/>
    <n v="0"/>
  </r>
  <r>
    <x v="29"/>
    <n v="2024"/>
    <x v="2"/>
    <x v="0"/>
    <s v="Preservativo Masculino"/>
    <s v="Low Price "/>
    <x v="29"/>
    <n v="0"/>
  </r>
  <r>
    <x v="29"/>
    <n v="2024"/>
    <x v="3"/>
    <x v="0"/>
    <s v="Preservativo Masculino"/>
    <s v="Low Price "/>
    <x v="29"/>
    <n v="0"/>
  </r>
  <r>
    <x v="29"/>
    <n v="2024"/>
    <x v="4"/>
    <x v="0"/>
    <s v="Preservativo Masculino"/>
    <s v="Low Price "/>
    <x v="29"/>
    <n v="0"/>
  </r>
  <r>
    <x v="29"/>
    <n v="2024"/>
    <x v="5"/>
    <x v="0"/>
    <s v="Preservativo Masculino"/>
    <s v="Low Price "/>
    <x v="29"/>
    <n v="0"/>
  </r>
  <r>
    <x v="29"/>
    <n v="2024"/>
    <x v="6"/>
    <x v="0"/>
    <s v="Preservativo Masculino"/>
    <s v="Low Price "/>
    <x v="29"/>
    <n v="0"/>
  </r>
  <r>
    <x v="29"/>
    <n v="2024"/>
    <x v="7"/>
    <x v="0"/>
    <s v="Preservativo Masculino"/>
    <s v="Low Price "/>
    <x v="29"/>
    <n v="0"/>
  </r>
  <r>
    <x v="29"/>
    <n v="2024"/>
    <x v="8"/>
    <x v="0"/>
    <s v="Preservativo Masculino"/>
    <s v="Low Price "/>
    <x v="29"/>
    <n v="1353"/>
  </r>
  <r>
    <x v="29"/>
    <n v="2024"/>
    <x v="9"/>
    <x v="0"/>
    <s v="Preservativo Masculino"/>
    <s v="Low Price "/>
    <x v="29"/>
    <n v="78"/>
  </r>
  <r>
    <x v="29"/>
    <n v="2024"/>
    <x v="10"/>
    <x v="0"/>
    <s v="Preservativo Masculino"/>
    <s v="Low Price "/>
    <x v="29"/>
    <n v="1987"/>
  </r>
  <r>
    <x v="29"/>
    <n v="2024"/>
    <x v="11"/>
    <x v="0"/>
    <s v="Preservativo Masculino"/>
    <s v="Low Price "/>
    <x v="29"/>
    <n v="2123"/>
  </r>
  <r>
    <x v="30"/>
    <n v="2024"/>
    <x v="0"/>
    <x v="0"/>
    <s v="Preservativo Masculino"/>
    <s v="Básico"/>
    <x v="30"/>
    <n v="0"/>
  </r>
  <r>
    <x v="30"/>
    <n v="2024"/>
    <x v="1"/>
    <x v="0"/>
    <s v="Preservativo Masculino"/>
    <s v="Básico"/>
    <x v="30"/>
    <n v="0"/>
  </r>
  <r>
    <x v="30"/>
    <n v="2024"/>
    <x v="2"/>
    <x v="0"/>
    <s v="Preservativo Masculino"/>
    <s v="Básico"/>
    <x v="30"/>
    <n v="0"/>
  </r>
  <r>
    <x v="30"/>
    <n v="2024"/>
    <x v="3"/>
    <x v="0"/>
    <s v="Preservativo Masculino"/>
    <s v="Básico"/>
    <x v="30"/>
    <n v="0"/>
  </r>
  <r>
    <x v="30"/>
    <n v="2024"/>
    <x v="4"/>
    <x v="0"/>
    <s v="Preservativo Masculino"/>
    <s v="Básico"/>
    <x v="30"/>
    <n v="0"/>
  </r>
  <r>
    <x v="30"/>
    <n v="2024"/>
    <x v="5"/>
    <x v="0"/>
    <s v="Preservativo Masculino"/>
    <s v="Básico"/>
    <x v="30"/>
    <n v="0"/>
  </r>
  <r>
    <x v="30"/>
    <n v="2024"/>
    <x v="6"/>
    <x v="0"/>
    <s v="Preservativo Masculino"/>
    <s v="Básico"/>
    <x v="30"/>
    <n v="0"/>
  </r>
  <r>
    <x v="30"/>
    <n v="2024"/>
    <x v="7"/>
    <x v="0"/>
    <s v="Preservativo Masculino"/>
    <s v="Básico"/>
    <x v="30"/>
    <n v="0"/>
  </r>
  <r>
    <x v="30"/>
    <n v="2024"/>
    <x v="8"/>
    <x v="0"/>
    <s v="Preservativo Masculino"/>
    <s v="Básico"/>
    <x v="30"/>
    <n v="4045"/>
  </r>
  <r>
    <x v="30"/>
    <n v="2024"/>
    <x v="9"/>
    <x v="0"/>
    <s v="Preservativo Masculino"/>
    <s v="Básico"/>
    <x v="30"/>
    <n v="1998"/>
  </r>
  <r>
    <x v="30"/>
    <n v="2024"/>
    <x v="10"/>
    <x v="0"/>
    <s v="Preservativo Masculino"/>
    <s v="Básico"/>
    <x v="30"/>
    <n v="1067"/>
  </r>
  <r>
    <x v="30"/>
    <n v="2024"/>
    <x v="11"/>
    <x v="0"/>
    <s v="Preservativo Masculino"/>
    <s v="Básico"/>
    <x v="30"/>
    <n v="2903"/>
  </r>
  <r>
    <x v="31"/>
    <n v="2024"/>
    <x v="0"/>
    <x v="0"/>
    <s v="Preservativo Masculino"/>
    <s v="Básico"/>
    <x v="31"/>
    <n v="0"/>
  </r>
  <r>
    <x v="31"/>
    <n v="2024"/>
    <x v="1"/>
    <x v="0"/>
    <s v="Preservativo Masculino"/>
    <s v="Básico"/>
    <x v="31"/>
    <n v="0"/>
  </r>
  <r>
    <x v="31"/>
    <n v="2024"/>
    <x v="2"/>
    <x v="0"/>
    <s v="Preservativo Masculino"/>
    <s v="Básico"/>
    <x v="31"/>
    <n v="0"/>
  </r>
  <r>
    <x v="31"/>
    <n v="2024"/>
    <x v="3"/>
    <x v="0"/>
    <s v="Preservativo Masculino"/>
    <s v="Básico"/>
    <x v="31"/>
    <n v="0"/>
  </r>
  <r>
    <x v="31"/>
    <n v="2024"/>
    <x v="4"/>
    <x v="0"/>
    <s v="Preservativo Masculino"/>
    <s v="Básico"/>
    <x v="31"/>
    <n v="0"/>
  </r>
  <r>
    <x v="31"/>
    <n v="2024"/>
    <x v="5"/>
    <x v="0"/>
    <s v="Preservativo Masculino"/>
    <s v="Básico"/>
    <x v="31"/>
    <n v="0"/>
  </r>
  <r>
    <x v="31"/>
    <n v="2024"/>
    <x v="6"/>
    <x v="0"/>
    <s v="Preservativo Masculino"/>
    <s v="Básico"/>
    <x v="31"/>
    <n v="0"/>
  </r>
  <r>
    <x v="31"/>
    <n v="2024"/>
    <x v="7"/>
    <x v="0"/>
    <s v="Preservativo Masculino"/>
    <s v="Básico"/>
    <x v="31"/>
    <n v="0"/>
  </r>
  <r>
    <x v="31"/>
    <n v="2024"/>
    <x v="8"/>
    <x v="0"/>
    <s v="Preservativo Masculino"/>
    <s v="Básico"/>
    <x v="31"/>
    <n v="4875"/>
  </r>
  <r>
    <x v="31"/>
    <n v="2024"/>
    <x v="9"/>
    <x v="0"/>
    <s v="Preservativo Masculino"/>
    <s v="Básico"/>
    <x v="31"/>
    <n v="4407"/>
  </r>
  <r>
    <x v="31"/>
    <n v="2024"/>
    <x v="10"/>
    <x v="0"/>
    <s v="Preservativo Masculino"/>
    <s v="Básico"/>
    <x v="31"/>
    <n v="5020"/>
  </r>
  <r>
    <x v="31"/>
    <n v="2024"/>
    <x v="11"/>
    <x v="0"/>
    <s v="Preservativo Masculino"/>
    <s v="Básico"/>
    <x v="31"/>
    <n v="5127"/>
  </r>
  <r>
    <x v="32"/>
    <n v="2024"/>
    <x v="0"/>
    <x v="0"/>
    <s v="Preservativo Masculino"/>
    <s v="Básico"/>
    <x v="32"/>
    <n v="0"/>
  </r>
  <r>
    <x v="32"/>
    <n v="2024"/>
    <x v="1"/>
    <x v="0"/>
    <s v="Preservativo Masculino"/>
    <s v="Básico"/>
    <x v="32"/>
    <n v="0"/>
  </r>
  <r>
    <x v="32"/>
    <n v="2024"/>
    <x v="2"/>
    <x v="0"/>
    <s v="Preservativo Masculino"/>
    <s v="Básico"/>
    <x v="32"/>
    <n v="0"/>
  </r>
  <r>
    <x v="32"/>
    <n v="2024"/>
    <x v="3"/>
    <x v="0"/>
    <s v="Preservativo Masculino"/>
    <s v="Básico"/>
    <x v="32"/>
    <n v="0"/>
  </r>
  <r>
    <x v="32"/>
    <n v="2024"/>
    <x v="4"/>
    <x v="0"/>
    <s v="Preservativo Masculino"/>
    <s v="Básico"/>
    <x v="32"/>
    <n v="0"/>
  </r>
  <r>
    <x v="32"/>
    <n v="2024"/>
    <x v="5"/>
    <x v="0"/>
    <s v="Preservativo Masculino"/>
    <s v="Básico"/>
    <x v="32"/>
    <n v="0"/>
  </r>
  <r>
    <x v="32"/>
    <n v="2024"/>
    <x v="6"/>
    <x v="0"/>
    <s v="Preservativo Masculino"/>
    <s v="Básico"/>
    <x v="32"/>
    <n v="0"/>
  </r>
  <r>
    <x v="32"/>
    <n v="2024"/>
    <x v="7"/>
    <x v="0"/>
    <s v="Preservativo Masculino"/>
    <s v="Básico"/>
    <x v="32"/>
    <n v="0"/>
  </r>
  <r>
    <x v="32"/>
    <n v="2024"/>
    <x v="8"/>
    <x v="0"/>
    <s v="Preservativo Masculino"/>
    <s v="Básico"/>
    <x v="32"/>
    <n v="5590"/>
  </r>
  <r>
    <x v="32"/>
    <n v="2024"/>
    <x v="9"/>
    <x v="0"/>
    <s v="Preservativo Masculino"/>
    <s v="Básico"/>
    <x v="32"/>
    <n v="3589"/>
  </r>
  <r>
    <x v="32"/>
    <n v="2024"/>
    <x v="10"/>
    <x v="0"/>
    <s v="Preservativo Masculino"/>
    <s v="Básico"/>
    <x v="32"/>
    <n v="2821"/>
  </r>
  <r>
    <x v="32"/>
    <n v="2024"/>
    <x v="11"/>
    <x v="0"/>
    <s v="Preservativo Masculino"/>
    <s v="Básico"/>
    <x v="32"/>
    <n v="4044"/>
  </r>
  <r>
    <x v="33"/>
    <n v="2024"/>
    <x v="0"/>
    <x v="0"/>
    <s v="Preservativo Masculino"/>
    <s v="Performance"/>
    <x v="33"/>
    <n v="0"/>
  </r>
  <r>
    <x v="33"/>
    <n v="2024"/>
    <x v="1"/>
    <x v="0"/>
    <s v="Preservativo Masculino"/>
    <s v="Performance"/>
    <x v="33"/>
    <n v="0"/>
  </r>
  <r>
    <x v="33"/>
    <n v="2024"/>
    <x v="2"/>
    <x v="0"/>
    <s v="Preservativo Masculino"/>
    <s v="Performance"/>
    <x v="33"/>
    <n v="0"/>
  </r>
  <r>
    <x v="33"/>
    <n v="2024"/>
    <x v="3"/>
    <x v="0"/>
    <s v="Preservativo Masculino"/>
    <s v="Performance"/>
    <x v="33"/>
    <n v="0"/>
  </r>
  <r>
    <x v="33"/>
    <n v="2024"/>
    <x v="4"/>
    <x v="0"/>
    <s v="Preservativo Masculino"/>
    <s v="Performance"/>
    <x v="33"/>
    <n v="0"/>
  </r>
  <r>
    <x v="33"/>
    <n v="2024"/>
    <x v="5"/>
    <x v="0"/>
    <s v="Preservativo Masculino"/>
    <s v="Performance"/>
    <x v="33"/>
    <n v="0"/>
  </r>
  <r>
    <x v="33"/>
    <n v="2024"/>
    <x v="6"/>
    <x v="0"/>
    <s v="Preservativo Masculino"/>
    <s v="Performance"/>
    <x v="33"/>
    <n v="0"/>
  </r>
  <r>
    <x v="33"/>
    <n v="2024"/>
    <x v="7"/>
    <x v="0"/>
    <s v="Preservativo Masculino"/>
    <s v="Performance"/>
    <x v="33"/>
    <n v="0"/>
  </r>
  <r>
    <x v="33"/>
    <n v="2024"/>
    <x v="8"/>
    <x v="0"/>
    <s v="Preservativo Masculino"/>
    <s v="Performance"/>
    <x v="33"/>
    <n v="2095"/>
  </r>
  <r>
    <x v="33"/>
    <n v="2024"/>
    <x v="9"/>
    <x v="0"/>
    <s v="Preservativo Masculino"/>
    <s v="Performance"/>
    <x v="33"/>
    <n v="1096"/>
  </r>
  <r>
    <x v="33"/>
    <n v="2024"/>
    <x v="10"/>
    <x v="0"/>
    <s v="Preservativo Masculino"/>
    <s v="Performance"/>
    <x v="33"/>
    <n v="13"/>
  </r>
  <r>
    <x v="33"/>
    <n v="2024"/>
    <x v="11"/>
    <x v="0"/>
    <s v="Preservativo Masculino"/>
    <s v="Performance"/>
    <x v="33"/>
    <n v="12"/>
  </r>
  <r>
    <x v="34"/>
    <n v="2024"/>
    <x v="0"/>
    <x v="0"/>
    <s v="Preservativo Masculino"/>
    <s v="Performance"/>
    <x v="34"/>
    <n v="0"/>
  </r>
  <r>
    <x v="34"/>
    <n v="2024"/>
    <x v="1"/>
    <x v="0"/>
    <s v="Preservativo Masculino"/>
    <s v="Performance"/>
    <x v="34"/>
    <n v="0"/>
  </r>
  <r>
    <x v="34"/>
    <n v="2024"/>
    <x v="2"/>
    <x v="0"/>
    <s v="Preservativo Masculino"/>
    <s v="Performance"/>
    <x v="34"/>
    <n v="0"/>
  </r>
  <r>
    <x v="34"/>
    <n v="2024"/>
    <x v="3"/>
    <x v="0"/>
    <s v="Preservativo Masculino"/>
    <s v="Performance"/>
    <x v="34"/>
    <n v="0"/>
  </r>
  <r>
    <x v="34"/>
    <n v="2024"/>
    <x v="4"/>
    <x v="0"/>
    <s v="Preservativo Masculino"/>
    <s v="Performance"/>
    <x v="34"/>
    <n v="0"/>
  </r>
  <r>
    <x v="34"/>
    <n v="2024"/>
    <x v="5"/>
    <x v="0"/>
    <s v="Preservativo Masculino"/>
    <s v="Performance"/>
    <x v="34"/>
    <n v="0"/>
  </r>
  <r>
    <x v="34"/>
    <n v="2024"/>
    <x v="6"/>
    <x v="0"/>
    <s v="Preservativo Masculino"/>
    <s v="Performance"/>
    <x v="34"/>
    <n v="0"/>
  </r>
  <r>
    <x v="34"/>
    <n v="2024"/>
    <x v="7"/>
    <x v="0"/>
    <s v="Preservativo Masculino"/>
    <s v="Performance"/>
    <x v="34"/>
    <n v="0"/>
  </r>
  <r>
    <x v="34"/>
    <n v="2024"/>
    <x v="8"/>
    <x v="0"/>
    <s v="Preservativo Masculino"/>
    <s v="Performance"/>
    <x v="34"/>
    <n v="2875"/>
  </r>
  <r>
    <x v="34"/>
    <n v="2024"/>
    <x v="9"/>
    <x v="0"/>
    <s v="Preservativo Masculino"/>
    <s v="Performance"/>
    <x v="34"/>
    <n v="2345"/>
  </r>
  <r>
    <x v="34"/>
    <n v="2024"/>
    <x v="10"/>
    <x v="0"/>
    <s v="Preservativo Masculino"/>
    <s v="Performance"/>
    <x v="34"/>
    <n v="2060"/>
  </r>
  <r>
    <x v="34"/>
    <n v="2024"/>
    <x v="11"/>
    <x v="0"/>
    <s v="Preservativo Masculino"/>
    <s v="Performance"/>
    <x v="34"/>
    <n v="2024"/>
  </r>
  <r>
    <x v="35"/>
    <n v="2024"/>
    <x v="0"/>
    <x v="0"/>
    <s v="Preservativo Masculino"/>
    <s v="Performance"/>
    <x v="35"/>
    <n v="0"/>
  </r>
  <r>
    <x v="35"/>
    <n v="2024"/>
    <x v="1"/>
    <x v="0"/>
    <s v="Preservativo Masculino"/>
    <s v="Performance"/>
    <x v="35"/>
    <n v="0"/>
  </r>
  <r>
    <x v="35"/>
    <n v="2024"/>
    <x v="2"/>
    <x v="0"/>
    <s v="Preservativo Masculino"/>
    <s v="Performance"/>
    <x v="35"/>
    <n v="0"/>
  </r>
  <r>
    <x v="35"/>
    <n v="2024"/>
    <x v="3"/>
    <x v="0"/>
    <s v="Preservativo Masculino"/>
    <s v="Performance"/>
    <x v="35"/>
    <n v="0"/>
  </r>
  <r>
    <x v="35"/>
    <n v="2024"/>
    <x v="4"/>
    <x v="0"/>
    <s v="Preservativo Masculino"/>
    <s v="Performance"/>
    <x v="35"/>
    <n v="0"/>
  </r>
  <r>
    <x v="35"/>
    <n v="2024"/>
    <x v="5"/>
    <x v="0"/>
    <s v="Preservativo Masculino"/>
    <s v="Performance"/>
    <x v="35"/>
    <n v="0"/>
  </r>
  <r>
    <x v="35"/>
    <n v="2024"/>
    <x v="6"/>
    <x v="0"/>
    <s v="Preservativo Masculino"/>
    <s v="Performance"/>
    <x v="35"/>
    <n v="0"/>
  </r>
  <r>
    <x v="35"/>
    <n v="2024"/>
    <x v="7"/>
    <x v="0"/>
    <s v="Preservativo Masculino"/>
    <s v="Performance"/>
    <x v="35"/>
    <n v="0"/>
  </r>
  <r>
    <x v="35"/>
    <n v="2024"/>
    <x v="8"/>
    <x v="0"/>
    <s v="Preservativo Masculino"/>
    <s v="Performance"/>
    <x v="35"/>
    <n v="1231"/>
  </r>
  <r>
    <x v="35"/>
    <n v="2024"/>
    <x v="9"/>
    <x v="0"/>
    <s v="Preservativo Masculino"/>
    <s v="Performance"/>
    <x v="35"/>
    <n v="1318"/>
  </r>
  <r>
    <x v="35"/>
    <n v="2024"/>
    <x v="10"/>
    <x v="0"/>
    <s v="Preservativo Masculino"/>
    <s v="Performance"/>
    <x v="35"/>
    <n v="895"/>
  </r>
  <r>
    <x v="35"/>
    <n v="2024"/>
    <x v="11"/>
    <x v="0"/>
    <s v="Preservativo Masculino"/>
    <s v="Performance"/>
    <x v="35"/>
    <n v="724"/>
  </r>
  <r>
    <x v="36"/>
    <n v="2024"/>
    <x v="0"/>
    <x v="0"/>
    <s v="Preservativo Masculino"/>
    <s v="Performance"/>
    <x v="36"/>
    <n v="0"/>
  </r>
  <r>
    <x v="36"/>
    <n v="2024"/>
    <x v="1"/>
    <x v="0"/>
    <s v="Preservativo Masculino"/>
    <s v="Performance"/>
    <x v="36"/>
    <n v="0"/>
  </r>
  <r>
    <x v="36"/>
    <n v="2024"/>
    <x v="2"/>
    <x v="0"/>
    <s v="Preservativo Masculino"/>
    <s v="Performance"/>
    <x v="36"/>
    <n v="0"/>
  </r>
  <r>
    <x v="36"/>
    <n v="2024"/>
    <x v="3"/>
    <x v="0"/>
    <s v="Preservativo Masculino"/>
    <s v="Performance"/>
    <x v="36"/>
    <n v="0"/>
  </r>
  <r>
    <x v="36"/>
    <n v="2024"/>
    <x v="4"/>
    <x v="0"/>
    <s v="Preservativo Masculino"/>
    <s v="Performance"/>
    <x v="36"/>
    <n v="0"/>
  </r>
  <r>
    <x v="36"/>
    <n v="2024"/>
    <x v="5"/>
    <x v="0"/>
    <s v="Preservativo Masculino"/>
    <s v="Performance"/>
    <x v="36"/>
    <n v="0"/>
  </r>
  <r>
    <x v="36"/>
    <n v="2024"/>
    <x v="6"/>
    <x v="0"/>
    <s v="Preservativo Masculino"/>
    <s v="Performance"/>
    <x v="36"/>
    <n v="0"/>
  </r>
  <r>
    <x v="36"/>
    <n v="2024"/>
    <x v="7"/>
    <x v="0"/>
    <s v="Preservativo Masculino"/>
    <s v="Performance"/>
    <x v="36"/>
    <n v="0"/>
  </r>
  <r>
    <x v="36"/>
    <n v="2024"/>
    <x v="8"/>
    <x v="0"/>
    <s v="Preservativo Masculino"/>
    <s v="Performance"/>
    <x v="36"/>
    <n v="856"/>
  </r>
  <r>
    <x v="36"/>
    <n v="2024"/>
    <x v="9"/>
    <x v="0"/>
    <s v="Preservativo Masculino"/>
    <s v="Performance"/>
    <x v="36"/>
    <n v="1516"/>
  </r>
  <r>
    <x v="36"/>
    <n v="2024"/>
    <x v="10"/>
    <x v="0"/>
    <s v="Preservativo Masculino"/>
    <s v="Performance"/>
    <x v="36"/>
    <n v="127"/>
  </r>
  <r>
    <x v="36"/>
    <n v="2024"/>
    <x v="11"/>
    <x v="0"/>
    <s v="Preservativo Masculino"/>
    <s v="Performance"/>
    <x v="36"/>
    <n v="0"/>
  </r>
  <r>
    <x v="37"/>
    <n v="2024"/>
    <x v="0"/>
    <x v="0"/>
    <s v="Preservativo Masculino"/>
    <s v="Performance"/>
    <x v="37"/>
    <n v="0"/>
  </r>
  <r>
    <x v="37"/>
    <n v="2024"/>
    <x v="1"/>
    <x v="0"/>
    <s v="Preservativo Masculino"/>
    <s v="Performance"/>
    <x v="37"/>
    <n v="0"/>
  </r>
  <r>
    <x v="37"/>
    <n v="2024"/>
    <x v="2"/>
    <x v="0"/>
    <s v="Preservativo Masculino"/>
    <s v="Performance"/>
    <x v="37"/>
    <n v="0"/>
  </r>
  <r>
    <x v="37"/>
    <n v="2024"/>
    <x v="3"/>
    <x v="0"/>
    <s v="Preservativo Masculino"/>
    <s v="Performance"/>
    <x v="37"/>
    <n v="0"/>
  </r>
  <r>
    <x v="37"/>
    <n v="2024"/>
    <x v="4"/>
    <x v="0"/>
    <s v="Preservativo Masculino"/>
    <s v="Performance"/>
    <x v="37"/>
    <n v="0"/>
  </r>
  <r>
    <x v="37"/>
    <n v="2024"/>
    <x v="5"/>
    <x v="0"/>
    <s v="Preservativo Masculino"/>
    <s v="Performance"/>
    <x v="37"/>
    <n v="0"/>
  </r>
  <r>
    <x v="37"/>
    <n v="2024"/>
    <x v="6"/>
    <x v="0"/>
    <s v="Preservativo Masculino"/>
    <s v="Performance"/>
    <x v="37"/>
    <n v="0"/>
  </r>
  <r>
    <x v="37"/>
    <n v="2024"/>
    <x v="7"/>
    <x v="0"/>
    <s v="Preservativo Masculino"/>
    <s v="Performance"/>
    <x v="37"/>
    <n v="0"/>
  </r>
  <r>
    <x v="37"/>
    <n v="2024"/>
    <x v="8"/>
    <x v="0"/>
    <s v="Preservativo Masculino"/>
    <s v="Performance"/>
    <x v="37"/>
    <n v="871"/>
  </r>
  <r>
    <x v="37"/>
    <n v="2024"/>
    <x v="9"/>
    <x v="0"/>
    <s v="Preservativo Masculino"/>
    <s v="Performance"/>
    <x v="37"/>
    <n v="13"/>
  </r>
  <r>
    <x v="37"/>
    <n v="2024"/>
    <x v="10"/>
    <x v="0"/>
    <s v="Preservativo Masculino"/>
    <s v="Performance"/>
    <x v="37"/>
    <n v="2"/>
  </r>
  <r>
    <x v="37"/>
    <n v="2024"/>
    <x v="11"/>
    <x v="0"/>
    <s v="Preservativo Masculino"/>
    <s v="Performance"/>
    <x v="37"/>
    <n v="1034"/>
  </r>
  <r>
    <x v="38"/>
    <n v="2024"/>
    <x v="0"/>
    <x v="0"/>
    <s v="Preservativo Masculino"/>
    <s v="Performance"/>
    <x v="38"/>
    <n v="0"/>
  </r>
  <r>
    <x v="38"/>
    <n v="2024"/>
    <x v="1"/>
    <x v="0"/>
    <s v="Preservativo Masculino"/>
    <s v="Performance"/>
    <x v="38"/>
    <n v="0"/>
  </r>
  <r>
    <x v="38"/>
    <n v="2024"/>
    <x v="2"/>
    <x v="0"/>
    <s v="Preservativo Masculino"/>
    <s v="Performance"/>
    <x v="38"/>
    <n v="0"/>
  </r>
  <r>
    <x v="38"/>
    <n v="2024"/>
    <x v="3"/>
    <x v="0"/>
    <s v="Preservativo Masculino"/>
    <s v="Performance"/>
    <x v="38"/>
    <n v="0"/>
  </r>
  <r>
    <x v="38"/>
    <n v="2024"/>
    <x v="4"/>
    <x v="0"/>
    <s v="Preservativo Masculino"/>
    <s v="Performance"/>
    <x v="38"/>
    <n v="0"/>
  </r>
  <r>
    <x v="38"/>
    <n v="2024"/>
    <x v="5"/>
    <x v="0"/>
    <s v="Preservativo Masculino"/>
    <s v="Performance"/>
    <x v="38"/>
    <n v="0"/>
  </r>
  <r>
    <x v="38"/>
    <n v="2024"/>
    <x v="6"/>
    <x v="0"/>
    <s v="Preservativo Masculino"/>
    <s v="Performance"/>
    <x v="38"/>
    <n v="0"/>
  </r>
  <r>
    <x v="38"/>
    <n v="2024"/>
    <x v="7"/>
    <x v="0"/>
    <s v="Preservativo Masculino"/>
    <s v="Performance"/>
    <x v="38"/>
    <n v="0"/>
  </r>
  <r>
    <x v="38"/>
    <n v="2024"/>
    <x v="8"/>
    <x v="0"/>
    <s v="Preservativo Masculino"/>
    <s v="Performance"/>
    <x v="38"/>
    <n v="541"/>
  </r>
  <r>
    <x v="38"/>
    <n v="2024"/>
    <x v="9"/>
    <x v="0"/>
    <s v="Preservativo Masculino"/>
    <s v="Performance"/>
    <x v="38"/>
    <n v="481"/>
  </r>
  <r>
    <x v="38"/>
    <n v="2024"/>
    <x v="10"/>
    <x v="0"/>
    <s v="Preservativo Masculino"/>
    <s v="Performance"/>
    <x v="38"/>
    <n v="217"/>
  </r>
  <r>
    <x v="38"/>
    <n v="2024"/>
    <x v="11"/>
    <x v="0"/>
    <s v="Preservativo Masculino"/>
    <s v="Performance"/>
    <x v="38"/>
    <n v="277"/>
  </r>
  <r>
    <x v="39"/>
    <n v="2024"/>
    <x v="0"/>
    <x v="0"/>
    <s v="Preservativo Masculino"/>
    <s v="Performance"/>
    <x v="39"/>
    <n v="0"/>
  </r>
  <r>
    <x v="39"/>
    <n v="2024"/>
    <x v="1"/>
    <x v="0"/>
    <s v="Preservativo Masculino"/>
    <s v="Performance"/>
    <x v="39"/>
    <n v="0"/>
  </r>
  <r>
    <x v="39"/>
    <n v="2024"/>
    <x v="2"/>
    <x v="0"/>
    <s v="Preservativo Masculino"/>
    <s v="Performance"/>
    <x v="39"/>
    <n v="0"/>
  </r>
  <r>
    <x v="39"/>
    <n v="2024"/>
    <x v="3"/>
    <x v="0"/>
    <s v="Preservativo Masculino"/>
    <s v="Performance"/>
    <x v="39"/>
    <n v="0"/>
  </r>
  <r>
    <x v="39"/>
    <n v="2024"/>
    <x v="4"/>
    <x v="0"/>
    <s v="Preservativo Masculino"/>
    <s v="Performance"/>
    <x v="39"/>
    <n v="0"/>
  </r>
  <r>
    <x v="39"/>
    <n v="2024"/>
    <x v="5"/>
    <x v="0"/>
    <s v="Preservativo Masculino"/>
    <s v="Performance"/>
    <x v="39"/>
    <n v="0"/>
  </r>
  <r>
    <x v="39"/>
    <n v="2024"/>
    <x v="6"/>
    <x v="0"/>
    <s v="Preservativo Masculino"/>
    <s v="Performance"/>
    <x v="39"/>
    <n v="0"/>
  </r>
  <r>
    <x v="39"/>
    <n v="2024"/>
    <x v="7"/>
    <x v="0"/>
    <s v="Preservativo Masculino"/>
    <s v="Performance"/>
    <x v="39"/>
    <n v="0"/>
  </r>
  <r>
    <x v="39"/>
    <n v="2024"/>
    <x v="8"/>
    <x v="0"/>
    <s v="Preservativo Masculino"/>
    <s v="Performance"/>
    <x v="39"/>
    <n v="481"/>
  </r>
  <r>
    <x v="39"/>
    <n v="2024"/>
    <x v="9"/>
    <x v="0"/>
    <s v="Preservativo Masculino"/>
    <s v="Performance"/>
    <x v="39"/>
    <n v="772"/>
  </r>
  <r>
    <x v="39"/>
    <n v="2024"/>
    <x v="10"/>
    <x v="0"/>
    <s v="Preservativo Masculino"/>
    <s v="Performance"/>
    <x v="39"/>
    <n v="418"/>
  </r>
  <r>
    <x v="39"/>
    <n v="2024"/>
    <x v="11"/>
    <x v="0"/>
    <s v="Preservativo Masculino"/>
    <s v="Performance"/>
    <x v="39"/>
    <n v="72"/>
  </r>
  <r>
    <x v="40"/>
    <n v="2024"/>
    <x v="0"/>
    <x v="0"/>
    <s v="Gel Lubrificante"/>
    <s v="Lub 100G"/>
    <x v="40"/>
    <n v="0"/>
  </r>
  <r>
    <x v="40"/>
    <n v="2024"/>
    <x v="1"/>
    <x v="0"/>
    <s v="Gel Lubrificante"/>
    <s v="Lub 100G"/>
    <x v="40"/>
    <n v="0"/>
  </r>
  <r>
    <x v="40"/>
    <n v="2024"/>
    <x v="2"/>
    <x v="0"/>
    <s v="Gel Lubrificante"/>
    <s v="Lub 100G"/>
    <x v="40"/>
    <n v="0"/>
  </r>
  <r>
    <x v="40"/>
    <n v="2024"/>
    <x v="3"/>
    <x v="0"/>
    <s v="Gel Lubrificante"/>
    <s v="Lub 100G"/>
    <x v="40"/>
    <n v="0"/>
  </r>
  <r>
    <x v="40"/>
    <n v="2024"/>
    <x v="4"/>
    <x v="0"/>
    <s v="Gel Lubrificante"/>
    <s v="Lub 100G"/>
    <x v="40"/>
    <n v="0"/>
  </r>
  <r>
    <x v="40"/>
    <n v="2024"/>
    <x v="5"/>
    <x v="0"/>
    <s v="Gel Lubrificante"/>
    <s v="Lub 100G"/>
    <x v="40"/>
    <n v="0"/>
  </r>
  <r>
    <x v="40"/>
    <n v="2024"/>
    <x v="6"/>
    <x v="0"/>
    <s v="Gel Lubrificante"/>
    <s v="Lub 100G"/>
    <x v="40"/>
    <n v="0"/>
  </r>
  <r>
    <x v="40"/>
    <n v="2024"/>
    <x v="7"/>
    <x v="0"/>
    <s v="Gel Lubrificante"/>
    <s v="Lub 100G"/>
    <x v="40"/>
    <n v="0"/>
  </r>
  <r>
    <x v="40"/>
    <n v="2024"/>
    <x v="8"/>
    <x v="0"/>
    <s v="Gel Lubrificante"/>
    <s v="Lub 100G"/>
    <x v="40"/>
    <n v="0"/>
  </r>
  <r>
    <x v="40"/>
    <n v="2024"/>
    <x v="9"/>
    <x v="0"/>
    <s v="Gel Lubrificante"/>
    <s v="Lub 100G"/>
    <x v="40"/>
    <n v="0"/>
  </r>
  <r>
    <x v="40"/>
    <n v="2024"/>
    <x v="10"/>
    <x v="0"/>
    <s v="Gel Lubrificante"/>
    <s v="Lub 100G"/>
    <x v="40"/>
    <n v="0"/>
  </r>
  <r>
    <x v="40"/>
    <n v="2024"/>
    <x v="11"/>
    <x v="0"/>
    <s v="Gel Lubrificante"/>
    <s v="Lub 100G"/>
    <x v="40"/>
    <n v="0"/>
  </r>
  <r>
    <x v="41"/>
    <n v="2024"/>
    <x v="0"/>
    <x v="0"/>
    <s v="Gel Lubrificante"/>
    <s v="Lub 100G"/>
    <x v="41"/>
    <n v="0"/>
  </r>
  <r>
    <x v="41"/>
    <n v="2024"/>
    <x v="1"/>
    <x v="0"/>
    <s v="Gel Lubrificante"/>
    <s v="Lub 100G"/>
    <x v="41"/>
    <n v="0"/>
  </r>
  <r>
    <x v="41"/>
    <n v="2024"/>
    <x v="2"/>
    <x v="0"/>
    <s v="Gel Lubrificante"/>
    <s v="Lub 100G"/>
    <x v="41"/>
    <n v="0"/>
  </r>
  <r>
    <x v="41"/>
    <n v="2024"/>
    <x v="3"/>
    <x v="0"/>
    <s v="Gel Lubrificante"/>
    <s v="Lub 100G"/>
    <x v="41"/>
    <n v="0"/>
  </r>
  <r>
    <x v="41"/>
    <n v="2024"/>
    <x v="4"/>
    <x v="0"/>
    <s v="Gel Lubrificante"/>
    <s v="Lub 100G"/>
    <x v="41"/>
    <n v="0"/>
  </r>
  <r>
    <x v="41"/>
    <n v="2024"/>
    <x v="5"/>
    <x v="0"/>
    <s v="Gel Lubrificante"/>
    <s v="Lub 100G"/>
    <x v="41"/>
    <n v="0"/>
  </r>
  <r>
    <x v="41"/>
    <n v="2024"/>
    <x v="6"/>
    <x v="0"/>
    <s v="Gel Lubrificante"/>
    <s v="Lub 100G"/>
    <x v="41"/>
    <n v="0"/>
  </r>
  <r>
    <x v="41"/>
    <n v="2024"/>
    <x v="7"/>
    <x v="0"/>
    <s v="Gel Lubrificante"/>
    <s v="Lub 100G"/>
    <x v="41"/>
    <n v="0"/>
  </r>
  <r>
    <x v="41"/>
    <n v="2024"/>
    <x v="8"/>
    <x v="0"/>
    <s v="Gel Lubrificante"/>
    <s v="Lub 100G"/>
    <x v="41"/>
    <n v="0"/>
  </r>
  <r>
    <x v="41"/>
    <n v="2024"/>
    <x v="9"/>
    <x v="0"/>
    <s v="Gel Lubrificante"/>
    <s v="Lub 100G"/>
    <x v="41"/>
    <n v="0"/>
  </r>
  <r>
    <x v="41"/>
    <n v="2024"/>
    <x v="10"/>
    <x v="0"/>
    <s v="Gel Lubrificante"/>
    <s v="Lub 100G"/>
    <x v="41"/>
    <n v="0"/>
  </r>
  <r>
    <x v="41"/>
    <n v="2024"/>
    <x v="11"/>
    <x v="0"/>
    <s v="Gel Lubrificante"/>
    <s v="Lub 100G"/>
    <x v="41"/>
    <n v="0"/>
  </r>
  <r>
    <x v="42"/>
    <n v="2024"/>
    <x v="0"/>
    <x v="0"/>
    <s v="Gel Lubrificante"/>
    <s v="Lub 100G"/>
    <x v="42"/>
    <n v="0"/>
  </r>
  <r>
    <x v="42"/>
    <n v="2024"/>
    <x v="1"/>
    <x v="0"/>
    <s v="Gel Lubrificante"/>
    <s v="Lub 100G"/>
    <x v="42"/>
    <n v="0"/>
  </r>
  <r>
    <x v="42"/>
    <n v="2024"/>
    <x v="2"/>
    <x v="0"/>
    <s v="Gel Lubrificante"/>
    <s v="Lub 100G"/>
    <x v="42"/>
    <n v="0"/>
  </r>
  <r>
    <x v="42"/>
    <n v="2024"/>
    <x v="3"/>
    <x v="0"/>
    <s v="Gel Lubrificante"/>
    <s v="Lub 100G"/>
    <x v="42"/>
    <n v="0"/>
  </r>
  <r>
    <x v="42"/>
    <n v="2024"/>
    <x v="4"/>
    <x v="0"/>
    <s v="Gel Lubrificante"/>
    <s v="Lub 100G"/>
    <x v="42"/>
    <n v="0"/>
  </r>
  <r>
    <x v="42"/>
    <n v="2024"/>
    <x v="5"/>
    <x v="0"/>
    <s v="Gel Lubrificante"/>
    <s v="Lub 100G"/>
    <x v="42"/>
    <n v="0"/>
  </r>
  <r>
    <x v="42"/>
    <n v="2024"/>
    <x v="6"/>
    <x v="0"/>
    <s v="Gel Lubrificante"/>
    <s v="Lub 100G"/>
    <x v="42"/>
    <n v="0"/>
  </r>
  <r>
    <x v="42"/>
    <n v="2024"/>
    <x v="7"/>
    <x v="0"/>
    <s v="Gel Lubrificante"/>
    <s v="Lub 100G"/>
    <x v="42"/>
    <n v="0"/>
  </r>
  <r>
    <x v="42"/>
    <n v="2024"/>
    <x v="8"/>
    <x v="0"/>
    <s v="Gel Lubrificante"/>
    <s v="Lub 100G"/>
    <x v="42"/>
    <n v="0"/>
  </r>
  <r>
    <x v="42"/>
    <n v="2024"/>
    <x v="9"/>
    <x v="0"/>
    <s v="Gel Lubrificante"/>
    <s v="Lub 100G"/>
    <x v="42"/>
    <n v="0"/>
  </r>
  <r>
    <x v="42"/>
    <n v="2024"/>
    <x v="10"/>
    <x v="0"/>
    <s v="Gel Lubrificante"/>
    <s v="Lub 100G"/>
    <x v="42"/>
    <n v="0"/>
  </r>
  <r>
    <x v="42"/>
    <n v="2024"/>
    <x v="11"/>
    <x v="0"/>
    <s v="Gel Lubrificante"/>
    <s v="Lub 100G"/>
    <x v="42"/>
    <n v="0"/>
  </r>
  <r>
    <x v="43"/>
    <n v="2024"/>
    <x v="0"/>
    <x v="0"/>
    <s v="Gel Lubrificante"/>
    <s v="Lub 100G"/>
    <x v="43"/>
    <n v="0"/>
  </r>
  <r>
    <x v="43"/>
    <n v="2024"/>
    <x v="1"/>
    <x v="0"/>
    <s v="Gel Lubrificante"/>
    <s v="Lub 100G"/>
    <x v="43"/>
    <n v="0"/>
  </r>
  <r>
    <x v="43"/>
    <n v="2024"/>
    <x v="2"/>
    <x v="0"/>
    <s v="Gel Lubrificante"/>
    <s v="Lub 100G"/>
    <x v="43"/>
    <n v="0"/>
  </r>
  <r>
    <x v="43"/>
    <n v="2024"/>
    <x v="3"/>
    <x v="0"/>
    <s v="Gel Lubrificante"/>
    <s v="Lub 100G"/>
    <x v="43"/>
    <n v="0"/>
  </r>
  <r>
    <x v="43"/>
    <n v="2024"/>
    <x v="4"/>
    <x v="0"/>
    <s v="Gel Lubrificante"/>
    <s v="Lub 100G"/>
    <x v="43"/>
    <n v="0"/>
  </r>
  <r>
    <x v="43"/>
    <n v="2024"/>
    <x v="5"/>
    <x v="0"/>
    <s v="Gel Lubrificante"/>
    <s v="Lub 100G"/>
    <x v="43"/>
    <n v="0"/>
  </r>
  <r>
    <x v="43"/>
    <n v="2024"/>
    <x v="6"/>
    <x v="0"/>
    <s v="Gel Lubrificante"/>
    <s v="Lub 100G"/>
    <x v="43"/>
    <n v="0"/>
  </r>
  <r>
    <x v="43"/>
    <n v="2024"/>
    <x v="7"/>
    <x v="0"/>
    <s v="Gel Lubrificante"/>
    <s v="Lub 100G"/>
    <x v="43"/>
    <n v="0"/>
  </r>
  <r>
    <x v="43"/>
    <n v="2024"/>
    <x v="8"/>
    <x v="0"/>
    <s v="Gel Lubrificante"/>
    <s v="Lub 100G"/>
    <x v="43"/>
    <n v="0"/>
  </r>
  <r>
    <x v="43"/>
    <n v="2024"/>
    <x v="9"/>
    <x v="0"/>
    <s v="Gel Lubrificante"/>
    <s v="Lub 100G"/>
    <x v="43"/>
    <n v="0"/>
  </r>
  <r>
    <x v="43"/>
    <n v="2024"/>
    <x v="10"/>
    <x v="0"/>
    <s v="Gel Lubrificante"/>
    <s v="Lub 100G"/>
    <x v="43"/>
    <n v="0"/>
  </r>
  <r>
    <x v="43"/>
    <n v="2024"/>
    <x v="11"/>
    <x v="0"/>
    <s v="Gel Lubrificante"/>
    <s v="Lub 100G"/>
    <x v="43"/>
    <n v="0"/>
  </r>
  <r>
    <x v="44"/>
    <n v="2024"/>
    <x v="0"/>
    <x v="0"/>
    <s v="Gel Lubrificante"/>
    <s v="Lub 60G"/>
    <x v="44"/>
    <n v="0"/>
  </r>
  <r>
    <x v="44"/>
    <n v="2024"/>
    <x v="1"/>
    <x v="0"/>
    <s v="Gel Lubrificante"/>
    <s v="Lub 60G"/>
    <x v="44"/>
    <n v="0"/>
  </r>
  <r>
    <x v="44"/>
    <n v="2024"/>
    <x v="2"/>
    <x v="0"/>
    <s v="Gel Lubrificante"/>
    <s v="Lub 60G"/>
    <x v="44"/>
    <n v="0"/>
  </r>
  <r>
    <x v="44"/>
    <n v="2024"/>
    <x v="3"/>
    <x v="0"/>
    <s v="Gel Lubrificante"/>
    <s v="Lub 60G"/>
    <x v="44"/>
    <n v="0"/>
  </r>
  <r>
    <x v="44"/>
    <n v="2024"/>
    <x v="4"/>
    <x v="0"/>
    <s v="Gel Lubrificante"/>
    <s v="Lub 60G"/>
    <x v="44"/>
    <n v="0"/>
  </r>
  <r>
    <x v="44"/>
    <n v="2024"/>
    <x v="5"/>
    <x v="0"/>
    <s v="Gel Lubrificante"/>
    <s v="Lub 60G"/>
    <x v="44"/>
    <n v="0"/>
  </r>
  <r>
    <x v="44"/>
    <n v="2024"/>
    <x v="6"/>
    <x v="0"/>
    <s v="Gel Lubrificante"/>
    <s v="Lub 60G"/>
    <x v="44"/>
    <n v="0"/>
  </r>
  <r>
    <x v="44"/>
    <n v="2024"/>
    <x v="7"/>
    <x v="0"/>
    <s v="Gel Lubrificante"/>
    <s v="Lub 60G"/>
    <x v="44"/>
    <n v="0"/>
  </r>
  <r>
    <x v="44"/>
    <n v="2024"/>
    <x v="8"/>
    <x v="0"/>
    <s v="Gel Lubrificante"/>
    <s v="Lub 60G"/>
    <x v="44"/>
    <n v="0"/>
  </r>
  <r>
    <x v="44"/>
    <n v="2024"/>
    <x v="9"/>
    <x v="0"/>
    <s v="Gel Lubrificante"/>
    <s v="Lub 60G"/>
    <x v="44"/>
    <n v="0"/>
  </r>
  <r>
    <x v="44"/>
    <n v="2024"/>
    <x v="10"/>
    <x v="0"/>
    <s v="Gel Lubrificante"/>
    <s v="Lub 60G"/>
    <x v="44"/>
    <n v="0"/>
  </r>
  <r>
    <x v="44"/>
    <n v="2024"/>
    <x v="11"/>
    <x v="0"/>
    <s v="Gel Lubrificante"/>
    <s v="Lub 60G"/>
    <x v="44"/>
    <n v="0"/>
  </r>
  <r>
    <x v="45"/>
    <n v="2024"/>
    <x v="0"/>
    <x v="0"/>
    <s v="Intima"/>
    <s v="Wipes &amp; Softcup"/>
    <x v="45"/>
    <n v="0"/>
  </r>
  <r>
    <x v="45"/>
    <n v="2024"/>
    <x v="1"/>
    <x v="0"/>
    <s v="Intima"/>
    <s v="Wipes &amp; Softcup"/>
    <x v="45"/>
    <n v="0"/>
  </r>
  <r>
    <x v="45"/>
    <n v="2024"/>
    <x v="2"/>
    <x v="0"/>
    <s v="Intima"/>
    <s v="Wipes &amp; Softcup"/>
    <x v="45"/>
    <n v="0"/>
  </r>
  <r>
    <x v="45"/>
    <n v="2024"/>
    <x v="3"/>
    <x v="0"/>
    <s v="Intima"/>
    <s v="Wipes &amp; Softcup"/>
    <x v="45"/>
    <n v="0"/>
  </r>
  <r>
    <x v="45"/>
    <n v="2024"/>
    <x v="4"/>
    <x v="0"/>
    <s v="Intima"/>
    <s v="Wipes &amp; Softcup"/>
    <x v="45"/>
    <n v="0"/>
  </r>
  <r>
    <x v="45"/>
    <n v="2024"/>
    <x v="5"/>
    <x v="0"/>
    <s v="Intima"/>
    <s v="Wipes &amp; Softcup"/>
    <x v="45"/>
    <n v="0"/>
  </r>
  <r>
    <x v="45"/>
    <n v="2024"/>
    <x v="6"/>
    <x v="0"/>
    <s v="Intima"/>
    <s v="Wipes &amp; Softcup"/>
    <x v="45"/>
    <n v="0"/>
  </r>
  <r>
    <x v="45"/>
    <n v="2024"/>
    <x v="7"/>
    <x v="0"/>
    <s v="Intima"/>
    <s v="Wipes &amp; Softcup"/>
    <x v="45"/>
    <n v="0"/>
  </r>
  <r>
    <x v="45"/>
    <n v="2024"/>
    <x v="8"/>
    <x v="0"/>
    <s v="Intima"/>
    <s v="Wipes &amp; Softcup"/>
    <x v="45"/>
    <n v="884"/>
  </r>
  <r>
    <x v="45"/>
    <n v="2024"/>
    <x v="9"/>
    <x v="0"/>
    <s v="Intima"/>
    <s v="Wipes &amp; Softcup"/>
    <x v="45"/>
    <n v="596"/>
  </r>
  <r>
    <x v="45"/>
    <n v="2024"/>
    <x v="10"/>
    <x v="0"/>
    <s v="Intima"/>
    <s v="Wipes &amp; Softcup"/>
    <x v="45"/>
    <n v="620"/>
  </r>
  <r>
    <x v="45"/>
    <n v="2024"/>
    <x v="11"/>
    <x v="0"/>
    <s v="Intima"/>
    <s v="Wipes &amp; Softcup"/>
    <x v="45"/>
    <n v="993"/>
  </r>
  <r>
    <x v="46"/>
    <n v="2024"/>
    <x v="0"/>
    <x v="0"/>
    <s v="Intima"/>
    <s v="Wipes &amp; Softcup"/>
    <x v="46"/>
    <n v="0"/>
  </r>
  <r>
    <x v="46"/>
    <n v="2024"/>
    <x v="1"/>
    <x v="0"/>
    <s v="Intima"/>
    <s v="Wipes &amp; Softcup"/>
    <x v="46"/>
    <n v="0"/>
  </r>
  <r>
    <x v="46"/>
    <n v="2024"/>
    <x v="2"/>
    <x v="0"/>
    <s v="Intima"/>
    <s v="Wipes &amp; Softcup"/>
    <x v="46"/>
    <n v="0"/>
  </r>
  <r>
    <x v="46"/>
    <n v="2024"/>
    <x v="3"/>
    <x v="0"/>
    <s v="Intima"/>
    <s v="Wipes &amp; Softcup"/>
    <x v="46"/>
    <n v="0"/>
  </r>
  <r>
    <x v="46"/>
    <n v="2024"/>
    <x v="4"/>
    <x v="0"/>
    <s v="Intima"/>
    <s v="Wipes &amp; Softcup"/>
    <x v="46"/>
    <n v="0"/>
  </r>
  <r>
    <x v="46"/>
    <n v="2024"/>
    <x v="5"/>
    <x v="0"/>
    <s v="Intima"/>
    <s v="Wipes &amp; Softcup"/>
    <x v="46"/>
    <n v="0"/>
  </r>
  <r>
    <x v="46"/>
    <n v="2024"/>
    <x v="6"/>
    <x v="0"/>
    <s v="Intima"/>
    <s v="Wipes &amp; Softcup"/>
    <x v="46"/>
    <n v="0"/>
  </r>
  <r>
    <x v="46"/>
    <n v="2024"/>
    <x v="7"/>
    <x v="0"/>
    <s v="Intima"/>
    <s v="Wipes &amp; Softcup"/>
    <x v="46"/>
    <n v="0"/>
  </r>
  <r>
    <x v="46"/>
    <n v="2024"/>
    <x v="8"/>
    <x v="0"/>
    <s v="Intima"/>
    <s v="Wipes &amp; Softcup"/>
    <x v="46"/>
    <n v="0"/>
  </r>
  <r>
    <x v="46"/>
    <n v="2024"/>
    <x v="9"/>
    <x v="0"/>
    <s v="Intima"/>
    <s v="Wipes &amp; Softcup"/>
    <x v="46"/>
    <n v="0"/>
  </r>
  <r>
    <x v="46"/>
    <n v="2024"/>
    <x v="10"/>
    <x v="0"/>
    <s v="Intima"/>
    <s v="Wipes &amp; Softcup"/>
    <x v="46"/>
    <n v="0"/>
  </r>
  <r>
    <x v="46"/>
    <n v="2024"/>
    <x v="11"/>
    <x v="0"/>
    <s v="Intima"/>
    <s v="Wipes &amp; Softcup"/>
    <x v="46"/>
    <n v="0"/>
  </r>
  <r>
    <x v="47"/>
    <n v="2024"/>
    <x v="0"/>
    <x v="0"/>
    <s v="RX"/>
    <s v="Aspirators"/>
    <x v="47"/>
    <n v="0"/>
  </r>
  <r>
    <x v="47"/>
    <n v="2024"/>
    <x v="1"/>
    <x v="0"/>
    <s v="RX"/>
    <s v="Aspirators"/>
    <x v="47"/>
    <n v="0"/>
  </r>
  <r>
    <x v="47"/>
    <n v="2024"/>
    <x v="2"/>
    <x v="0"/>
    <s v="RX"/>
    <s v="Aspirators"/>
    <x v="47"/>
    <n v="0"/>
  </r>
  <r>
    <x v="47"/>
    <n v="2024"/>
    <x v="3"/>
    <x v="0"/>
    <s v="RX"/>
    <s v="Aspirators"/>
    <x v="47"/>
    <n v="0"/>
  </r>
  <r>
    <x v="47"/>
    <n v="2024"/>
    <x v="4"/>
    <x v="0"/>
    <s v="RX"/>
    <s v="Aspirators"/>
    <x v="47"/>
    <n v="0"/>
  </r>
  <r>
    <x v="47"/>
    <n v="2024"/>
    <x v="5"/>
    <x v="0"/>
    <s v="RX"/>
    <s v="Aspirators"/>
    <x v="47"/>
    <n v="0"/>
  </r>
  <r>
    <x v="47"/>
    <n v="2024"/>
    <x v="6"/>
    <x v="0"/>
    <s v="RX"/>
    <s v="Aspirators"/>
    <x v="47"/>
    <n v="0"/>
  </r>
  <r>
    <x v="47"/>
    <n v="2024"/>
    <x v="7"/>
    <x v="0"/>
    <s v="RX"/>
    <s v="Aspirators"/>
    <x v="47"/>
    <n v="0"/>
  </r>
  <r>
    <x v="47"/>
    <n v="2024"/>
    <x v="8"/>
    <x v="0"/>
    <s v="RX"/>
    <s v="Aspirators"/>
    <x v="47"/>
    <n v="316"/>
  </r>
  <r>
    <x v="47"/>
    <n v="2024"/>
    <x v="9"/>
    <x v="0"/>
    <s v="RX"/>
    <s v="Aspirators"/>
    <x v="47"/>
    <n v="1117"/>
  </r>
  <r>
    <x v="47"/>
    <n v="2024"/>
    <x v="10"/>
    <x v="0"/>
    <s v="RX"/>
    <s v="Aspirators"/>
    <x v="47"/>
    <n v="624"/>
  </r>
  <r>
    <x v="47"/>
    <n v="2024"/>
    <x v="11"/>
    <x v="0"/>
    <s v="RX"/>
    <s v="Aspirators"/>
    <x v="47"/>
    <n v="796"/>
  </r>
  <r>
    <x v="48"/>
    <n v="2024"/>
    <x v="0"/>
    <x v="0"/>
    <s v="RX"/>
    <s v="Aspirators"/>
    <x v="48"/>
    <n v="0"/>
  </r>
  <r>
    <x v="48"/>
    <n v="2024"/>
    <x v="1"/>
    <x v="0"/>
    <s v="RX"/>
    <s v="Aspirators"/>
    <x v="48"/>
    <n v="0"/>
  </r>
  <r>
    <x v="48"/>
    <n v="2024"/>
    <x v="2"/>
    <x v="0"/>
    <s v="RX"/>
    <s v="Aspirators"/>
    <x v="48"/>
    <n v="0"/>
  </r>
  <r>
    <x v="48"/>
    <n v="2024"/>
    <x v="3"/>
    <x v="0"/>
    <s v="RX"/>
    <s v="Aspirators"/>
    <x v="48"/>
    <n v="0"/>
  </r>
  <r>
    <x v="48"/>
    <n v="2024"/>
    <x v="4"/>
    <x v="0"/>
    <s v="RX"/>
    <s v="Aspirators"/>
    <x v="48"/>
    <n v="0"/>
  </r>
  <r>
    <x v="48"/>
    <n v="2024"/>
    <x v="5"/>
    <x v="0"/>
    <s v="RX"/>
    <s v="Aspirators"/>
    <x v="48"/>
    <n v="0"/>
  </r>
  <r>
    <x v="48"/>
    <n v="2024"/>
    <x v="6"/>
    <x v="0"/>
    <s v="RX"/>
    <s v="Aspirators"/>
    <x v="48"/>
    <n v="0"/>
  </r>
  <r>
    <x v="48"/>
    <n v="2024"/>
    <x v="7"/>
    <x v="0"/>
    <s v="RX"/>
    <s v="Aspirators"/>
    <x v="48"/>
    <n v="0"/>
  </r>
  <r>
    <x v="48"/>
    <n v="2024"/>
    <x v="8"/>
    <x v="0"/>
    <s v="RX"/>
    <s v="Aspirators"/>
    <x v="48"/>
    <n v="150"/>
  </r>
  <r>
    <x v="48"/>
    <n v="2024"/>
    <x v="9"/>
    <x v="0"/>
    <s v="RX"/>
    <s v="Aspirators"/>
    <x v="48"/>
    <n v="540"/>
  </r>
  <r>
    <x v="48"/>
    <n v="2024"/>
    <x v="10"/>
    <x v="0"/>
    <s v="RX"/>
    <s v="Aspirators"/>
    <x v="48"/>
    <n v="269"/>
  </r>
  <r>
    <x v="48"/>
    <n v="2024"/>
    <x v="11"/>
    <x v="0"/>
    <s v="RX"/>
    <s v="Aspirators"/>
    <x v="48"/>
    <n v="86"/>
  </r>
  <r>
    <x v="49"/>
    <n v="2024"/>
    <x v="0"/>
    <x v="0"/>
    <s v="RX"/>
    <s v="Cannulae"/>
    <x v="49"/>
    <n v="0"/>
  </r>
  <r>
    <x v="49"/>
    <n v="2024"/>
    <x v="1"/>
    <x v="0"/>
    <s v="RX"/>
    <s v="Cannulae"/>
    <x v="49"/>
    <n v="0"/>
  </r>
  <r>
    <x v="49"/>
    <n v="2024"/>
    <x v="2"/>
    <x v="0"/>
    <s v="RX"/>
    <s v="Cannulae"/>
    <x v="49"/>
    <n v="0"/>
  </r>
  <r>
    <x v="49"/>
    <n v="2024"/>
    <x v="3"/>
    <x v="0"/>
    <s v="RX"/>
    <s v="Cannulae"/>
    <x v="49"/>
    <n v="0"/>
  </r>
  <r>
    <x v="49"/>
    <n v="2024"/>
    <x v="4"/>
    <x v="0"/>
    <s v="RX"/>
    <s v="Cannulae"/>
    <x v="49"/>
    <n v="0"/>
  </r>
  <r>
    <x v="49"/>
    <n v="2024"/>
    <x v="5"/>
    <x v="0"/>
    <s v="RX"/>
    <s v="Cannulae"/>
    <x v="49"/>
    <n v="0"/>
  </r>
  <r>
    <x v="49"/>
    <n v="2024"/>
    <x v="6"/>
    <x v="0"/>
    <s v="RX"/>
    <s v="Cannulae"/>
    <x v="49"/>
    <n v="0"/>
  </r>
  <r>
    <x v="49"/>
    <n v="2024"/>
    <x v="7"/>
    <x v="0"/>
    <s v="RX"/>
    <s v="Cannulae"/>
    <x v="49"/>
    <n v="0"/>
  </r>
  <r>
    <x v="49"/>
    <n v="2024"/>
    <x v="8"/>
    <x v="0"/>
    <s v="RX"/>
    <s v="Cannulae"/>
    <x v="49"/>
    <n v="220"/>
  </r>
  <r>
    <x v="49"/>
    <n v="2024"/>
    <x v="9"/>
    <x v="0"/>
    <s v="RX"/>
    <s v="Cannulae"/>
    <x v="49"/>
    <n v="452"/>
  </r>
  <r>
    <x v="49"/>
    <n v="2024"/>
    <x v="10"/>
    <x v="0"/>
    <s v="RX"/>
    <s v="Cannulae"/>
    <x v="49"/>
    <n v="430"/>
  </r>
  <r>
    <x v="49"/>
    <n v="2024"/>
    <x v="11"/>
    <x v="0"/>
    <s v="RX"/>
    <s v="Cannulae"/>
    <x v="49"/>
    <n v="302"/>
  </r>
  <r>
    <x v="50"/>
    <n v="2024"/>
    <x v="0"/>
    <x v="0"/>
    <s v="RX"/>
    <s v="Cannulae"/>
    <x v="50"/>
    <n v="0"/>
  </r>
  <r>
    <x v="50"/>
    <n v="2024"/>
    <x v="1"/>
    <x v="0"/>
    <s v="RX"/>
    <s v="Cannulae"/>
    <x v="50"/>
    <n v="0"/>
  </r>
  <r>
    <x v="50"/>
    <n v="2024"/>
    <x v="2"/>
    <x v="0"/>
    <s v="RX"/>
    <s v="Cannulae"/>
    <x v="50"/>
    <n v="0"/>
  </r>
  <r>
    <x v="50"/>
    <n v="2024"/>
    <x v="3"/>
    <x v="0"/>
    <s v="RX"/>
    <s v="Cannulae"/>
    <x v="50"/>
    <n v="0"/>
  </r>
  <r>
    <x v="50"/>
    <n v="2024"/>
    <x v="4"/>
    <x v="0"/>
    <s v="RX"/>
    <s v="Cannulae"/>
    <x v="50"/>
    <n v="0"/>
  </r>
  <r>
    <x v="50"/>
    <n v="2024"/>
    <x v="5"/>
    <x v="0"/>
    <s v="RX"/>
    <s v="Cannulae"/>
    <x v="50"/>
    <n v="0"/>
  </r>
  <r>
    <x v="50"/>
    <n v="2024"/>
    <x v="6"/>
    <x v="0"/>
    <s v="RX"/>
    <s v="Cannulae"/>
    <x v="50"/>
    <n v="0"/>
  </r>
  <r>
    <x v="50"/>
    <n v="2024"/>
    <x v="7"/>
    <x v="0"/>
    <s v="RX"/>
    <s v="Cannulae"/>
    <x v="50"/>
    <n v="0"/>
  </r>
  <r>
    <x v="50"/>
    <n v="2024"/>
    <x v="8"/>
    <x v="0"/>
    <s v="RX"/>
    <s v="Cannulae"/>
    <x v="50"/>
    <n v="577"/>
  </r>
  <r>
    <x v="50"/>
    <n v="2024"/>
    <x v="9"/>
    <x v="0"/>
    <s v="RX"/>
    <s v="Cannulae"/>
    <x v="50"/>
    <n v="422"/>
  </r>
  <r>
    <x v="50"/>
    <n v="2024"/>
    <x v="10"/>
    <x v="0"/>
    <s v="RX"/>
    <s v="Cannulae"/>
    <x v="50"/>
    <n v="465"/>
  </r>
  <r>
    <x v="50"/>
    <n v="2024"/>
    <x v="11"/>
    <x v="0"/>
    <s v="RX"/>
    <s v="Cannulae"/>
    <x v="50"/>
    <n v="465"/>
  </r>
  <r>
    <x v="51"/>
    <n v="2024"/>
    <x v="0"/>
    <x v="0"/>
    <s v="RX"/>
    <s v="Cannulae"/>
    <x v="51"/>
    <n v="0"/>
  </r>
  <r>
    <x v="51"/>
    <n v="2024"/>
    <x v="1"/>
    <x v="0"/>
    <s v="RX"/>
    <s v="Cannulae"/>
    <x v="51"/>
    <n v="0"/>
  </r>
  <r>
    <x v="51"/>
    <n v="2024"/>
    <x v="2"/>
    <x v="0"/>
    <s v="RX"/>
    <s v="Cannulae"/>
    <x v="51"/>
    <n v="0"/>
  </r>
  <r>
    <x v="51"/>
    <n v="2024"/>
    <x v="3"/>
    <x v="0"/>
    <s v="RX"/>
    <s v="Cannulae"/>
    <x v="51"/>
    <n v="0"/>
  </r>
  <r>
    <x v="51"/>
    <n v="2024"/>
    <x v="4"/>
    <x v="0"/>
    <s v="RX"/>
    <s v="Cannulae"/>
    <x v="51"/>
    <n v="0"/>
  </r>
  <r>
    <x v="51"/>
    <n v="2024"/>
    <x v="5"/>
    <x v="0"/>
    <s v="RX"/>
    <s v="Cannulae"/>
    <x v="51"/>
    <n v="0"/>
  </r>
  <r>
    <x v="51"/>
    <n v="2024"/>
    <x v="6"/>
    <x v="0"/>
    <s v="RX"/>
    <s v="Cannulae"/>
    <x v="51"/>
    <n v="0"/>
  </r>
  <r>
    <x v="51"/>
    <n v="2024"/>
    <x v="7"/>
    <x v="0"/>
    <s v="RX"/>
    <s v="Cannulae"/>
    <x v="51"/>
    <n v="0"/>
  </r>
  <r>
    <x v="51"/>
    <n v="2024"/>
    <x v="8"/>
    <x v="0"/>
    <s v="RX"/>
    <s v="Cannulae"/>
    <x v="51"/>
    <n v="471"/>
  </r>
  <r>
    <x v="51"/>
    <n v="2024"/>
    <x v="9"/>
    <x v="0"/>
    <s v="RX"/>
    <s v="Cannulae"/>
    <x v="51"/>
    <n v="633"/>
  </r>
  <r>
    <x v="51"/>
    <n v="2024"/>
    <x v="10"/>
    <x v="0"/>
    <s v="RX"/>
    <s v="Cannulae"/>
    <x v="51"/>
    <n v="671"/>
  </r>
  <r>
    <x v="51"/>
    <n v="2024"/>
    <x v="11"/>
    <x v="0"/>
    <s v="RX"/>
    <s v="Cannulae"/>
    <x v="51"/>
    <n v="490"/>
  </r>
  <r>
    <x v="52"/>
    <n v="2024"/>
    <x v="0"/>
    <x v="0"/>
    <s v="RX"/>
    <s v="Cannulae"/>
    <x v="52"/>
    <n v="0"/>
  </r>
  <r>
    <x v="52"/>
    <n v="2024"/>
    <x v="1"/>
    <x v="0"/>
    <s v="RX"/>
    <s v="Cannulae"/>
    <x v="52"/>
    <n v="0"/>
  </r>
  <r>
    <x v="52"/>
    <n v="2024"/>
    <x v="2"/>
    <x v="0"/>
    <s v="RX"/>
    <s v="Cannulae"/>
    <x v="52"/>
    <n v="0"/>
  </r>
  <r>
    <x v="52"/>
    <n v="2024"/>
    <x v="3"/>
    <x v="0"/>
    <s v="RX"/>
    <s v="Cannulae"/>
    <x v="52"/>
    <n v="0"/>
  </r>
  <r>
    <x v="52"/>
    <n v="2024"/>
    <x v="4"/>
    <x v="0"/>
    <s v="RX"/>
    <s v="Cannulae"/>
    <x v="52"/>
    <n v="0"/>
  </r>
  <r>
    <x v="52"/>
    <n v="2024"/>
    <x v="5"/>
    <x v="0"/>
    <s v="RX"/>
    <s v="Cannulae"/>
    <x v="52"/>
    <n v="0"/>
  </r>
  <r>
    <x v="52"/>
    <n v="2024"/>
    <x v="6"/>
    <x v="0"/>
    <s v="RX"/>
    <s v="Cannulae"/>
    <x v="52"/>
    <n v="0"/>
  </r>
  <r>
    <x v="52"/>
    <n v="2024"/>
    <x v="7"/>
    <x v="0"/>
    <s v="RX"/>
    <s v="Cannulae"/>
    <x v="52"/>
    <n v="0"/>
  </r>
  <r>
    <x v="52"/>
    <n v="2024"/>
    <x v="8"/>
    <x v="0"/>
    <s v="RX"/>
    <s v="Cannulae"/>
    <x v="52"/>
    <n v="671"/>
  </r>
  <r>
    <x v="52"/>
    <n v="2024"/>
    <x v="9"/>
    <x v="0"/>
    <s v="RX"/>
    <s v="Cannulae"/>
    <x v="52"/>
    <n v="1191"/>
  </r>
  <r>
    <x v="52"/>
    <n v="2024"/>
    <x v="10"/>
    <x v="0"/>
    <s v="RX"/>
    <s v="Cannulae"/>
    <x v="52"/>
    <n v="629"/>
  </r>
  <r>
    <x v="52"/>
    <n v="2024"/>
    <x v="11"/>
    <x v="0"/>
    <s v="RX"/>
    <s v="Cannulae"/>
    <x v="52"/>
    <n v="856"/>
  </r>
  <r>
    <x v="53"/>
    <n v="2024"/>
    <x v="0"/>
    <x v="0"/>
    <s v="RX"/>
    <s v="Cannulae"/>
    <x v="53"/>
    <n v="0"/>
  </r>
  <r>
    <x v="53"/>
    <n v="2024"/>
    <x v="1"/>
    <x v="0"/>
    <s v="RX"/>
    <s v="Cannulae"/>
    <x v="53"/>
    <n v="0"/>
  </r>
  <r>
    <x v="53"/>
    <n v="2024"/>
    <x v="2"/>
    <x v="0"/>
    <s v="RX"/>
    <s v="Cannulae"/>
    <x v="53"/>
    <n v="0"/>
  </r>
  <r>
    <x v="53"/>
    <n v="2024"/>
    <x v="3"/>
    <x v="0"/>
    <s v="RX"/>
    <s v="Cannulae"/>
    <x v="53"/>
    <n v="0"/>
  </r>
  <r>
    <x v="53"/>
    <n v="2024"/>
    <x v="4"/>
    <x v="0"/>
    <s v="RX"/>
    <s v="Cannulae"/>
    <x v="53"/>
    <n v="0"/>
  </r>
  <r>
    <x v="53"/>
    <n v="2024"/>
    <x v="5"/>
    <x v="0"/>
    <s v="RX"/>
    <s v="Cannulae"/>
    <x v="53"/>
    <n v="0"/>
  </r>
  <r>
    <x v="53"/>
    <n v="2024"/>
    <x v="6"/>
    <x v="0"/>
    <s v="RX"/>
    <s v="Cannulae"/>
    <x v="53"/>
    <n v="0"/>
  </r>
  <r>
    <x v="53"/>
    <n v="2024"/>
    <x v="7"/>
    <x v="0"/>
    <s v="RX"/>
    <s v="Cannulae"/>
    <x v="53"/>
    <n v="0"/>
  </r>
  <r>
    <x v="53"/>
    <n v="2024"/>
    <x v="8"/>
    <x v="0"/>
    <s v="RX"/>
    <s v="Cannulae"/>
    <x v="53"/>
    <n v="768"/>
  </r>
  <r>
    <x v="53"/>
    <n v="2024"/>
    <x v="9"/>
    <x v="0"/>
    <s v="RX"/>
    <s v="Cannulae"/>
    <x v="53"/>
    <n v="716"/>
  </r>
  <r>
    <x v="53"/>
    <n v="2024"/>
    <x v="10"/>
    <x v="0"/>
    <s v="RX"/>
    <s v="Cannulae"/>
    <x v="53"/>
    <n v="509"/>
  </r>
  <r>
    <x v="53"/>
    <n v="2024"/>
    <x v="11"/>
    <x v="0"/>
    <s v="RX"/>
    <s v="Cannulae"/>
    <x v="53"/>
    <n v="611"/>
  </r>
  <r>
    <x v="54"/>
    <n v="2024"/>
    <x v="0"/>
    <x v="0"/>
    <s v="RX"/>
    <s v="Cannulae"/>
    <x v="54"/>
    <n v="0"/>
  </r>
  <r>
    <x v="54"/>
    <n v="2024"/>
    <x v="1"/>
    <x v="0"/>
    <s v="RX"/>
    <s v="Cannulae"/>
    <x v="54"/>
    <n v="0"/>
  </r>
  <r>
    <x v="54"/>
    <n v="2024"/>
    <x v="2"/>
    <x v="0"/>
    <s v="RX"/>
    <s v="Cannulae"/>
    <x v="54"/>
    <n v="0"/>
  </r>
  <r>
    <x v="54"/>
    <n v="2024"/>
    <x v="3"/>
    <x v="0"/>
    <s v="RX"/>
    <s v="Cannulae"/>
    <x v="54"/>
    <n v="0"/>
  </r>
  <r>
    <x v="54"/>
    <n v="2024"/>
    <x v="4"/>
    <x v="0"/>
    <s v="RX"/>
    <s v="Cannulae"/>
    <x v="54"/>
    <n v="0"/>
  </r>
  <r>
    <x v="54"/>
    <n v="2024"/>
    <x v="5"/>
    <x v="0"/>
    <s v="RX"/>
    <s v="Cannulae"/>
    <x v="54"/>
    <n v="0"/>
  </r>
  <r>
    <x v="54"/>
    <n v="2024"/>
    <x v="6"/>
    <x v="0"/>
    <s v="RX"/>
    <s v="Cannulae"/>
    <x v="54"/>
    <n v="0"/>
  </r>
  <r>
    <x v="54"/>
    <n v="2024"/>
    <x v="7"/>
    <x v="0"/>
    <s v="RX"/>
    <s v="Cannulae"/>
    <x v="54"/>
    <n v="0"/>
  </r>
  <r>
    <x v="54"/>
    <n v="2024"/>
    <x v="8"/>
    <x v="0"/>
    <s v="RX"/>
    <s v="Cannulae"/>
    <x v="54"/>
    <n v="672"/>
  </r>
  <r>
    <x v="54"/>
    <n v="2024"/>
    <x v="9"/>
    <x v="0"/>
    <s v="RX"/>
    <s v="Cannulae"/>
    <x v="54"/>
    <n v="470"/>
  </r>
  <r>
    <x v="54"/>
    <n v="2024"/>
    <x v="10"/>
    <x v="0"/>
    <s v="RX"/>
    <s v="Cannulae"/>
    <x v="54"/>
    <n v="483"/>
  </r>
  <r>
    <x v="54"/>
    <n v="2024"/>
    <x v="11"/>
    <x v="0"/>
    <s v="RX"/>
    <s v="Cannulae"/>
    <x v="54"/>
    <n v="341"/>
  </r>
  <r>
    <x v="55"/>
    <n v="2024"/>
    <x v="0"/>
    <x v="0"/>
    <s v="RX"/>
    <s v="Cannulae"/>
    <x v="55"/>
    <n v="0"/>
  </r>
  <r>
    <x v="55"/>
    <n v="2024"/>
    <x v="1"/>
    <x v="0"/>
    <s v="RX"/>
    <s v="Cannulae"/>
    <x v="55"/>
    <n v="0"/>
  </r>
  <r>
    <x v="55"/>
    <n v="2024"/>
    <x v="2"/>
    <x v="0"/>
    <s v="RX"/>
    <s v="Cannulae"/>
    <x v="55"/>
    <n v="0"/>
  </r>
  <r>
    <x v="55"/>
    <n v="2024"/>
    <x v="3"/>
    <x v="0"/>
    <s v="RX"/>
    <s v="Cannulae"/>
    <x v="55"/>
    <n v="0"/>
  </r>
  <r>
    <x v="55"/>
    <n v="2024"/>
    <x v="4"/>
    <x v="0"/>
    <s v="RX"/>
    <s v="Cannulae"/>
    <x v="55"/>
    <n v="0"/>
  </r>
  <r>
    <x v="55"/>
    <n v="2024"/>
    <x v="5"/>
    <x v="0"/>
    <s v="RX"/>
    <s v="Cannulae"/>
    <x v="55"/>
    <n v="0"/>
  </r>
  <r>
    <x v="55"/>
    <n v="2024"/>
    <x v="6"/>
    <x v="0"/>
    <s v="RX"/>
    <s v="Cannulae"/>
    <x v="55"/>
    <n v="0"/>
  </r>
  <r>
    <x v="55"/>
    <n v="2024"/>
    <x v="7"/>
    <x v="0"/>
    <s v="RX"/>
    <s v="Cannulae"/>
    <x v="55"/>
    <n v="0"/>
  </r>
  <r>
    <x v="55"/>
    <n v="2024"/>
    <x v="8"/>
    <x v="0"/>
    <s v="RX"/>
    <s v="Cannulae"/>
    <x v="55"/>
    <n v="313"/>
  </r>
  <r>
    <x v="55"/>
    <n v="2024"/>
    <x v="9"/>
    <x v="0"/>
    <s v="RX"/>
    <s v="Cannulae"/>
    <x v="55"/>
    <n v="305"/>
  </r>
  <r>
    <x v="55"/>
    <n v="2024"/>
    <x v="10"/>
    <x v="0"/>
    <s v="RX"/>
    <s v="Cannulae"/>
    <x v="55"/>
    <n v="513"/>
  </r>
  <r>
    <x v="55"/>
    <n v="2024"/>
    <x v="11"/>
    <x v="0"/>
    <s v="RX"/>
    <s v="Cannulae"/>
    <x v="55"/>
    <n v="344"/>
  </r>
  <r>
    <x v="56"/>
    <n v="2024"/>
    <x v="0"/>
    <x v="0"/>
    <s v="RX"/>
    <s v="Cannulae"/>
    <x v="56"/>
    <n v="0"/>
  </r>
  <r>
    <x v="56"/>
    <n v="2024"/>
    <x v="1"/>
    <x v="0"/>
    <s v="RX"/>
    <s v="Cannulae"/>
    <x v="56"/>
    <n v="0"/>
  </r>
  <r>
    <x v="56"/>
    <n v="2024"/>
    <x v="2"/>
    <x v="0"/>
    <s v="RX"/>
    <s v="Cannulae"/>
    <x v="56"/>
    <n v="0"/>
  </r>
  <r>
    <x v="56"/>
    <n v="2024"/>
    <x v="3"/>
    <x v="0"/>
    <s v="RX"/>
    <s v="Cannulae"/>
    <x v="56"/>
    <n v="0"/>
  </r>
  <r>
    <x v="56"/>
    <n v="2024"/>
    <x v="4"/>
    <x v="0"/>
    <s v="RX"/>
    <s v="Cannulae"/>
    <x v="56"/>
    <n v="0"/>
  </r>
  <r>
    <x v="56"/>
    <n v="2024"/>
    <x v="5"/>
    <x v="0"/>
    <s v="RX"/>
    <s v="Cannulae"/>
    <x v="56"/>
    <n v="0"/>
  </r>
  <r>
    <x v="56"/>
    <n v="2024"/>
    <x v="6"/>
    <x v="0"/>
    <s v="RX"/>
    <s v="Cannulae"/>
    <x v="56"/>
    <n v="0"/>
  </r>
  <r>
    <x v="56"/>
    <n v="2024"/>
    <x v="7"/>
    <x v="0"/>
    <s v="RX"/>
    <s v="Cannulae"/>
    <x v="56"/>
    <n v="0"/>
  </r>
  <r>
    <x v="56"/>
    <n v="2024"/>
    <x v="8"/>
    <x v="0"/>
    <s v="RX"/>
    <s v="Cannulae"/>
    <x v="56"/>
    <n v="528"/>
  </r>
  <r>
    <x v="56"/>
    <n v="2024"/>
    <x v="9"/>
    <x v="0"/>
    <s v="RX"/>
    <s v="Cannulae"/>
    <x v="56"/>
    <n v="88"/>
  </r>
  <r>
    <x v="56"/>
    <n v="2024"/>
    <x v="10"/>
    <x v="0"/>
    <s v="RX"/>
    <s v="Cannulae"/>
    <x v="56"/>
    <n v="205"/>
  </r>
  <r>
    <x v="56"/>
    <n v="2024"/>
    <x v="11"/>
    <x v="0"/>
    <s v="RX"/>
    <s v="Cannulae"/>
    <x v="56"/>
    <n v="336"/>
  </r>
  <r>
    <x v="57"/>
    <n v="2024"/>
    <x v="0"/>
    <x v="0"/>
    <s v="RX"/>
    <s v="Dilators"/>
    <x v="57"/>
    <n v="0"/>
  </r>
  <r>
    <x v="57"/>
    <n v="2024"/>
    <x v="1"/>
    <x v="0"/>
    <s v="RX"/>
    <s v="Dilators"/>
    <x v="57"/>
    <n v="0"/>
  </r>
  <r>
    <x v="57"/>
    <n v="2024"/>
    <x v="2"/>
    <x v="0"/>
    <s v="RX"/>
    <s v="Dilators"/>
    <x v="57"/>
    <n v="0"/>
  </r>
  <r>
    <x v="57"/>
    <n v="2024"/>
    <x v="3"/>
    <x v="0"/>
    <s v="RX"/>
    <s v="Dilators"/>
    <x v="57"/>
    <n v="0"/>
  </r>
  <r>
    <x v="57"/>
    <n v="2024"/>
    <x v="4"/>
    <x v="0"/>
    <s v="RX"/>
    <s v="Dilators"/>
    <x v="57"/>
    <n v="0"/>
  </r>
  <r>
    <x v="57"/>
    <n v="2024"/>
    <x v="5"/>
    <x v="0"/>
    <s v="RX"/>
    <s v="Dilators"/>
    <x v="57"/>
    <n v="0"/>
  </r>
  <r>
    <x v="57"/>
    <n v="2024"/>
    <x v="6"/>
    <x v="0"/>
    <s v="RX"/>
    <s v="Dilators"/>
    <x v="57"/>
    <n v="0"/>
  </r>
  <r>
    <x v="57"/>
    <n v="2024"/>
    <x v="7"/>
    <x v="0"/>
    <s v="RX"/>
    <s v="Dilators"/>
    <x v="57"/>
    <n v="0"/>
  </r>
  <r>
    <x v="57"/>
    <n v="2024"/>
    <x v="8"/>
    <x v="0"/>
    <s v="RX"/>
    <s v="Dilators"/>
    <x v="57"/>
    <n v="3588"/>
  </r>
  <r>
    <x v="57"/>
    <n v="2024"/>
    <x v="9"/>
    <x v="0"/>
    <s v="RX"/>
    <s v="Dilators"/>
    <x v="57"/>
    <n v="3318"/>
  </r>
  <r>
    <x v="57"/>
    <n v="2024"/>
    <x v="10"/>
    <x v="0"/>
    <s v="RX"/>
    <s v="Dilators"/>
    <x v="57"/>
    <n v="6180"/>
  </r>
  <r>
    <x v="57"/>
    <n v="2024"/>
    <x v="11"/>
    <x v="0"/>
    <s v="RX"/>
    <s v="Dilators"/>
    <x v="57"/>
    <n v="1923"/>
  </r>
  <r>
    <x v="58"/>
    <n v="2024"/>
    <x v="0"/>
    <x v="0"/>
    <s v="RX"/>
    <s v="IUDs Cu &amp; IUS &amp; IUB"/>
    <x v="58"/>
    <n v="0"/>
  </r>
  <r>
    <x v="58"/>
    <n v="2024"/>
    <x v="1"/>
    <x v="0"/>
    <s v="RX"/>
    <s v="IUDs Cu &amp; IUS &amp; IUB"/>
    <x v="58"/>
    <n v="0"/>
  </r>
  <r>
    <x v="58"/>
    <n v="2024"/>
    <x v="2"/>
    <x v="0"/>
    <s v="RX"/>
    <s v="IUDs Cu &amp; IUS &amp; IUB"/>
    <x v="58"/>
    <n v="0"/>
  </r>
  <r>
    <x v="58"/>
    <n v="2024"/>
    <x v="3"/>
    <x v="0"/>
    <s v="RX"/>
    <s v="IUDs Cu &amp; IUS &amp; IUB"/>
    <x v="58"/>
    <n v="0"/>
  </r>
  <r>
    <x v="58"/>
    <n v="2024"/>
    <x v="4"/>
    <x v="0"/>
    <s v="RX"/>
    <s v="IUDs Cu &amp; IUS &amp; IUB"/>
    <x v="58"/>
    <n v="0"/>
  </r>
  <r>
    <x v="58"/>
    <n v="2024"/>
    <x v="5"/>
    <x v="0"/>
    <s v="RX"/>
    <s v="IUDs Cu &amp; IUS &amp; IUB"/>
    <x v="58"/>
    <n v="0"/>
  </r>
  <r>
    <x v="58"/>
    <n v="2024"/>
    <x v="6"/>
    <x v="0"/>
    <s v="RX"/>
    <s v="IUDs Cu &amp; IUS &amp; IUB"/>
    <x v="58"/>
    <n v="0"/>
  </r>
  <r>
    <x v="58"/>
    <n v="2024"/>
    <x v="7"/>
    <x v="0"/>
    <s v="RX"/>
    <s v="IUDs Cu &amp; IUS &amp; IUB"/>
    <x v="58"/>
    <n v="0"/>
  </r>
  <r>
    <x v="58"/>
    <n v="2024"/>
    <x v="8"/>
    <x v="0"/>
    <s v="RX"/>
    <s v="IUDs Cu &amp; IUS &amp; IUB"/>
    <x v="58"/>
    <n v="0"/>
  </r>
  <r>
    <x v="58"/>
    <n v="2024"/>
    <x v="9"/>
    <x v="0"/>
    <s v="RX"/>
    <s v="IUDs Cu &amp; IUS &amp; IUB"/>
    <x v="58"/>
    <n v="455"/>
  </r>
  <r>
    <x v="58"/>
    <n v="2024"/>
    <x v="10"/>
    <x v="0"/>
    <s v="RX"/>
    <s v="IUDs Cu &amp; IUS &amp; IUB"/>
    <x v="58"/>
    <n v="614"/>
  </r>
  <r>
    <x v="58"/>
    <n v="2024"/>
    <x v="11"/>
    <x v="0"/>
    <s v="RX"/>
    <s v="IUDs Cu &amp; IUS &amp; IUB"/>
    <x v="58"/>
    <n v="120"/>
  </r>
  <r>
    <x v="59"/>
    <n v="2024"/>
    <x v="0"/>
    <x v="0"/>
    <s v="RX"/>
    <s v="IUDs Cu &amp; IUS &amp; IUB"/>
    <x v="59"/>
    <n v="0"/>
  </r>
  <r>
    <x v="59"/>
    <n v="2024"/>
    <x v="1"/>
    <x v="0"/>
    <s v="RX"/>
    <s v="IUDs Cu &amp; IUS &amp; IUB"/>
    <x v="59"/>
    <n v="0"/>
  </r>
  <r>
    <x v="59"/>
    <n v="2024"/>
    <x v="2"/>
    <x v="0"/>
    <s v="RX"/>
    <s v="IUDs Cu &amp; IUS &amp; IUB"/>
    <x v="59"/>
    <n v="0"/>
  </r>
  <r>
    <x v="59"/>
    <n v="2024"/>
    <x v="3"/>
    <x v="0"/>
    <s v="RX"/>
    <s v="IUDs Cu &amp; IUS &amp; IUB"/>
    <x v="59"/>
    <n v="0"/>
  </r>
  <r>
    <x v="59"/>
    <n v="2024"/>
    <x v="4"/>
    <x v="0"/>
    <s v="RX"/>
    <s v="IUDs Cu &amp; IUS &amp; IUB"/>
    <x v="59"/>
    <n v="0"/>
  </r>
  <r>
    <x v="59"/>
    <n v="2024"/>
    <x v="5"/>
    <x v="0"/>
    <s v="RX"/>
    <s v="IUDs Cu &amp; IUS &amp; IUB"/>
    <x v="59"/>
    <n v="0"/>
  </r>
  <r>
    <x v="59"/>
    <n v="2024"/>
    <x v="6"/>
    <x v="0"/>
    <s v="RX"/>
    <s v="IUDs Cu &amp; IUS &amp; IUB"/>
    <x v="59"/>
    <n v="0"/>
  </r>
  <r>
    <x v="59"/>
    <n v="2024"/>
    <x v="7"/>
    <x v="0"/>
    <s v="RX"/>
    <s v="IUDs Cu &amp; IUS &amp; IUB"/>
    <x v="59"/>
    <n v="0"/>
  </r>
  <r>
    <x v="59"/>
    <n v="2024"/>
    <x v="8"/>
    <x v="0"/>
    <s v="RX"/>
    <s v="IUDs Cu &amp; IUS &amp; IUB"/>
    <x v="59"/>
    <n v="0"/>
  </r>
  <r>
    <x v="59"/>
    <n v="2024"/>
    <x v="9"/>
    <x v="0"/>
    <s v="RX"/>
    <s v="IUDs Cu &amp; IUS &amp; IUB"/>
    <x v="59"/>
    <n v="1026"/>
  </r>
  <r>
    <x v="59"/>
    <n v="2024"/>
    <x v="10"/>
    <x v="0"/>
    <s v="RX"/>
    <s v="IUDs Cu &amp; IUS &amp; IUB"/>
    <x v="59"/>
    <n v="802"/>
  </r>
  <r>
    <x v="59"/>
    <n v="2024"/>
    <x v="11"/>
    <x v="0"/>
    <s v="RX"/>
    <s v="IUDs Cu &amp; IUS &amp; IUB"/>
    <x v="59"/>
    <n v="788"/>
  </r>
  <r>
    <x v="60"/>
    <n v="2024"/>
    <x v="0"/>
    <x v="0"/>
    <s v="RX"/>
    <s v="IUDs Cu &amp; IUS &amp; IUB"/>
    <x v="60"/>
    <n v="0"/>
  </r>
  <r>
    <x v="60"/>
    <n v="2024"/>
    <x v="1"/>
    <x v="0"/>
    <s v="RX"/>
    <s v="IUDs Cu &amp; IUS &amp; IUB"/>
    <x v="60"/>
    <n v="0"/>
  </r>
  <r>
    <x v="60"/>
    <n v="2024"/>
    <x v="2"/>
    <x v="0"/>
    <s v="RX"/>
    <s v="IUDs Cu &amp; IUS &amp; IUB"/>
    <x v="60"/>
    <n v="0"/>
  </r>
  <r>
    <x v="60"/>
    <n v="2024"/>
    <x v="3"/>
    <x v="0"/>
    <s v="RX"/>
    <s v="IUDs Cu &amp; IUS &amp; IUB"/>
    <x v="60"/>
    <n v="0"/>
  </r>
  <r>
    <x v="60"/>
    <n v="2024"/>
    <x v="4"/>
    <x v="0"/>
    <s v="RX"/>
    <s v="IUDs Cu &amp; IUS &amp; IUB"/>
    <x v="60"/>
    <n v="0"/>
  </r>
  <r>
    <x v="60"/>
    <n v="2024"/>
    <x v="5"/>
    <x v="0"/>
    <s v="RX"/>
    <s v="IUDs Cu &amp; IUS &amp; IUB"/>
    <x v="60"/>
    <n v="0"/>
  </r>
  <r>
    <x v="60"/>
    <n v="2024"/>
    <x v="6"/>
    <x v="0"/>
    <s v="RX"/>
    <s v="IUDs Cu &amp; IUS &amp; IUB"/>
    <x v="60"/>
    <n v="0"/>
  </r>
  <r>
    <x v="60"/>
    <n v="2024"/>
    <x v="7"/>
    <x v="0"/>
    <s v="RX"/>
    <s v="IUDs Cu &amp; IUS &amp; IUB"/>
    <x v="60"/>
    <n v="0"/>
  </r>
  <r>
    <x v="60"/>
    <n v="2024"/>
    <x v="8"/>
    <x v="0"/>
    <s v="RX"/>
    <s v="IUDs Cu &amp; IUS &amp; IUB"/>
    <x v="60"/>
    <n v="4132"/>
  </r>
  <r>
    <x v="60"/>
    <n v="2024"/>
    <x v="9"/>
    <x v="0"/>
    <s v="RX"/>
    <s v="IUDs Cu &amp; IUS &amp; IUB"/>
    <x v="60"/>
    <n v="494"/>
  </r>
  <r>
    <x v="60"/>
    <n v="2024"/>
    <x v="10"/>
    <x v="0"/>
    <s v="RX"/>
    <s v="IUDs Cu &amp; IUS &amp; IUB"/>
    <x v="60"/>
    <n v="3129"/>
  </r>
  <r>
    <x v="60"/>
    <n v="2024"/>
    <x v="11"/>
    <x v="0"/>
    <s v="RX"/>
    <s v="IUDs Cu &amp; IUS &amp; IUB"/>
    <x v="60"/>
    <n v="2331"/>
  </r>
  <r>
    <x v="61"/>
    <n v="2024"/>
    <x v="0"/>
    <x v="0"/>
    <s v="RX"/>
    <s v="IUDs Cu &amp; IUS &amp; IUB"/>
    <x v="61"/>
    <n v="0"/>
  </r>
  <r>
    <x v="61"/>
    <n v="2024"/>
    <x v="1"/>
    <x v="0"/>
    <s v="RX"/>
    <s v="IUDs Cu &amp; IUS &amp; IUB"/>
    <x v="61"/>
    <n v="0"/>
  </r>
  <r>
    <x v="61"/>
    <n v="2024"/>
    <x v="2"/>
    <x v="0"/>
    <s v="RX"/>
    <s v="IUDs Cu &amp; IUS &amp; IUB"/>
    <x v="61"/>
    <n v="0"/>
  </r>
  <r>
    <x v="61"/>
    <n v="2024"/>
    <x v="3"/>
    <x v="0"/>
    <s v="RX"/>
    <s v="IUDs Cu &amp; IUS &amp; IUB"/>
    <x v="61"/>
    <n v="0"/>
  </r>
  <r>
    <x v="61"/>
    <n v="2024"/>
    <x v="4"/>
    <x v="0"/>
    <s v="RX"/>
    <s v="IUDs Cu &amp; IUS &amp; IUB"/>
    <x v="61"/>
    <n v="0"/>
  </r>
  <r>
    <x v="61"/>
    <n v="2024"/>
    <x v="5"/>
    <x v="0"/>
    <s v="RX"/>
    <s v="IUDs Cu &amp; IUS &amp; IUB"/>
    <x v="61"/>
    <n v="0"/>
  </r>
  <r>
    <x v="61"/>
    <n v="2024"/>
    <x v="6"/>
    <x v="0"/>
    <s v="RX"/>
    <s v="IUDs Cu &amp; IUS &amp; IUB"/>
    <x v="61"/>
    <n v="0"/>
  </r>
  <r>
    <x v="61"/>
    <n v="2024"/>
    <x v="7"/>
    <x v="0"/>
    <s v="RX"/>
    <s v="IUDs Cu &amp; IUS &amp; IUB"/>
    <x v="61"/>
    <n v="0"/>
  </r>
  <r>
    <x v="61"/>
    <n v="2024"/>
    <x v="8"/>
    <x v="0"/>
    <s v="RX"/>
    <s v="IUDs Cu &amp; IUS &amp; IUB"/>
    <x v="61"/>
    <n v="1685"/>
  </r>
  <r>
    <x v="61"/>
    <n v="2024"/>
    <x v="9"/>
    <x v="0"/>
    <s v="RX"/>
    <s v="IUDs Cu &amp; IUS &amp; IUB"/>
    <x v="61"/>
    <n v="1064"/>
  </r>
  <r>
    <x v="61"/>
    <n v="2024"/>
    <x v="10"/>
    <x v="0"/>
    <s v="RX"/>
    <s v="IUDs Cu &amp; IUS &amp; IUB"/>
    <x v="61"/>
    <n v="1095"/>
  </r>
  <r>
    <x v="61"/>
    <n v="2024"/>
    <x v="11"/>
    <x v="0"/>
    <s v="RX"/>
    <s v="IUDs Cu &amp; IUS &amp; IUB"/>
    <x v="61"/>
    <n v="966"/>
  </r>
  <r>
    <x v="62"/>
    <n v="2024"/>
    <x v="0"/>
    <x v="0"/>
    <s v="RX"/>
    <s v="IUDs Cu &amp; IUS &amp; IUB"/>
    <x v="62"/>
    <n v="0"/>
  </r>
  <r>
    <x v="62"/>
    <n v="2024"/>
    <x v="1"/>
    <x v="0"/>
    <s v="RX"/>
    <s v="IUDs Cu &amp; IUS &amp; IUB"/>
    <x v="62"/>
    <n v="0"/>
  </r>
  <r>
    <x v="62"/>
    <n v="2024"/>
    <x v="2"/>
    <x v="0"/>
    <s v="RX"/>
    <s v="IUDs Cu &amp; IUS &amp; IUB"/>
    <x v="62"/>
    <n v="0"/>
  </r>
  <r>
    <x v="62"/>
    <n v="2024"/>
    <x v="3"/>
    <x v="0"/>
    <s v="RX"/>
    <s v="IUDs Cu &amp; IUS &amp; IUB"/>
    <x v="62"/>
    <n v="0"/>
  </r>
  <r>
    <x v="62"/>
    <n v="2024"/>
    <x v="4"/>
    <x v="0"/>
    <s v="RX"/>
    <s v="IUDs Cu &amp; IUS &amp; IUB"/>
    <x v="62"/>
    <n v="0"/>
  </r>
  <r>
    <x v="62"/>
    <n v="2024"/>
    <x v="5"/>
    <x v="0"/>
    <s v="RX"/>
    <s v="IUDs Cu &amp; IUS &amp; IUB"/>
    <x v="62"/>
    <n v="0"/>
  </r>
  <r>
    <x v="62"/>
    <n v="2024"/>
    <x v="6"/>
    <x v="0"/>
    <s v="RX"/>
    <s v="IUDs Cu &amp; IUS &amp; IUB"/>
    <x v="62"/>
    <n v="0"/>
  </r>
  <r>
    <x v="62"/>
    <n v="2024"/>
    <x v="7"/>
    <x v="0"/>
    <s v="RX"/>
    <s v="IUDs Cu &amp; IUS &amp; IUB"/>
    <x v="62"/>
    <n v="0"/>
  </r>
  <r>
    <x v="62"/>
    <n v="2024"/>
    <x v="8"/>
    <x v="0"/>
    <s v="RX"/>
    <s v="IUDs Cu &amp; IUS &amp; IUB"/>
    <x v="62"/>
    <n v="24"/>
  </r>
  <r>
    <x v="62"/>
    <n v="2024"/>
    <x v="9"/>
    <x v="0"/>
    <s v="RX"/>
    <s v="IUDs Cu &amp; IUS &amp; IUB"/>
    <x v="62"/>
    <n v="45"/>
  </r>
  <r>
    <x v="62"/>
    <n v="2024"/>
    <x v="10"/>
    <x v="0"/>
    <s v="RX"/>
    <s v="IUDs Cu &amp; IUS &amp; IUB"/>
    <x v="62"/>
    <n v="22"/>
  </r>
  <r>
    <x v="62"/>
    <n v="2024"/>
    <x v="11"/>
    <x v="0"/>
    <s v="RX"/>
    <s v="IUDs Cu &amp; IUS &amp; IUB"/>
    <x v="62"/>
    <n v="41"/>
  </r>
  <r>
    <x v="63"/>
    <n v="2024"/>
    <x v="0"/>
    <x v="0"/>
    <s v="RX"/>
    <s v="IUDs Cu &amp; IUS &amp; IUB"/>
    <x v="63"/>
    <n v="0"/>
  </r>
  <r>
    <x v="63"/>
    <n v="2024"/>
    <x v="1"/>
    <x v="0"/>
    <s v="RX"/>
    <s v="IUDs Cu &amp; IUS &amp; IUB"/>
    <x v="63"/>
    <n v="0"/>
  </r>
  <r>
    <x v="63"/>
    <n v="2024"/>
    <x v="2"/>
    <x v="0"/>
    <s v="RX"/>
    <s v="IUDs Cu &amp; IUS &amp; IUB"/>
    <x v="63"/>
    <n v="0"/>
  </r>
  <r>
    <x v="63"/>
    <n v="2024"/>
    <x v="3"/>
    <x v="0"/>
    <s v="RX"/>
    <s v="IUDs Cu &amp; IUS &amp; IUB"/>
    <x v="63"/>
    <n v="0"/>
  </r>
  <r>
    <x v="63"/>
    <n v="2024"/>
    <x v="4"/>
    <x v="0"/>
    <s v="RX"/>
    <s v="IUDs Cu &amp; IUS &amp; IUB"/>
    <x v="63"/>
    <n v="0"/>
  </r>
  <r>
    <x v="63"/>
    <n v="2024"/>
    <x v="5"/>
    <x v="0"/>
    <s v="RX"/>
    <s v="IUDs Cu &amp; IUS &amp; IUB"/>
    <x v="63"/>
    <n v="0"/>
  </r>
  <r>
    <x v="63"/>
    <n v="2024"/>
    <x v="6"/>
    <x v="0"/>
    <s v="RX"/>
    <s v="IUDs Cu &amp; IUS &amp; IUB"/>
    <x v="63"/>
    <n v="0"/>
  </r>
  <r>
    <x v="63"/>
    <n v="2024"/>
    <x v="7"/>
    <x v="0"/>
    <s v="RX"/>
    <s v="IUDs Cu &amp; IUS &amp; IUB"/>
    <x v="63"/>
    <n v="0"/>
  </r>
  <r>
    <x v="63"/>
    <n v="2024"/>
    <x v="8"/>
    <x v="0"/>
    <s v="RX"/>
    <s v="IUDs Cu &amp; IUS &amp; IUB"/>
    <x v="63"/>
    <n v="3"/>
  </r>
  <r>
    <x v="63"/>
    <n v="2024"/>
    <x v="9"/>
    <x v="0"/>
    <s v="RX"/>
    <s v="IUDs Cu &amp; IUS &amp; IUB"/>
    <x v="63"/>
    <n v="85"/>
  </r>
  <r>
    <x v="63"/>
    <n v="2024"/>
    <x v="10"/>
    <x v="0"/>
    <s v="RX"/>
    <s v="IUDs Cu &amp; IUS &amp; IUB"/>
    <x v="63"/>
    <n v="106"/>
  </r>
  <r>
    <x v="63"/>
    <n v="2024"/>
    <x v="11"/>
    <x v="0"/>
    <s v="RX"/>
    <s v="IUDs Cu &amp; IUS &amp; IUB"/>
    <x v="63"/>
    <n v="37"/>
  </r>
  <r>
    <x v="64"/>
    <n v="2024"/>
    <x v="0"/>
    <x v="0"/>
    <s v="RX"/>
    <s v="Hysterometer"/>
    <x v="64"/>
    <n v="0"/>
  </r>
  <r>
    <x v="64"/>
    <n v="2024"/>
    <x v="1"/>
    <x v="0"/>
    <s v="RX"/>
    <s v="Hysterometer"/>
    <x v="64"/>
    <n v="0"/>
  </r>
  <r>
    <x v="64"/>
    <n v="2024"/>
    <x v="2"/>
    <x v="0"/>
    <s v="RX"/>
    <s v="Hysterometer"/>
    <x v="64"/>
    <n v="0"/>
  </r>
  <r>
    <x v="64"/>
    <n v="2024"/>
    <x v="3"/>
    <x v="0"/>
    <s v="RX"/>
    <s v="Hysterometer"/>
    <x v="64"/>
    <n v="0"/>
  </r>
  <r>
    <x v="64"/>
    <n v="2024"/>
    <x v="4"/>
    <x v="0"/>
    <s v="RX"/>
    <s v="Hysterometer"/>
    <x v="64"/>
    <n v="0"/>
  </r>
  <r>
    <x v="64"/>
    <n v="2024"/>
    <x v="5"/>
    <x v="0"/>
    <s v="RX"/>
    <s v="Hysterometer"/>
    <x v="64"/>
    <n v="0"/>
  </r>
  <r>
    <x v="64"/>
    <n v="2024"/>
    <x v="6"/>
    <x v="0"/>
    <s v="RX"/>
    <s v="Hysterometer"/>
    <x v="64"/>
    <n v="0"/>
  </r>
  <r>
    <x v="64"/>
    <n v="2024"/>
    <x v="7"/>
    <x v="0"/>
    <s v="RX"/>
    <s v="Hysterometer"/>
    <x v="64"/>
    <n v="0"/>
  </r>
  <r>
    <x v="64"/>
    <n v="2024"/>
    <x v="8"/>
    <x v="0"/>
    <s v="RX"/>
    <s v="Hysterometer"/>
    <x v="64"/>
    <n v="440"/>
  </r>
  <r>
    <x v="64"/>
    <n v="2024"/>
    <x v="9"/>
    <x v="0"/>
    <s v="RX"/>
    <s v="Hysterometer"/>
    <x v="64"/>
    <n v="3282"/>
  </r>
  <r>
    <x v="64"/>
    <n v="2024"/>
    <x v="10"/>
    <x v="0"/>
    <s v="RX"/>
    <s v="Hysterometer"/>
    <x v="64"/>
    <n v="7926"/>
  </r>
  <r>
    <x v="64"/>
    <n v="2024"/>
    <x v="11"/>
    <x v="0"/>
    <s v="RX"/>
    <s v="Hysterometer"/>
    <x v="64"/>
    <n v="1915"/>
  </r>
  <r>
    <x v="65"/>
    <n v="2024"/>
    <x v="0"/>
    <x v="0"/>
    <s v="RX"/>
    <s v="Injetable"/>
    <x v="65"/>
    <n v="0"/>
  </r>
  <r>
    <x v="65"/>
    <n v="2024"/>
    <x v="1"/>
    <x v="0"/>
    <s v="RX"/>
    <s v="Injetable"/>
    <x v="65"/>
    <n v="0"/>
  </r>
  <r>
    <x v="65"/>
    <n v="2024"/>
    <x v="2"/>
    <x v="0"/>
    <s v="RX"/>
    <s v="Injetable"/>
    <x v="65"/>
    <n v="0"/>
  </r>
  <r>
    <x v="65"/>
    <n v="2024"/>
    <x v="3"/>
    <x v="0"/>
    <s v="RX"/>
    <s v="Injetable"/>
    <x v="65"/>
    <n v="0"/>
  </r>
  <r>
    <x v="65"/>
    <n v="2024"/>
    <x v="4"/>
    <x v="0"/>
    <s v="RX"/>
    <s v="Injetable"/>
    <x v="65"/>
    <n v="0"/>
  </r>
  <r>
    <x v="65"/>
    <n v="2024"/>
    <x v="5"/>
    <x v="0"/>
    <s v="RX"/>
    <s v="Injetable"/>
    <x v="65"/>
    <n v="0"/>
  </r>
  <r>
    <x v="65"/>
    <n v="2024"/>
    <x v="6"/>
    <x v="0"/>
    <s v="RX"/>
    <s v="Injetable"/>
    <x v="65"/>
    <n v="0"/>
  </r>
  <r>
    <x v="65"/>
    <n v="2024"/>
    <x v="7"/>
    <x v="0"/>
    <s v="RX"/>
    <s v="Injetable"/>
    <x v="65"/>
    <n v="0"/>
  </r>
  <r>
    <x v="65"/>
    <n v="2024"/>
    <x v="8"/>
    <x v="0"/>
    <s v="RX"/>
    <s v="Injetable"/>
    <x v="65"/>
    <n v="1100"/>
  </r>
  <r>
    <x v="65"/>
    <n v="2024"/>
    <x v="9"/>
    <x v="0"/>
    <s v="RX"/>
    <s v="Injetable"/>
    <x v="65"/>
    <n v="500"/>
  </r>
  <r>
    <x v="65"/>
    <n v="2024"/>
    <x v="10"/>
    <x v="0"/>
    <s v="RX"/>
    <s v="Injetable"/>
    <x v="65"/>
    <n v="1700"/>
  </r>
  <r>
    <x v="65"/>
    <n v="2024"/>
    <x v="11"/>
    <x v="0"/>
    <s v="RX"/>
    <s v="Injetable"/>
    <x v="65"/>
    <n v="600"/>
  </r>
  <r>
    <x v="66"/>
    <n v="2024"/>
    <x v="0"/>
    <x v="0"/>
    <s v="RX"/>
    <s v="EC"/>
    <x v="66"/>
    <n v="0"/>
  </r>
  <r>
    <x v="66"/>
    <n v="2024"/>
    <x v="1"/>
    <x v="0"/>
    <s v="RX"/>
    <s v="EC"/>
    <x v="66"/>
    <n v="0"/>
  </r>
  <r>
    <x v="66"/>
    <n v="2024"/>
    <x v="2"/>
    <x v="0"/>
    <s v="RX"/>
    <s v="EC"/>
    <x v="66"/>
    <n v="0"/>
  </r>
  <r>
    <x v="66"/>
    <n v="2024"/>
    <x v="3"/>
    <x v="0"/>
    <s v="RX"/>
    <s v="EC"/>
    <x v="66"/>
    <n v="0"/>
  </r>
  <r>
    <x v="66"/>
    <n v="2024"/>
    <x v="4"/>
    <x v="0"/>
    <s v="RX"/>
    <s v="EC"/>
    <x v="66"/>
    <n v="0"/>
  </r>
  <r>
    <x v="66"/>
    <n v="2024"/>
    <x v="5"/>
    <x v="0"/>
    <s v="RX"/>
    <s v="EC"/>
    <x v="66"/>
    <n v="0"/>
  </r>
  <r>
    <x v="66"/>
    <n v="2024"/>
    <x v="6"/>
    <x v="0"/>
    <s v="RX"/>
    <s v="EC"/>
    <x v="66"/>
    <n v="0"/>
  </r>
  <r>
    <x v="66"/>
    <n v="2024"/>
    <x v="7"/>
    <x v="0"/>
    <s v="RX"/>
    <s v="EC"/>
    <x v="66"/>
    <n v="0"/>
  </r>
  <r>
    <x v="66"/>
    <n v="2024"/>
    <x v="8"/>
    <x v="0"/>
    <s v="RX"/>
    <s v="EC"/>
    <x v="66"/>
    <n v="45720"/>
  </r>
  <r>
    <x v="66"/>
    <n v="2024"/>
    <x v="9"/>
    <x v="0"/>
    <s v="RX"/>
    <s v="EC"/>
    <x v="66"/>
    <n v="23238"/>
  </r>
  <r>
    <x v="66"/>
    <n v="2024"/>
    <x v="10"/>
    <x v="0"/>
    <s v="RX"/>
    <s v="EC"/>
    <x v="66"/>
    <n v="42300"/>
  </r>
  <r>
    <x v="66"/>
    <n v="2024"/>
    <x v="11"/>
    <x v="0"/>
    <s v="RX"/>
    <s v="EC"/>
    <x v="66"/>
    <n v="1260"/>
  </r>
  <r>
    <x v="0"/>
    <n v="2025"/>
    <x v="0"/>
    <x v="0"/>
    <s v="Preservativo Masculino"/>
    <s v="Básico"/>
    <x v="0"/>
    <n v="12009"/>
  </r>
  <r>
    <x v="0"/>
    <n v="2025"/>
    <x v="1"/>
    <x v="0"/>
    <s v="Preservativo Masculino"/>
    <s v="Básico"/>
    <x v="0"/>
    <n v="6416"/>
  </r>
  <r>
    <x v="0"/>
    <n v="2025"/>
    <x v="2"/>
    <x v="0"/>
    <s v="Preservativo Masculino"/>
    <s v="Básico"/>
    <x v="0"/>
    <n v="12859"/>
  </r>
  <r>
    <x v="0"/>
    <n v="2025"/>
    <x v="3"/>
    <x v="0"/>
    <s v="Preservativo Masculino"/>
    <s v="Básico"/>
    <x v="0"/>
    <n v="5403"/>
  </r>
  <r>
    <x v="0"/>
    <n v="2025"/>
    <x v="4"/>
    <x v="0"/>
    <s v="Preservativo Masculino"/>
    <s v="Básico"/>
    <x v="0"/>
    <n v="5704.3451400000004"/>
  </r>
  <r>
    <x v="0"/>
    <n v="2025"/>
    <x v="5"/>
    <x v="0"/>
    <s v="Preservativo Masculino"/>
    <s v="Básico"/>
    <x v="0"/>
    <n v="6869.7673199999999"/>
  </r>
  <r>
    <x v="0"/>
    <n v="2025"/>
    <x v="6"/>
    <x v="0"/>
    <s v="Preservativo Masculino"/>
    <s v="Básico"/>
    <x v="0"/>
    <n v="6315.6163200000001"/>
  </r>
  <r>
    <x v="0"/>
    <n v="2025"/>
    <x v="7"/>
    <x v="0"/>
    <s v="Preservativo Masculino"/>
    <s v="Básico"/>
    <x v="0"/>
    <n v="8000"/>
  </r>
  <r>
    <x v="0"/>
    <n v="2025"/>
    <x v="8"/>
    <x v="0"/>
    <s v="Preservativo Masculino"/>
    <s v="Básico"/>
    <x v="0"/>
    <n v="8000"/>
  </r>
  <r>
    <x v="0"/>
    <n v="2025"/>
    <x v="9"/>
    <x v="0"/>
    <s v="Preservativo Masculino"/>
    <s v="Básico"/>
    <x v="0"/>
    <n v="6800"/>
  </r>
  <r>
    <x v="0"/>
    <n v="2025"/>
    <x v="10"/>
    <x v="0"/>
    <s v="Preservativo Masculino"/>
    <s v="Básico"/>
    <x v="0"/>
    <n v="8000"/>
  </r>
  <r>
    <x v="0"/>
    <n v="2025"/>
    <x v="11"/>
    <x v="0"/>
    <s v="Preservativo Masculino"/>
    <s v="Básico"/>
    <x v="0"/>
    <n v="8000"/>
  </r>
  <r>
    <x v="1"/>
    <n v="2025"/>
    <x v="0"/>
    <x v="0"/>
    <s v="Preservativo Masculino"/>
    <s v="Básico"/>
    <x v="1"/>
    <n v="3967"/>
  </r>
  <r>
    <x v="1"/>
    <n v="2025"/>
    <x v="1"/>
    <x v="0"/>
    <s v="Preservativo Masculino"/>
    <s v="Básico"/>
    <x v="1"/>
    <n v="3940"/>
  </r>
  <r>
    <x v="1"/>
    <n v="2025"/>
    <x v="2"/>
    <x v="0"/>
    <s v="Preservativo Masculino"/>
    <s v="Básico"/>
    <x v="1"/>
    <n v="10079"/>
  </r>
  <r>
    <x v="1"/>
    <n v="2025"/>
    <x v="3"/>
    <x v="0"/>
    <s v="Preservativo Masculino"/>
    <s v="Básico"/>
    <x v="1"/>
    <n v="4122"/>
  </r>
  <r>
    <x v="1"/>
    <n v="2025"/>
    <x v="4"/>
    <x v="0"/>
    <s v="Preservativo Masculino"/>
    <s v="Básico"/>
    <x v="1"/>
    <n v="9019"/>
  </r>
  <r>
    <x v="1"/>
    <n v="2025"/>
    <x v="5"/>
    <x v="0"/>
    <s v="Preservativo Masculino"/>
    <s v="Básico"/>
    <x v="1"/>
    <n v="7263"/>
  </r>
  <r>
    <x v="1"/>
    <n v="2025"/>
    <x v="6"/>
    <x v="0"/>
    <s v="Preservativo Masculino"/>
    <s v="Básico"/>
    <x v="1"/>
    <n v="4873"/>
  </r>
  <r>
    <x v="1"/>
    <n v="2025"/>
    <x v="7"/>
    <x v="0"/>
    <s v="Preservativo Masculino"/>
    <s v="Básico"/>
    <x v="1"/>
    <n v="9458"/>
  </r>
  <r>
    <x v="1"/>
    <n v="2025"/>
    <x v="8"/>
    <x v="0"/>
    <s v="Preservativo Masculino"/>
    <s v="Básico"/>
    <x v="1"/>
    <n v="4674"/>
  </r>
  <r>
    <x v="1"/>
    <n v="2025"/>
    <x v="9"/>
    <x v="0"/>
    <s v="Preservativo Masculino"/>
    <s v="Básico"/>
    <x v="1"/>
    <n v="5000"/>
  </r>
  <r>
    <x v="1"/>
    <n v="2025"/>
    <x v="10"/>
    <x v="0"/>
    <s v="Preservativo Masculino"/>
    <s v="Básico"/>
    <x v="1"/>
    <n v="5000"/>
  </r>
  <r>
    <x v="1"/>
    <n v="2025"/>
    <x v="11"/>
    <x v="0"/>
    <s v="Preservativo Masculino"/>
    <s v="Básico"/>
    <x v="1"/>
    <n v="5000"/>
  </r>
  <r>
    <x v="2"/>
    <n v="2025"/>
    <x v="0"/>
    <x v="0"/>
    <s v="Preservativo Masculino"/>
    <s v="Básico"/>
    <x v="2"/>
    <n v="1249"/>
  </r>
  <r>
    <x v="2"/>
    <n v="2025"/>
    <x v="1"/>
    <x v="0"/>
    <s v="Preservativo Masculino"/>
    <s v="Básico"/>
    <x v="2"/>
    <n v="1943"/>
  </r>
  <r>
    <x v="2"/>
    <n v="2025"/>
    <x v="2"/>
    <x v="0"/>
    <s v="Preservativo Masculino"/>
    <s v="Básico"/>
    <x v="2"/>
    <n v="3323"/>
  </r>
  <r>
    <x v="2"/>
    <n v="2025"/>
    <x v="3"/>
    <x v="0"/>
    <s v="Preservativo Masculino"/>
    <s v="Básico"/>
    <x v="2"/>
    <n v="1558"/>
  </r>
  <r>
    <x v="2"/>
    <n v="2025"/>
    <x v="4"/>
    <x v="0"/>
    <s v="Preservativo Masculino"/>
    <s v="Básico"/>
    <x v="2"/>
    <n v="4485"/>
  </r>
  <r>
    <x v="2"/>
    <n v="2025"/>
    <x v="5"/>
    <x v="0"/>
    <s v="Preservativo Masculino"/>
    <s v="Básico"/>
    <x v="2"/>
    <n v="4731"/>
  </r>
  <r>
    <x v="2"/>
    <n v="2025"/>
    <x v="6"/>
    <x v="0"/>
    <s v="Preservativo Masculino"/>
    <s v="Básico"/>
    <x v="2"/>
    <n v="5824"/>
  </r>
  <r>
    <x v="2"/>
    <n v="2025"/>
    <x v="7"/>
    <x v="0"/>
    <s v="Preservativo Masculino"/>
    <s v="Básico"/>
    <x v="2"/>
    <n v="4866"/>
  </r>
  <r>
    <x v="2"/>
    <n v="2025"/>
    <x v="8"/>
    <x v="0"/>
    <s v="Preservativo Masculino"/>
    <s v="Básico"/>
    <x v="2"/>
    <n v="2215"/>
  </r>
  <r>
    <x v="2"/>
    <n v="2025"/>
    <x v="9"/>
    <x v="0"/>
    <s v="Preservativo Masculino"/>
    <s v="Básico"/>
    <x v="2"/>
    <n v="2600"/>
  </r>
  <r>
    <x v="2"/>
    <n v="2025"/>
    <x v="10"/>
    <x v="0"/>
    <s v="Preservativo Masculino"/>
    <s v="Básico"/>
    <x v="2"/>
    <n v="2500"/>
  </r>
  <r>
    <x v="2"/>
    <n v="2025"/>
    <x v="11"/>
    <x v="0"/>
    <s v="Preservativo Masculino"/>
    <s v="Básico"/>
    <x v="2"/>
    <n v="2600"/>
  </r>
  <r>
    <x v="3"/>
    <n v="2025"/>
    <x v="0"/>
    <x v="0"/>
    <s v="Preservativo Masculino"/>
    <s v="Cores e Sabores"/>
    <x v="3"/>
    <n v="3032"/>
  </r>
  <r>
    <x v="3"/>
    <n v="2025"/>
    <x v="1"/>
    <x v="0"/>
    <s v="Preservativo Masculino"/>
    <s v="Cores e Sabores"/>
    <x v="3"/>
    <n v="4612"/>
  </r>
  <r>
    <x v="3"/>
    <n v="2025"/>
    <x v="2"/>
    <x v="0"/>
    <s v="Preservativo Masculino"/>
    <s v="Cores e Sabores"/>
    <x v="3"/>
    <n v="5281"/>
  </r>
  <r>
    <x v="3"/>
    <n v="2025"/>
    <x v="3"/>
    <x v="0"/>
    <s v="Preservativo Masculino"/>
    <s v="Cores e Sabores"/>
    <x v="3"/>
    <n v="2133"/>
  </r>
  <r>
    <x v="3"/>
    <n v="2025"/>
    <x v="4"/>
    <x v="0"/>
    <s v="Preservativo Masculino"/>
    <s v="Cores e Sabores"/>
    <x v="3"/>
    <n v="2620"/>
  </r>
  <r>
    <x v="3"/>
    <n v="2025"/>
    <x v="5"/>
    <x v="0"/>
    <s v="Preservativo Masculino"/>
    <s v="Cores e Sabores"/>
    <x v="3"/>
    <n v="2991"/>
  </r>
  <r>
    <x v="3"/>
    <n v="2025"/>
    <x v="6"/>
    <x v="0"/>
    <s v="Preservativo Masculino"/>
    <s v="Cores e Sabores"/>
    <x v="3"/>
    <n v="4007"/>
  </r>
  <r>
    <x v="3"/>
    <n v="2025"/>
    <x v="7"/>
    <x v="0"/>
    <s v="Preservativo Masculino"/>
    <s v="Cores e Sabores"/>
    <x v="3"/>
    <n v="3420"/>
  </r>
  <r>
    <x v="3"/>
    <n v="2025"/>
    <x v="8"/>
    <x v="0"/>
    <s v="Preservativo Masculino"/>
    <s v="Cores e Sabores"/>
    <x v="3"/>
    <n v="4054"/>
  </r>
  <r>
    <x v="3"/>
    <n v="2025"/>
    <x v="9"/>
    <x v="0"/>
    <s v="Preservativo Masculino"/>
    <s v="Cores e Sabores"/>
    <x v="3"/>
    <n v="5000"/>
  </r>
  <r>
    <x v="3"/>
    <n v="2025"/>
    <x v="10"/>
    <x v="0"/>
    <s v="Preservativo Masculino"/>
    <s v="Cores e Sabores"/>
    <x v="3"/>
    <n v="5000"/>
  </r>
  <r>
    <x v="3"/>
    <n v="2025"/>
    <x v="11"/>
    <x v="0"/>
    <s v="Preservativo Masculino"/>
    <s v="Cores e Sabores"/>
    <x v="3"/>
    <n v="5000"/>
  </r>
  <r>
    <x v="4"/>
    <n v="2025"/>
    <x v="0"/>
    <x v="0"/>
    <s v="Preservativo Masculino"/>
    <s v="Cores e Sabores"/>
    <x v="4"/>
    <n v="1975"/>
  </r>
  <r>
    <x v="4"/>
    <n v="2025"/>
    <x v="1"/>
    <x v="0"/>
    <s v="Preservativo Masculino"/>
    <s v="Cores e Sabores"/>
    <x v="4"/>
    <n v="2153"/>
  </r>
  <r>
    <x v="4"/>
    <n v="2025"/>
    <x v="2"/>
    <x v="0"/>
    <s v="Preservativo Masculino"/>
    <s v="Cores e Sabores"/>
    <x v="4"/>
    <n v="2811"/>
  </r>
  <r>
    <x v="4"/>
    <n v="2025"/>
    <x v="3"/>
    <x v="0"/>
    <s v="Preservativo Masculino"/>
    <s v="Cores e Sabores"/>
    <x v="4"/>
    <n v="984"/>
  </r>
  <r>
    <x v="4"/>
    <n v="2025"/>
    <x v="4"/>
    <x v="0"/>
    <s v="Preservativo Masculino"/>
    <s v="Cores e Sabores"/>
    <x v="4"/>
    <n v="1628.57"/>
  </r>
  <r>
    <x v="4"/>
    <n v="2025"/>
    <x v="5"/>
    <x v="0"/>
    <s v="Preservativo Masculino"/>
    <s v="Cores e Sabores"/>
    <x v="4"/>
    <n v="1920.4010000000001"/>
  </r>
  <r>
    <x v="4"/>
    <n v="2025"/>
    <x v="6"/>
    <x v="0"/>
    <s v="Preservativo Masculino"/>
    <s v="Cores e Sabores"/>
    <x v="4"/>
    <n v="1595.78"/>
  </r>
  <r>
    <x v="4"/>
    <n v="2025"/>
    <x v="7"/>
    <x v="0"/>
    <s v="Preservativo Masculino"/>
    <s v="Cores e Sabores"/>
    <x v="4"/>
    <n v="1737.87"/>
  </r>
  <r>
    <x v="4"/>
    <n v="2025"/>
    <x v="8"/>
    <x v="0"/>
    <s v="Preservativo Masculino"/>
    <s v="Cores e Sabores"/>
    <x v="4"/>
    <n v="1951.0050000000001"/>
  </r>
  <r>
    <x v="4"/>
    <n v="2025"/>
    <x v="9"/>
    <x v="0"/>
    <s v="Preservativo Masculino"/>
    <s v="Cores e Sabores"/>
    <x v="4"/>
    <n v="1877.7739999999999"/>
  </r>
  <r>
    <x v="4"/>
    <n v="2025"/>
    <x v="10"/>
    <x v="0"/>
    <s v="Preservativo Masculino"/>
    <s v="Cores e Sabores"/>
    <x v="4"/>
    <n v="1596"/>
  </r>
  <r>
    <x v="4"/>
    <n v="2025"/>
    <x v="11"/>
    <x v="0"/>
    <s v="Preservativo Masculino"/>
    <s v="Cores e Sabores"/>
    <x v="4"/>
    <n v="1738"/>
  </r>
  <r>
    <x v="5"/>
    <n v="2025"/>
    <x v="0"/>
    <x v="0"/>
    <s v="Preservativo Masculino"/>
    <s v="Cores e Sabores"/>
    <x v="5"/>
    <n v="3022"/>
  </r>
  <r>
    <x v="5"/>
    <n v="2025"/>
    <x v="1"/>
    <x v="0"/>
    <s v="Preservativo Masculino"/>
    <s v="Cores e Sabores"/>
    <x v="5"/>
    <n v="2239"/>
  </r>
  <r>
    <x v="5"/>
    <n v="2025"/>
    <x v="2"/>
    <x v="0"/>
    <s v="Preservativo Masculino"/>
    <s v="Cores e Sabores"/>
    <x v="5"/>
    <n v="1277"/>
  </r>
  <r>
    <x v="5"/>
    <n v="2025"/>
    <x v="3"/>
    <x v="0"/>
    <s v="Preservativo Masculino"/>
    <s v="Cores e Sabores"/>
    <x v="5"/>
    <n v="2577"/>
  </r>
  <r>
    <x v="5"/>
    <n v="2025"/>
    <x v="4"/>
    <x v="0"/>
    <s v="Preservativo Masculino"/>
    <s v="Cores e Sabores"/>
    <x v="5"/>
    <n v="1455"/>
  </r>
  <r>
    <x v="5"/>
    <n v="2025"/>
    <x v="5"/>
    <x v="0"/>
    <s v="Preservativo Masculino"/>
    <s v="Cores e Sabores"/>
    <x v="5"/>
    <n v="1325"/>
  </r>
  <r>
    <x v="5"/>
    <n v="2025"/>
    <x v="6"/>
    <x v="0"/>
    <s v="Preservativo Masculino"/>
    <s v="Cores e Sabores"/>
    <x v="5"/>
    <n v="2512"/>
  </r>
  <r>
    <x v="5"/>
    <n v="2025"/>
    <x v="7"/>
    <x v="0"/>
    <s v="Preservativo Masculino"/>
    <s v="Cores e Sabores"/>
    <x v="5"/>
    <n v="1371"/>
  </r>
  <r>
    <x v="5"/>
    <n v="2025"/>
    <x v="8"/>
    <x v="0"/>
    <s v="Preservativo Masculino"/>
    <s v="Cores e Sabores"/>
    <x v="5"/>
    <n v="1541"/>
  </r>
  <r>
    <x v="5"/>
    <n v="2025"/>
    <x v="9"/>
    <x v="0"/>
    <s v="Preservativo Masculino"/>
    <s v="Cores e Sabores"/>
    <x v="5"/>
    <n v="3000"/>
  </r>
  <r>
    <x v="5"/>
    <n v="2025"/>
    <x v="10"/>
    <x v="0"/>
    <s v="Preservativo Masculino"/>
    <s v="Cores e Sabores"/>
    <x v="5"/>
    <n v="3000"/>
  </r>
  <r>
    <x v="5"/>
    <n v="2025"/>
    <x v="11"/>
    <x v="0"/>
    <s v="Preservativo Masculino"/>
    <s v="Cores e Sabores"/>
    <x v="5"/>
    <n v="3000"/>
  </r>
  <r>
    <x v="6"/>
    <n v="2025"/>
    <x v="0"/>
    <x v="0"/>
    <s v="Preservativo Masculino"/>
    <s v="Cores e Sabores"/>
    <x v="6"/>
    <n v="1080"/>
  </r>
  <r>
    <x v="6"/>
    <n v="2025"/>
    <x v="1"/>
    <x v="0"/>
    <s v="Preservativo Masculino"/>
    <s v="Cores e Sabores"/>
    <x v="6"/>
    <n v="662"/>
  </r>
  <r>
    <x v="6"/>
    <n v="2025"/>
    <x v="2"/>
    <x v="0"/>
    <s v="Preservativo Masculino"/>
    <s v="Cores e Sabores"/>
    <x v="6"/>
    <n v="634"/>
  </r>
  <r>
    <x v="6"/>
    <n v="2025"/>
    <x v="3"/>
    <x v="0"/>
    <s v="Preservativo Masculino"/>
    <s v="Cores e Sabores"/>
    <x v="6"/>
    <n v="346"/>
  </r>
  <r>
    <x v="6"/>
    <n v="2025"/>
    <x v="4"/>
    <x v="0"/>
    <s v="Preservativo Masculino"/>
    <s v="Cores e Sabores"/>
    <x v="6"/>
    <n v="570.54600000000005"/>
  </r>
  <r>
    <x v="6"/>
    <n v="2025"/>
    <x v="5"/>
    <x v="0"/>
    <s v="Preservativo Masculino"/>
    <s v="Cores e Sabores"/>
    <x v="6"/>
    <n v="651.428"/>
  </r>
  <r>
    <x v="6"/>
    <n v="2025"/>
    <x v="6"/>
    <x v="0"/>
    <s v="Preservativo Masculino"/>
    <s v="Cores e Sabores"/>
    <x v="6"/>
    <n v="553.05799999999999"/>
  </r>
  <r>
    <x v="6"/>
    <n v="2025"/>
    <x v="7"/>
    <x v="0"/>
    <s v="Preservativo Masculino"/>
    <s v="Cores e Sabores"/>
    <x v="6"/>
    <n v="647.05600000000004"/>
  </r>
  <r>
    <x v="6"/>
    <n v="2025"/>
    <x v="8"/>
    <x v="0"/>
    <s v="Preservativo Masculino"/>
    <s v="Cores e Sabores"/>
    <x v="6"/>
    <n v="651.428"/>
  </r>
  <r>
    <x v="6"/>
    <n v="2025"/>
    <x v="9"/>
    <x v="0"/>
    <s v="Preservativo Masculino"/>
    <s v="Cores e Sabores"/>
    <x v="6"/>
    <n v="686.404"/>
  </r>
  <r>
    <x v="6"/>
    <n v="2025"/>
    <x v="10"/>
    <x v="0"/>
    <s v="Preservativo Masculino"/>
    <s v="Cores e Sabores"/>
    <x v="6"/>
    <n v="553"/>
  </r>
  <r>
    <x v="6"/>
    <n v="2025"/>
    <x v="11"/>
    <x v="0"/>
    <s v="Preservativo Masculino"/>
    <s v="Cores e Sabores"/>
    <x v="6"/>
    <n v="647"/>
  </r>
  <r>
    <x v="7"/>
    <n v="2025"/>
    <x v="0"/>
    <x v="0"/>
    <s v="Preservativo Masculino"/>
    <s v="Cores e Sabores"/>
    <x v="7"/>
    <n v="1471"/>
  </r>
  <r>
    <x v="7"/>
    <n v="2025"/>
    <x v="1"/>
    <x v="0"/>
    <s v="Preservativo Masculino"/>
    <s v="Cores e Sabores"/>
    <x v="7"/>
    <n v="3346"/>
  </r>
  <r>
    <x v="7"/>
    <n v="2025"/>
    <x v="2"/>
    <x v="0"/>
    <s v="Preservativo Masculino"/>
    <s v="Cores e Sabores"/>
    <x v="7"/>
    <n v="3472"/>
  </r>
  <r>
    <x v="7"/>
    <n v="2025"/>
    <x v="3"/>
    <x v="0"/>
    <s v="Preservativo Masculino"/>
    <s v="Cores e Sabores"/>
    <x v="7"/>
    <n v="1655"/>
  </r>
  <r>
    <x v="7"/>
    <n v="2025"/>
    <x v="4"/>
    <x v="0"/>
    <s v="Preservativo Masculino"/>
    <s v="Cores e Sabores"/>
    <x v="7"/>
    <n v="2029.701"/>
  </r>
  <r>
    <x v="7"/>
    <n v="2025"/>
    <x v="5"/>
    <x v="0"/>
    <s v="Preservativo Masculino"/>
    <s v="Cores e Sabores"/>
    <x v="7"/>
    <n v="2446.134"/>
  </r>
  <r>
    <x v="7"/>
    <n v="2025"/>
    <x v="6"/>
    <x v="0"/>
    <s v="Preservativo Masculino"/>
    <s v="Cores e Sabores"/>
    <x v="7"/>
    <n v="2047.1890000000001"/>
  </r>
  <r>
    <x v="7"/>
    <n v="2025"/>
    <x v="7"/>
    <x v="0"/>
    <s v="Preservativo Masculino"/>
    <s v="Cores e Sabores"/>
    <x v="7"/>
    <n v="2154.3029999999999"/>
  </r>
  <r>
    <x v="7"/>
    <n v="2025"/>
    <x v="8"/>
    <x v="0"/>
    <s v="Preservativo Masculino"/>
    <s v="Cores e Sabores"/>
    <x v="7"/>
    <n v="2560.8989999999999"/>
  </r>
  <r>
    <x v="7"/>
    <n v="2025"/>
    <x v="9"/>
    <x v="0"/>
    <s v="Preservativo Masculino"/>
    <s v="Cores e Sabores"/>
    <x v="7"/>
    <n v="3000"/>
  </r>
  <r>
    <x v="7"/>
    <n v="2025"/>
    <x v="10"/>
    <x v="0"/>
    <s v="Preservativo Masculino"/>
    <s v="Cores e Sabores"/>
    <x v="7"/>
    <n v="3000"/>
  </r>
  <r>
    <x v="7"/>
    <n v="2025"/>
    <x v="11"/>
    <x v="0"/>
    <s v="Preservativo Masculino"/>
    <s v="Cores e Sabores"/>
    <x v="7"/>
    <n v="3000"/>
  </r>
  <r>
    <x v="8"/>
    <n v="2025"/>
    <x v="0"/>
    <x v="0"/>
    <s v="Preservativo Masculino"/>
    <s v="Cores e Sabores"/>
    <x v="8"/>
    <n v="1265"/>
  </r>
  <r>
    <x v="8"/>
    <n v="2025"/>
    <x v="1"/>
    <x v="0"/>
    <s v="Preservativo Masculino"/>
    <s v="Cores e Sabores"/>
    <x v="8"/>
    <n v="1379"/>
  </r>
  <r>
    <x v="8"/>
    <n v="2025"/>
    <x v="2"/>
    <x v="0"/>
    <s v="Preservativo Masculino"/>
    <s v="Cores e Sabores"/>
    <x v="8"/>
    <n v="1176"/>
  </r>
  <r>
    <x v="8"/>
    <n v="2025"/>
    <x v="3"/>
    <x v="0"/>
    <s v="Preservativo Masculino"/>
    <s v="Cores e Sabores"/>
    <x v="8"/>
    <n v="111"/>
  </r>
  <r>
    <x v="8"/>
    <n v="2025"/>
    <x v="4"/>
    <x v="0"/>
    <s v="Preservativo Masculino"/>
    <s v="Cores e Sabores"/>
    <x v="8"/>
    <n v="672"/>
  </r>
  <r>
    <x v="8"/>
    <n v="2025"/>
    <x v="5"/>
    <x v="0"/>
    <s v="Preservativo Masculino"/>
    <s v="Cores e Sabores"/>
    <x v="8"/>
    <n v="809"/>
  </r>
  <r>
    <x v="8"/>
    <n v="2025"/>
    <x v="6"/>
    <x v="0"/>
    <s v="Preservativo Masculino"/>
    <s v="Cores e Sabores"/>
    <x v="8"/>
    <n v="818"/>
  </r>
  <r>
    <x v="8"/>
    <n v="2025"/>
    <x v="7"/>
    <x v="0"/>
    <s v="Preservativo Masculino"/>
    <s v="Cores e Sabores"/>
    <x v="8"/>
    <n v="827"/>
  </r>
  <r>
    <x v="8"/>
    <n v="2025"/>
    <x v="8"/>
    <x v="0"/>
    <s v="Preservativo Masculino"/>
    <s v="Cores e Sabores"/>
    <x v="8"/>
    <n v="624"/>
  </r>
  <r>
    <x v="8"/>
    <n v="2025"/>
    <x v="9"/>
    <x v="0"/>
    <s v="Preservativo Masculino"/>
    <s v="Cores e Sabores"/>
    <x v="8"/>
    <n v="1500"/>
  </r>
  <r>
    <x v="8"/>
    <n v="2025"/>
    <x v="10"/>
    <x v="0"/>
    <s v="Preservativo Masculino"/>
    <s v="Cores e Sabores"/>
    <x v="8"/>
    <n v="1500"/>
  </r>
  <r>
    <x v="8"/>
    <n v="2025"/>
    <x v="11"/>
    <x v="0"/>
    <s v="Preservativo Masculino"/>
    <s v="Cores e Sabores"/>
    <x v="8"/>
    <n v="1500"/>
  </r>
  <r>
    <x v="9"/>
    <n v="2025"/>
    <x v="0"/>
    <x v="0"/>
    <s v="Preservativo Masculino"/>
    <s v="Cores e Sabores"/>
    <x v="9"/>
    <n v="1428"/>
  </r>
  <r>
    <x v="9"/>
    <n v="2025"/>
    <x v="1"/>
    <x v="0"/>
    <s v="Preservativo Masculino"/>
    <s v="Cores e Sabores"/>
    <x v="9"/>
    <n v="1956"/>
  </r>
  <r>
    <x v="9"/>
    <n v="2025"/>
    <x v="2"/>
    <x v="0"/>
    <s v="Preservativo Masculino"/>
    <s v="Cores e Sabores"/>
    <x v="9"/>
    <n v="1202"/>
  </r>
  <r>
    <x v="9"/>
    <n v="2025"/>
    <x v="3"/>
    <x v="0"/>
    <s v="Preservativo Masculino"/>
    <s v="Cores e Sabores"/>
    <x v="9"/>
    <n v="1706"/>
  </r>
  <r>
    <x v="9"/>
    <n v="2025"/>
    <x v="4"/>
    <x v="0"/>
    <s v="Preservativo Masculino"/>
    <s v="Cores e Sabores"/>
    <x v="9"/>
    <n v="1393.575"/>
  </r>
  <r>
    <x v="9"/>
    <n v="2025"/>
    <x v="5"/>
    <x v="0"/>
    <s v="Preservativo Masculino"/>
    <s v="Cores e Sabores"/>
    <x v="9"/>
    <n v="1758.6369999999999"/>
  </r>
  <r>
    <x v="9"/>
    <n v="2025"/>
    <x v="6"/>
    <x v="0"/>
    <s v="Preservativo Masculino"/>
    <s v="Cores e Sabores"/>
    <x v="9"/>
    <n v="1220.8810000000001"/>
  </r>
  <r>
    <x v="9"/>
    <n v="2025"/>
    <x v="7"/>
    <x v="0"/>
    <s v="Preservativo Masculino"/>
    <s v="Cores e Sabores"/>
    <x v="9"/>
    <n v="1424.1790000000001"/>
  </r>
  <r>
    <x v="9"/>
    <n v="2025"/>
    <x v="8"/>
    <x v="0"/>
    <s v="Preservativo Masculino"/>
    <s v="Cores e Sabores"/>
    <x v="9"/>
    <n v="1709.452"/>
  </r>
  <r>
    <x v="9"/>
    <n v="2025"/>
    <x v="9"/>
    <x v="0"/>
    <s v="Preservativo Masculino"/>
    <s v="Cores e Sabores"/>
    <x v="9"/>
    <n v="1663.546"/>
  </r>
  <r>
    <x v="9"/>
    <n v="2025"/>
    <x v="10"/>
    <x v="0"/>
    <s v="Preservativo Masculino"/>
    <s v="Cores e Sabores"/>
    <x v="9"/>
    <n v="1900"/>
  </r>
  <r>
    <x v="9"/>
    <n v="2025"/>
    <x v="11"/>
    <x v="0"/>
    <s v="Preservativo Masculino"/>
    <s v="Cores e Sabores"/>
    <x v="9"/>
    <n v="1900"/>
  </r>
  <r>
    <x v="10"/>
    <n v="2025"/>
    <x v="0"/>
    <x v="0"/>
    <s v="Preservativo Masculino"/>
    <s v="Cores e Sabores"/>
    <x v="10"/>
    <n v="559"/>
  </r>
  <r>
    <x v="10"/>
    <n v="2025"/>
    <x v="1"/>
    <x v="0"/>
    <s v="Preservativo Masculino"/>
    <s v="Cores e Sabores"/>
    <x v="10"/>
    <n v="821"/>
  </r>
  <r>
    <x v="10"/>
    <n v="2025"/>
    <x v="2"/>
    <x v="0"/>
    <s v="Preservativo Masculino"/>
    <s v="Cores e Sabores"/>
    <x v="10"/>
    <n v="1180"/>
  </r>
  <r>
    <x v="10"/>
    <n v="2025"/>
    <x v="3"/>
    <x v="0"/>
    <s v="Preservativo Masculino"/>
    <s v="Cores e Sabores"/>
    <x v="10"/>
    <n v="534"/>
  </r>
  <r>
    <x v="10"/>
    <n v="2025"/>
    <x v="4"/>
    <x v="0"/>
    <s v="Preservativo Masculino"/>
    <s v="Cores e Sabores"/>
    <x v="10"/>
    <n v="501.68700000000001"/>
  </r>
  <r>
    <x v="10"/>
    <n v="2025"/>
    <x v="5"/>
    <x v="0"/>
    <s v="Preservativo Masculino"/>
    <s v="Cores e Sabores"/>
    <x v="10"/>
    <n v="615.35900000000004"/>
  </r>
  <r>
    <x v="10"/>
    <n v="2025"/>
    <x v="6"/>
    <x v="0"/>
    <s v="Preservativo Masculino"/>
    <s v="Cores e Sabores"/>
    <x v="10"/>
    <n v="531.19799999999998"/>
  </r>
  <r>
    <x v="10"/>
    <n v="2025"/>
    <x v="7"/>
    <x v="0"/>
    <s v="Preservativo Masculino"/>
    <s v="Cores e Sabores"/>
    <x v="10"/>
    <n v="562.89499999999998"/>
  </r>
  <r>
    <x v="10"/>
    <n v="2025"/>
    <x v="8"/>
    <x v="0"/>
    <s v="Preservativo Masculino"/>
    <s v="Cores e Sabores"/>
    <x v="10"/>
    <n v="711.54300000000001"/>
  </r>
  <r>
    <x v="10"/>
    <n v="2025"/>
    <x v="9"/>
    <x v="0"/>
    <s v="Preservativo Masculino"/>
    <s v="Cores e Sabores"/>
    <x v="10"/>
    <n v="819.75"/>
  </r>
  <r>
    <x v="10"/>
    <n v="2025"/>
    <x v="10"/>
    <x v="0"/>
    <s v="Preservativo Masculino"/>
    <s v="Cores e Sabores"/>
    <x v="10"/>
    <n v="513"/>
  </r>
  <r>
    <x v="10"/>
    <n v="2025"/>
    <x v="11"/>
    <x v="0"/>
    <s v="Preservativo Masculino"/>
    <s v="Cores e Sabores"/>
    <x v="10"/>
    <n v="574"/>
  </r>
  <r>
    <x v="11"/>
    <n v="2025"/>
    <x v="0"/>
    <x v="0"/>
    <s v="Preservativo Masculino"/>
    <s v="Cores e Sabores"/>
    <x v="11"/>
    <n v="2"/>
  </r>
  <r>
    <x v="11"/>
    <n v="2025"/>
    <x v="1"/>
    <x v="0"/>
    <s v="Preservativo Masculino"/>
    <s v="Cores e Sabores"/>
    <x v="11"/>
    <n v="2227"/>
  </r>
  <r>
    <x v="11"/>
    <n v="2025"/>
    <x v="2"/>
    <x v="0"/>
    <s v="Preservativo Masculino"/>
    <s v="Cores e Sabores"/>
    <x v="11"/>
    <n v="1720"/>
  </r>
  <r>
    <x v="11"/>
    <n v="2025"/>
    <x v="3"/>
    <x v="0"/>
    <s v="Preservativo Masculino"/>
    <s v="Cores e Sabores"/>
    <x v="11"/>
    <n v="832"/>
  </r>
  <r>
    <x v="11"/>
    <n v="2025"/>
    <x v="4"/>
    <x v="0"/>
    <s v="Preservativo Masculino"/>
    <s v="Cores e Sabores"/>
    <x v="11"/>
    <n v="601.15"/>
  </r>
  <r>
    <x v="11"/>
    <n v="2025"/>
    <x v="5"/>
    <x v="0"/>
    <s v="Preservativo Masculino"/>
    <s v="Cores e Sabores"/>
    <x v="11"/>
    <n v="700.61300000000006"/>
  </r>
  <r>
    <x v="11"/>
    <n v="2025"/>
    <x v="6"/>
    <x v="0"/>
    <s v="Preservativo Masculino"/>
    <s v="Cores e Sabores"/>
    <x v="11"/>
    <n v="590.22"/>
  </r>
  <r>
    <x v="11"/>
    <n v="2025"/>
    <x v="7"/>
    <x v="0"/>
    <s v="Preservativo Masculino"/>
    <s v="Cores e Sabores"/>
    <x v="11"/>
    <n v="670.00900000000001"/>
  </r>
  <r>
    <x v="11"/>
    <n v="2025"/>
    <x v="8"/>
    <x v="0"/>
    <s v="Preservativo Masculino"/>
    <s v="Cores e Sabores"/>
    <x v="11"/>
    <n v="802.26199999999994"/>
  </r>
  <r>
    <x v="11"/>
    <n v="2025"/>
    <x v="9"/>
    <x v="0"/>
    <s v="Preservativo Masculino"/>
    <s v="Cores e Sabores"/>
    <x v="11"/>
    <n v="831.77300000000002"/>
  </r>
  <r>
    <x v="11"/>
    <n v="2025"/>
    <x v="10"/>
    <x v="0"/>
    <s v="Preservativo Masculino"/>
    <s v="Cores e Sabores"/>
    <x v="11"/>
    <n v="590"/>
  </r>
  <r>
    <x v="11"/>
    <n v="2025"/>
    <x v="11"/>
    <x v="0"/>
    <s v="Preservativo Masculino"/>
    <s v="Cores e Sabores"/>
    <x v="11"/>
    <n v="670"/>
  </r>
  <r>
    <x v="12"/>
    <n v="2025"/>
    <x v="0"/>
    <x v="0"/>
    <s v="Preservativo Masculino"/>
    <s v="Cores e Sabores"/>
    <x v="12"/>
    <n v="1950"/>
  </r>
  <r>
    <x v="12"/>
    <n v="2025"/>
    <x v="1"/>
    <x v="0"/>
    <s v="Preservativo Masculino"/>
    <s v="Cores e Sabores"/>
    <x v="12"/>
    <n v="1883"/>
  </r>
  <r>
    <x v="12"/>
    <n v="2025"/>
    <x v="2"/>
    <x v="0"/>
    <s v="Preservativo Masculino"/>
    <s v="Cores e Sabores"/>
    <x v="12"/>
    <n v="1002"/>
  </r>
  <r>
    <x v="12"/>
    <n v="2025"/>
    <x v="3"/>
    <x v="0"/>
    <s v="Preservativo Masculino"/>
    <s v="Cores e Sabores"/>
    <x v="12"/>
    <n v="568"/>
  </r>
  <r>
    <x v="12"/>
    <n v="2025"/>
    <x v="4"/>
    <x v="0"/>
    <s v="Preservativo Masculino"/>
    <s v="Cores e Sabores"/>
    <x v="12"/>
    <n v="612.08000000000004"/>
  </r>
  <r>
    <x v="12"/>
    <n v="2025"/>
    <x v="5"/>
    <x v="0"/>
    <s v="Preservativo Masculino"/>
    <s v="Cores e Sabores"/>
    <x v="12"/>
    <n v="878.77200000000005"/>
  </r>
  <r>
    <x v="12"/>
    <n v="2025"/>
    <x v="6"/>
    <x v="0"/>
    <s v="Preservativo Masculino"/>
    <s v="Cores e Sabores"/>
    <x v="12"/>
    <n v="651.428"/>
  </r>
  <r>
    <x v="12"/>
    <n v="2025"/>
    <x v="7"/>
    <x v="0"/>
    <s v="Preservativo Masculino"/>
    <s v="Cores e Sabores"/>
    <x v="12"/>
    <n v="858.005"/>
  </r>
  <r>
    <x v="12"/>
    <n v="2025"/>
    <x v="8"/>
    <x v="0"/>
    <s v="Preservativo Masculino"/>
    <s v="Cores e Sabores"/>
    <x v="12"/>
    <n v="870.02800000000002"/>
  </r>
  <r>
    <x v="12"/>
    <n v="2025"/>
    <x v="9"/>
    <x v="0"/>
    <s v="Preservativo Masculino"/>
    <s v="Cores e Sabores"/>
    <x v="12"/>
    <n v="800"/>
  </r>
  <r>
    <x v="12"/>
    <n v="2025"/>
    <x v="10"/>
    <x v="0"/>
    <s v="Preservativo Masculino"/>
    <s v="Cores e Sabores"/>
    <x v="12"/>
    <n v="651"/>
  </r>
  <r>
    <x v="12"/>
    <n v="2025"/>
    <x v="11"/>
    <x v="0"/>
    <s v="Preservativo Masculino"/>
    <s v="Cores e Sabores"/>
    <x v="12"/>
    <n v="858"/>
  </r>
  <r>
    <x v="13"/>
    <n v="2025"/>
    <x v="0"/>
    <x v="0"/>
    <s v="Preservativo Masculino"/>
    <s v="Cores e Sabores"/>
    <x v="13"/>
    <n v="967"/>
  </r>
  <r>
    <x v="13"/>
    <n v="2025"/>
    <x v="1"/>
    <x v="0"/>
    <s v="Preservativo Masculino"/>
    <s v="Cores e Sabores"/>
    <x v="13"/>
    <n v="1107"/>
  </r>
  <r>
    <x v="13"/>
    <n v="2025"/>
    <x v="2"/>
    <x v="0"/>
    <s v="Preservativo Masculino"/>
    <s v="Cores e Sabores"/>
    <x v="13"/>
    <n v="1532"/>
  </r>
  <r>
    <x v="13"/>
    <n v="2025"/>
    <x v="3"/>
    <x v="0"/>
    <s v="Preservativo Masculino"/>
    <s v="Cores e Sabores"/>
    <x v="13"/>
    <n v="610"/>
  </r>
  <r>
    <x v="13"/>
    <n v="2025"/>
    <x v="4"/>
    <x v="0"/>
    <s v="Preservativo Masculino"/>
    <s v="Cores e Sabores"/>
    <x v="13"/>
    <n v="1029"/>
  </r>
  <r>
    <x v="13"/>
    <n v="2025"/>
    <x v="5"/>
    <x v="0"/>
    <s v="Preservativo Masculino"/>
    <s v="Cores e Sabores"/>
    <x v="13"/>
    <n v="1801"/>
  </r>
  <r>
    <x v="13"/>
    <n v="2025"/>
    <x v="6"/>
    <x v="0"/>
    <s v="Preservativo Masculino"/>
    <s v="Cores e Sabores"/>
    <x v="13"/>
    <n v="2021"/>
  </r>
  <r>
    <x v="13"/>
    <n v="2025"/>
    <x v="7"/>
    <x v="0"/>
    <s v="Preservativo Masculino"/>
    <s v="Cores e Sabores"/>
    <x v="13"/>
    <n v="740"/>
  </r>
  <r>
    <x v="13"/>
    <n v="2025"/>
    <x v="8"/>
    <x v="0"/>
    <s v="Preservativo Masculino"/>
    <s v="Cores e Sabores"/>
    <x v="13"/>
    <n v="1147"/>
  </r>
  <r>
    <x v="13"/>
    <n v="2025"/>
    <x v="9"/>
    <x v="0"/>
    <s v="Preservativo Masculino"/>
    <s v="Cores e Sabores"/>
    <x v="13"/>
    <n v="1150"/>
  </r>
  <r>
    <x v="13"/>
    <n v="2025"/>
    <x v="10"/>
    <x v="0"/>
    <s v="Preservativo Masculino"/>
    <s v="Cores e Sabores"/>
    <x v="13"/>
    <n v="979"/>
  </r>
  <r>
    <x v="13"/>
    <n v="2025"/>
    <x v="11"/>
    <x v="0"/>
    <s v="Preservativo Masculino"/>
    <s v="Cores e Sabores"/>
    <x v="13"/>
    <n v="1152"/>
  </r>
  <r>
    <x v="14"/>
    <n v="2025"/>
    <x v="0"/>
    <x v="0"/>
    <s v="Preservativo Masculino"/>
    <s v="Cores e Sabores"/>
    <x v="14"/>
    <n v="893"/>
  </r>
  <r>
    <x v="14"/>
    <n v="2025"/>
    <x v="1"/>
    <x v="0"/>
    <s v="Preservativo Masculino"/>
    <s v="Cores e Sabores"/>
    <x v="14"/>
    <n v="599"/>
  </r>
  <r>
    <x v="14"/>
    <n v="2025"/>
    <x v="2"/>
    <x v="0"/>
    <s v="Preservativo Masculino"/>
    <s v="Cores e Sabores"/>
    <x v="14"/>
    <n v="1084"/>
  </r>
  <r>
    <x v="14"/>
    <n v="2025"/>
    <x v="3"/>
    <x v="0"/>
    <s v="Preservativo Masculino"/>
    <s v="Cores e Sabores"/>
    <x v="14"/>
    <n v="424"/>
  </r>
  <r>
    <x v="14"/>
    <n v="2025"/>
    <x v="4"/>
    <x v="0"/>
    <s v="Preservativo Masculino"/>
    <s v="Cores e Sabores"/>
    <x v="14"/>
    <n v="263"/>
  </r>
  <r>
    <x v="14"/>
    <n v="2025"/>
    <x v="5"/>
    <x v="0"/>
    <s v="Preservativo Masculino"/>
    <s v="Cores e Sabores"/>
    <x v="14"/>
    <n v="594"/>
  </r>
  <r>
    <x v="14"/>
    <n v="2025"/>
    <x v="6"/>
    <x v="0"/>
    <s v="Preservativo Masculino"/>
    <s v="Cores e Sabores"/>
    <x v="14"/>
    <n v="478"/>
  </r>
  <r>
    <x v="14"/>
    <n v="2025"/>
    <x v="7"/>
    <x v="0"/>
    <s v="Preservativo Masculino"/>
    <s v="Cores e Sabores"/>
    <x v="14"/>
    <n v="174"/>
  </r>
  <r>
    <x v="14"/>
    <n v="2025"/>
    <x v="8"/>
    <x v="0"/>
    <s v="Preservativo Masculino"/>
    <s v="Cores e Sabores"/>
    <x v="14"/>
    <n v="383"/>
  </r>
  <r>
    <x v="14"/>
    <n v="2025"/>
    <x v="9"/>
    <x v="0"/>
    <s v="Preservativo Masculino"/>
    <s v="Cores e Sabores"/>
    <x v="14"/>
    <n v="550"/>
  </r>
  <r>
    <x v="14"/>
    <n v="2025"/>
    <x v="10"/>
    <x v="0"/>
    <s v="Preservativo Masculino"/>
    <s v="Cores e Sabores"/>
    <x v="14"/>
    <n v="550"/>
  </r>
  <r>
    <x v="14"/>
    <n v="2025"/>
    <x v="11"/>
    <x v="0"/>
    <s v="Preservativo Masculino"/>
    <s v="Cores e Sabores"/>
    <x v="14"/>
    <n v="550"/>
  </r>
  <r>
    <x v="15"/>
    <n v="2025"/>
    <x v="0"/>
    <x v="0"/>
    <s v="Preservativo Masculino"/>
    <s v="Performance"/>
    <x v="15"/>
    <n v="4608"/>
  </r>
  <r>
    <x v="15"/>
    <n v="2025"/>
    <x v="1"/>
    <x v="0"/>
    <s v="Preservativo Masculino"/>
    <s v="Performance"/>
    <x v="15"/>
    <n v="5700"/>
  </r>
  <r>
    <x v="15"/>
    <n v="2025"/>
    <x v="2"/>
    <x v="0"/>
    <s v="Preservativo Masculino"/>
    <s v="Performance"/>
    <x v="15"/>
    <n v="6265"/>
  </r>
  <r>
    <x v="15"/>
    <n v="2025"/>
    <x v="3"/>
    <x v="0"/>
    <s v="Preservativo Masculino"/>
    <s v="Performance"/>
    <x v="15"/>
    <n v="2447"/>
  </r>
  <r>
    <x v="15"/>
    <n v="2025"/>
    <x v="4"/>
    <x v="0"/>
    <s v="Preservativo Masculino"/>
    <s v="Performance"/>
    <x v="15"/>
    <n v="4215.701"/>
  </r>
  <r>
    <x v="15"/>
    <n v="2025"/>
    <x v="5"/>
    <x v="0"/>
    <s v="Preservativo Masculino"/>
    <s v="Performance"/>
    <x v="15"/>
    <n v="5879.2470000000003"/>
  </r>
  <r>
    <x v="15"/>
    <n v="2025"/>
    <x v="6"/>
    <x v="0"/>
    <s v="Preservativo Masculino"/>
    <s v="Performance"/>
    <x v="15"/>
    <n v="4681.3190000000004"/>
  </r>
  <r>
    <x v="15"/>
    <n v="2025"/>
    <x v="7"/>
    <x v="0"/>
    <s v="Preservativo Masculino"/>
    <s v="Performance"/>
    <x v="15"/>
    <n v="4980.8010000000004"/>
  </r>
  <r>
    <x v="15"/>
    <n v="2025"/>
    <x v="8"/>
    <x v="0"/>
    <s v="Preservativo Masculino"/>
    <s v="Performance"/>
    <x v="15"/>
    <n v="5068.241"/>
  </r>
  <r>
    <x v="15"/>
    <n v="2025"/>
    <x v="9"/>
    <x v="0"/>
    <s v="Preservativo Masculino"/>
    <s v="Performance"/>
    <x v="15"/>
    <n v="5887.991"/>
  </r>
  <r>
    <x v="15"/>
    <n v="2025"/>
    <x v="10"/>
    <x v="0"/>
    <s v="Preservativo Masculino"/>
    <s v="Performance"/>
    <x v="15"/>
    <n v="4681"/>
  </r>
  <r>
    <x v="15"/>
    <n v="2025"/>
    <x v="11"/>
    <x v="0"/>
    <s v="Preservativo Masculino"/>
    <s v="Performance"/>
    <x v="15"/>
    <n v="4981"/>
  </r>
  <r>
    <x v="16"/>
    <n v="2025"/>
    <x v="0"/>
    <x v="0"/>
    <s v="Preservativo Masculino"/>
    <s v="Performance"/>
    <x v="16"/>
    <n v="2031"/>
  </r>
  <r>
    <x v="16"/>
    <n v="2025"/>
    <x v="1"/>
    <x v="0"/>
    <s v="Preservativo Masculino"/>
    <s v="Performance"/>
    <x v="16"/>
    <n v="2145"/>
  </r>
  <r>
    <x v="16"/>
    <n v="2025"/>
    <x v="2"/>
    <x v="0"/>
    <s v="Preservativo Masculino"/>
    <s v="Performance"/>
    <x v="16"/>
    <n v="2159"/>
  </r>
  <r>
    <x v="16"/>
    <n v="2025"/>
    <x v="3"/>
    <x v="0"/>
    <s v="Preservativo Masculino"/>
    <s v="Performance"/>
    <x v="16"/>
    <n v="1294"/>
  </r>
  <r>
    <x v="16"/>
    <n v="2025"/>
    <x v="4"/>
    <x v="0"/>
    <s v="Preservativo Masculino"/>
    <s v="Performance"/>
    <x v="16"/>
    <n v="1036"/>
  </r>
  <r>
    <x v="16"/>
    <n v="2025"/>
    <x v="5"/>
    <x v="0"/>
    <s v="Preservativo Masculino"/>
    <s v="Performance"/>
    <x v="16"/>
    <n v="405"/>
  </r>
  <r>
    <x v="16"/>
    <n v="2025"/>
    <x v="6"/>
    <x v="0"/>
    <s v="Preservativo Masculino"/>
    <s v="Performance"/>
    <x v="16"/>
    <n v="4295"/>
  </r>
  <r>
    <x v="16"/>
    <n v="2025"/>
    <x v="7"/>
    <x v="0"/>
    <s v="Preservativo Masculino"/>
    <s v="Performance"/>
    <x v="16"/>
    <n v="2337"/>
  </r>
  <r>
    <x v="16"/>
    <n v="2025"/>
    <x v="8"/>
    <x v="0"/>
    <s v="Preservativo Masculino"/>
    <s v="Performance"/>
    <x v="16"/>
    <n v="3133"/>
  </r>
  <r>
    <x v="16"/>
    <n v="2025"/>
    <x v="9"/>
    <x v="0"/>
    <s v="Preservativo Masculino"/>
    <s v="Performance"/>
    <x v="16"/>
    <n v="2000"/>
  </r>
  <r>
    <x v="16"/>
    <n v="2025"/>
    <x v="10"/>
    <x v="0"/>
    <s v="Preservativo Masculino"/>
    <s v="Performance"/>
    <x v="16"/>
    <n v="2022"/>
  </r>
  <r>
    <x v="16"/>
    <n v="2025"/>
    <x v="11"/>
    <x v="0"/>
    <s v="Preservativo Masculino"/>
    <s v="Performance"/>
    <x v="16"/>
    <n v="1905"/>
  </r>
  <r>
    <x v="17"/>
    <n v="2025"/>
    <x v="0"/>
    <x v="0"/>
    <s v="Preservativo Masculino"/>
    <s v="Performance"/>
    <x v="17"/>
    <n v="1171"/>
  </r>
  <r>
    <x v="17"/>
    <n v="2025"/>
    <x v="1"/>
    <x v="0"/>
    <s v="Preservativo Masculino"/>
    <s v="Performance"/>
    <x v="17"/>
    <n v="2347"/>
  </r>
  <r>
    <x v="17"/>
    <n v="2025"/>
    <x v="2"/>
    <x v="0"/>
    <s v="Preservativo Masculino"/>
    <s v="Performance"/>
    <x v="17"/>
    <n v="3105"/>
  </r>
  <r>
    <x v="17"/>
    <n v="2025"/>
    <x v="3"/>
    <x v="0"/>
    <s v="Preservativo Masculino"/>
    <s v="Performance"/>
    <x v="17"/>
    <n v="1246"/>
  </r>
  <r>
    <x v="17"/>
    <n v="2025"/>
    <x v="4"/>
    <x v="0"/>
    <s v="Preservativo Masculino"/>
    <s v="Performance"/>
    <x v="17"/>
    <n v="1787.0550000000001"/>
  </r>
  <r>
    <x v="17"/>
    <n v="2025"/>
    <x v="5"/>
    <x v="0"/>
    <s v="Preservativo Masculino"/>
    <s v="Performance"/>
    <x v="17"/>
    <n v="1918.2149999999999"/>
  </r>
  <r>
    <x v="17"/>
    <n v="2025"/>
    <x v="6"/>
    <x v="0"/>
    <s v="Preservativo Masculino"/>
    <s v="Performance"/>
    <x v="17"/>
    <n v="1771.7529999999999"/>
  </r>
  <r>
    <x v="17"/>
    <n v="2025"/>
    <x v="7"/>
    <x v="0"/>
    <s v="Preservativo Masculino"/>
    <s v="Performance"/>
    <x v="17"/>
    <n v="1769.567"/>
  </r>
  <r>
    <x v="17"/>
    <n v="2025"/>
    <x v="8"/>
    <x v="0"/>
    <s v="Preservativo Masculino"/>
    <s v="Performance"/>
    <x v="17"/>
    <n v="2121.5129999999999"/>
  </r>
  <r>
    <x v="17"/>
    <n v="2025"/>
    <x v="9"/>
    <x v="0"/>
    <s v="Preservativo Masculino"/>
    <s v="Performance"/>
    <x v="17"/>
    <n v="1913.8430000000001"/>
  </r>
  <r>
    <x v="17"/>
    <n v="2025"/>
    <x v="10"/>
    <x v="0"/>
    <s v="Preservativo Masculino"/>
    <s v="Performance"/>
    <x v="17"/>
    <n v="1772"/>
  </r>
  <r>
    <x v="17"/>
    <n v="2025"/>
    <x v="11"/>
    <x v="0"/>
    <s v="Preservativo Masculino"/>
    <s v="Performance"/>
    <x v="17"/>
    <n v="1770"/>
  </r>
  <r>
    <x v="18"/>
    <n v="2025"/>
    <x v="0"/>
    <x v="0"/>
    <s v="Preservativo Masculino"/>
    <s v="Performance"/>
    <x v="18"/>
    <n v="1106"/>
  </r>
  <r>
    <x v="18"/>
    <n v="2025"/>
    <x v="1"/>
    <x v="0"/>
    <s v="Preservativo Masculino"/>
    <s v="Performance"/>
    <x v="18"/>
    <n v="1654"/>
  </r>
  <r>
    <x v="18"/>
    <n v="2025"/>
    <x v="2"/>
    <x v="0"/>
    <s v="Preservativo Masculino"/>
    <s v="Performance"/>
    <x v="18"/>
    <n v="1985"/>
  </r>
  <r>
    <x v="18"/>
    <n v="2025"/>
    <x v="3"/>
    <x v="0"/>
    <s v="Preservativo Masculino"/>
    <s v="Performance"/>
    <x v="18"/>
    <n v="581"/>
  </r>
  <r>
    <x v="18"/>
    <n v="2025"/>
    <x v="4"/>
    <x v="0"/>
    <s v="Preservativo Masculino"/>
    <s v="Performance"/>
    <x v="18"/>
    <n v="726"/>
  </r>
  <r>
    <x v="18"/>
    <n v="2025"/>
    <x v="5"/>
    <x v="0"/>
    <s v="Preservativo Masculino"/>
    <s v="Performance"/>
    <x v="18"/>
    <n v="1247"/>
  </r>
  <r>
    <x v="18"/>
    <n v="2025"/>
    <x v="6"/>
    <x v="0"/>
    <s v="Preservativo Masculino"/>
    <s v="Performance"/>
    <x v="18"/>
    <n v="1179"/>
  </r>
  <r>
    <x v="18"/>
    <n v="2025"/>
    <x v="7"/>
    <x v="0"/>
    <s v="Preservativo Masculino"/>
    <s v="Performance"/>
    <x v="18"/>
    <n v="2109"/>
  </r>
  <r>
    <x v="18"/>
    <n v="2025"/>
    <x v="8"/>
    <x v="0"/>
    <s v="Preservativo Masculino"/>
    <s v="Performance"/>
    <x v="18"/>
    <n v="960"/>
  </r>
  <r>
    <x v="18"/>
    <n v="2025"/>
    <x v="9"/>
    <x v="0"/>
    <s v="Preservativo Masculino"/>
    <s v="Performance"/>
    <x v="18"/>
    <n v="1800"/>
  </r>
  <r>
    <x v="18"/>
    <n v="2025"/>
    <x v="10"/>
    <x v="0"/>
    <s v="Preservativo Masculino"/>
    <s v="Performance"/>
    <x v="18"/>
    <n v="986"/>
  </r>
  <r>
    <x v="18"/>
    <n v="2025"/>
    <x v="11"/>
    <x v="0"/>
    <s v="Preservativo Masculino"/>
    <s v="Performance"/>
    <x v="18"/>
    <n v="951"/>
  </r>
  <r>
    <x v="19"/>
    <n v="2025"/>
    <x v="0"/>
    <x v="0"/>
    <s v="Preservativo Masculino"/>
    <s v="Performance"/>
    <x v="19"/>
    <n v="2410"/>
  </r>
  <r>
    <x v="19"/>
    <n v="2025"/>
    <x v="1"/>
    <x v="0"/>
    <s v="Preservativo Masculino"/>
    <s v="Performance"/>
    <x v="19"/>
    <n v="2550"/>
  </r>
  <r>
    <x v="19"/>
    <n v="2025"/>
    <x v="2"/>
    <x v="0"/>
    <s v="Preservativo Masculino"/>
    <s v="Performance"/>
    <x v="19"/>
    <n v="3256"/>
  </r>
  <r>
    <x v="19"/>
    <n v="2025"/>
    <x v="3"/>
    <x v="0"/>
    <s v="Preservativo Masculino"/>
    <s v="Performance"/>
    <x v="19"/>
    <n v="1092"/>
  </r>
  <r>
    <x v="19"/>
    <n v="2025"/>
    <x v="4"/>
    <x v="0"/>
    <s v="Preservativo Masculino"/>
    <s v="Performance"/>
    <x v="19"/>
    <n v="2142"/>
  </r>
  <r>
    <x v="19"/>
    <n v="2025"/>
    <x v="5"/>
    <x v="0"/>
    <s v="Preservativo Masculino"/>
    <s v="Performance"/>
    <x v="19"/>
    <n v="5006"/>
  </r>
  <r>
    <x v="19"/>
    <n v="2025"/>
    <x v="6"/>
    <x v="0"/>
    <s v="Preservativo Masculino"/>
    <s v="Performance"/>
    <x v="19"/>
    <n v="2330"/>
  </r>
  <r>
    <x v="19"/>
    <n v="2025"/>
    <x v="7"/>
    <x v="0"/>
    <s v="Preservativo Masculino"/>
    <s v="Performance"/>
    <x v="19"/>
    <n v="1425"/>
  </r>
  <r>
    <x v="19"/>
    <n v="2025"/>
    <x v="8"/>
    <x v="0"/>
    <s v="Preservativo Masculino"/>
    <s v="Performance"/>
    <x v="19"/>
    <n v="1879"/>
  </r>
  <r>
    <x v="19"/>
    <n v="2025"/>
    <x v="9"/>
    <x v="0"/>
    <s v="Preservativo Masculino"/>
    <s v="Performance"/>
    <x v="19"/>
    <n v="2600"/>
  </r>
  <r>
    <x v="19"/>
    <n v="2025"/>
    <x v="10"/>
    <x v="0"/>
    <s v="Preservativo Masculino"/>
    <s v="Performance"/>
    <x v="19"/>
    <n v="2281"/>
  </r>
  <r>
    <x v="19"/>
    <n v="2025"/>
    <x v="11"/>
    <x v="0"/>
    <s v="Preservativo Masculino"/>
    <s v="Performance"/>
    <x v="19"/>
    <n v="2282"/>
  </r>
  <r>
    <x v="20"/>
    <n v="2025"/>
    <x v="0"/>
    <x v="0"/>
    <s v="Preservativo Masculino"/>
    <s v="Performance"/>
    <x v="20"/>
    <n v="2035"/>
  </r>
  <r>
    <x v="20"/>
    <n v="2025"/>
    <x v="1"/>
    <x v="0"/>
    <s v="Preservativo Masculino"/>
    <s v="Performance"/>
    <x v="20"/>
    <n v="2974"/>
  </r>
  <r>
    <x v="20"/>
    <n v="2025"/>
    <x v="2"/>
    <x v="0"/>
    <s v="Preservativo Masculino"/>
    <s v="Performance"/>
    <x v="20"/>
    <n v="3498"/>
  </r>
  <r>
    <x v="20"/>
    <n v="2025"/>
    <x v="3"/>
    <x v="0"/>
    <s v="Preservativo Masculino"/>
    <s v="Performance"/>
    <x v="20"/>
    <n v="1369"/>
  </r>
  <r>
    <x v="20"/>
    <n v="2025"/>
    <x v="4"/>
    <x v="0"/>
    <s v="Preservativo Masculino"/>
    <s v="Performance"/>
    <x v="20"/>
    <n v="2348.857"/>
  </r>
  <r>
    <x v="20"/>
    <n v="2025"/>
    <x v="5"/>
    <x v="0"/>
    <s v="Preservativo Masculino"/>
    <s v="Performance"/>
    <x v="20"/>
    <n v="3134.7240000000002"/>
  </r>
  <r>
    <x v="20"/>
    <n v="2025"/>
    <x v="6"/>
    <x v="0"/>
    <s v="Preservativo Masculino"/>
    <s v="Performance"/>
    <x v="20"/>
    <n v="2572.922"/>
  </r>
  <r>
    <x v="20"/>
    <n v="2025"/>
    <x v="7"/>
    <x v="0"/>
    <s v="Preservativo Masculino"/>
    <s v="Performance"/>
    <x v="20"/>
    <n v="2776.22"/>
  </r>
  <r>
    <x v="20"/>
    <n v="2025"/>
    <x v="8"/>
    <x v="0"/>
    <s v="Preservativo Masculino"/>
    <s v="Performance"/>
    <x v="20"/>
    <n v="2852.73"/>
  </r>
  <r>
    <x v="20"/>
    <n v="2025"/>
    <x v="9"/>
    <x v="0"/>
    <s v="Preservativo Masculino"/>
    <s v="Performance"/>
    <x v="20"/>
    <n v="2600"/>
  </r>
  <r>
    <x v="20"/>
    <n v="2025"/>
    <x v="10"/>
    <x v="0"/>
    <s v="Preservativo Masculino"/>
    <s v="Performance"/>
    <x v="20"/>
    <n v="2573"/>
  </r>
  <r>
    <x v="20"/>
    <n v="2025"/>
    <x v="11"/>
    <x v="0"/>
    <s v="Preservativo Masculino"/>
    <s v="Performance"/>
    <x v="20"/>
    <n v="2776"/>
  </r>
  <r>
    <x v="21"/>
    <n v="2025"/>
    <x v="0"/>
    <x v="0"/>
    <s v="Preservativo Masculino"/>
    <s v="Performance"/>
    <x v="21"/>
    <n v="510"/>
  </r>
  <r>
    <x v="21"/>
    <n v="2025"/>
    <x v="1"/>
    <x v="0"/>
    <s v="Preservativo Masculino"/>
    <s v="Performance"/>
    <x v="21"/>
    <n v="490"/>
  </r>
  <r>
    <x v="21"/>
    <n v="2025"/>
    <x v="2"/>
    <x v="0"/>
    <s v="Preservativo Masculino"/>
    <s v="Performance"/>
    <x v="21"/>
    <n v="994"/>
  </r>
  <r>
    <x v="21"/>
    <n v="2025"/>
    <x v="3"/>
    <x v="0"/>
    <s v="Preservativo Masculino"/>
    <s v="Performance"/>
    <x v="21"/>
    <n v="385"/>
  </r>
  <r>
    <x v="21"/>
    <n v="2025"/>
    <x v="4"/>
    <x v="0"/>
    <s v="Preservativo Masculino"/>
    <s v="Performance"/>
    <x v="21"/>
    <n v="315.87700000000001"/>
  </r>
  <r>
    <x v="21"/>
    <n v="2025"/>
    <x v="5"/>
    <x v="0"/>
    <s v="Preservativo Masculino"/>
    <s v="Performance"/>
    <x v="21"/>
    <n v="337.73700000000002"/>
  </r>
  <r>
    <x v="21"/>
    <n v="2025"/>
    <x v="6"/>
    <x v="0"/>
    <s v="Preservativo Masculino"/>
    <s v="Performance"/>
    <x v="21"/>
    <n v="311.505"/>
  </r>
  <r>
    <x v="21"/>
    <n v="2025"/>
    <x v="7"/>
    <x v="0"/>
    <s v="Preservativo Masculino"/>
    <s v="Performance"/>
    <x v="21"/>
    <n v="322.435"/>
  </r>
  <r>
    <x v="21"/>
    <n v="2025"/>
    <x v="8"/>
    <x v="0"/>
    <s v="Preservativo Masculino"/>
    <s v="Performance"/>
    <x v="21"/>
    <n v="370.52699999999999"/>
  </r>
  <r>
    <x v="21"/>
    <n v="2025"/>
    <x v="9"/>
    <x v="0"/>
    <s v="Preservativo Masculino"/>
    <s v="Performance"/>
    <x v="21"/>
    <n v="372.71300000000002"/>
  </r>
  <r>
    <x v="21"/>
    <n v="2025"/>
    <x v="10"/>
    <x v="0"/>
    <s v="Preservativo Masculino"/>
    <s v="Performance"/>
    <x v="21"/>
    <n v="312"/>
  </r>
  <r>
    <x v="21"/>
    <n v="2025"/>
    <x v="11"/>
    <x v="0"/>
    <s v="Preservativo Masculino"/>
    <s v="Performance"/>
    <x v="21"/>
    <n v="322"/>
  </r>
  <r>
    <x v="22"/>
    <n v="2025"/>
    <x v="0"/>
    <x v="0"/>
    <s v="Preservativo Masculino"/>
    <s v="Cores e Sabores"/>
    <x v="22"/>
    <n v="419"/>
  </r>
  <r>
    <x v="22"/>
    <n v="2025"/>
    <x v="1"/>
    <x v="0"/>
    <s v="Preservativo Masculino"/>
    <s v="Cores e Sabores"/>
    <x v="22"/>
    <n v="276"/>
  </r>
  <r>
    <x v="22"/>
    <n v="2025"/>
    <x v="2"/>
    <x v="0"/>
    <s v="Preservativo Masculino"/>
    <s v="Cores e Sabores"/>
    <x v="22"/>
    <n v="347"/>
  </r>
  <r>
    <x v="22"/>
    <n v="2025"/>
    <x v="3"/>
    <x v="0"/>
    <s v="Preservativo Masculino"/>
    <s v="Cores e Sabores"/>
    <x v="22"/>
    <n v="203"/>
  </r>
  <r>
    <x v="22"/>
    <n v="2025"/>
    <x v="4"/>
    <x v="0"/>
    <s v="Preservativo Masculino"/>
    <s v="Cores e Sabores"/>
    <x v="22"/>
    <n v="313.69099999999997"/>
  </r>
  <r>
    <x v="22"/>
    <n v="2025"/>
    <x v="5"/>
    <x v="0"/>
    <s v="Preservativo Masculino"/>
    <s v="Cores e Sabores"/>
    <x v="22"/>
    <n v="388.01499999999999"/>
  </r>
  <r>
    <x v="22"/>
    <n v="2025"/>
    <x v="6"/>
    <x v="0"/>
    <s v="Preservativo Masculino"/>
    <s v="Cores e Sabores"/>
    <x v="22"/>
    <n v="322.435"/>
  </r>
  <r>
    <x v="22"/>
    <n v="2025"/>
    <x v="7"/>
    <x v="0"/>
    <s v="Preservativo Masculino"/>
    <s v="Cores e Sabores"/>
    <x v="22"/>
    <n v="384.73599999999999"/>
  </r>
  <r>
    <x v="22"/>
    <n v="2025"/>
    <x v="8"/>
    <x v="0"/>
    <s v="Preservativo Masculino"/>
    <s v="Cores e Sabores"/>
    <x v="22"/>
    <n v="422.99099999999999"/>
  </r>
  <r>
    <x v="22"/>
    <n v="2025"/>
    <x v="9"/>
    <x v="0"/>
    <s v="Preservativo Masculino"/>
    <s v="Cores e Sabores"/>
    <x v="22"/>
    <n v="535.57000000000005"/>
  </r>
  <r>
    <x v="22"/>
    <n v="2025"/>
    <x v="10"/>
    <x v="0"/>
    <s v="Preservativo Masculino"/>
    <s v="Cores e Sabores"/>
    <x v="22"/>
    <n v="322"/>
  </r>
  <r>
    <x v="22"/>
    <n v="2025"/>
    <x v="11"/>
    <x v="0"/>
    <s v="Preservativo Masculino"/>
    <s v="Cores e Sabores"/>
    <x v="22"/>
    <n v="385"/>
  </r>
  <r>
    <x v="23"/>
    <n v="2025"/>
    <x v="0"/>
    <x v="0"/>
    <s v="Preservativo Masculino"/>
    <s v="Performance"/>
    <x v="23"/>
    <n v="444"/>
  </r>
  <r>
    <x v="23"/>
    <n v="2025"/>
    <x v="1"/>
    <x v="0"/>
    <s v="Preservativo Masculino"/>
    <s v="Performance"/>
    <x v="23"/>
    <n v="190"/>
  </r>
  <r>
    <x v="23"/>
    <n v="2025"/>
    <x v="2"/>
    <x v="0"/>
    <s v="Preservativo Masculino"/>
    <s v="Performance"/>
    <x v="23"/>
    <n v="369"/>
  </r>
  <r>
    <x v="23"/>
    <n v="2025"/>
    <x v="3"/>
    <x v="0"/>
    <s v="Preservativo Masculino"/>
    <s v="Performance"/>
    <x v="23"/>
    <n v="146"/>
  </r>
  <r>
    <x v="23"/>
    <n v="2025"/>
    <x v="4"/>
    <x v="0"/>
    <s v="Preservativo Masculino"/>
    <s v="Performance"/>
    <x v="23"/>
    <n v="134.43899999999999"/>
  </r>
  <r>
    <x v="23"/>
    <n v="2025"/>
    <x v="5"/>
    <x v="0"/>
    <s v="Preservativo Masculino"/>
    <s v="Performance"/>
    <x v="23"/>
    <n v="174.88"/>
  </r>
  <r>
    <x v="23"/>
    <n v="2025"/>
    <x v="6"/>
    <x v="0"/>
    <s v="Preservativo Masculino"/>
    <s v="Performance"/>
    <x v="23"/>
    <n v="163.95"/>
  </r>
  <r>
    <x v="23"/>
    <n v="2025"/>
    <x v="7"/>
    <x v="0"/>
    <s v="Preservativo Masculino"/>
    <s v="Performance"/>
    <x v="23"/>
    <n v="175.97300000000001"/>
  </r>
  <r>
    <x v="23"/>
    <n v="2025"/>
    <x v="8"/>
    <x v="0"/>
    <s v="Preservativo Masculino"/>
    <s v="Performance"/>
    <x v="23"/>
    <n v="195.64699999999999"/>
  </r>
  <r>
    <x v="23"/>
    <n v="2025"/>
    <x v="9"/>
    <x v="0"/>
    <s v="Preservativo Masculino"/>
    <s v="Performance"/>
    <x v="23"/>
    <n v="287.459"/>
  </r>
  <r>
    <x v="23"/>
    <n v="2025"/>
    <x v="10"/>
    <x v="0"/>
    <s v="Preservativo Masculino"/>
    <s v="Performance"/>
    <x v="23"/>
    <n v="164"/>
  </r>
  <r>
    <x v="23"/>
    <n v="2025"/>
    <x v="11"/>
    <x v="0"/>
    <s v="Preservativo Masculino"/>
    <s v="Performance"/>
    <x v="23"/>
    <n v="176"/>
  </r>
  <r>
    <x v="24"/>
    <n v="2025"/>
    <x v="0"/>
    <x v="0"/>
    <s v="Preservativo Masculino"/>
    <s v="Performance"/>
    <x v="24"/>
    <n v="661"/>
  </r>
  <r>
    <x v="24"/>
    <n v="2025"/>
    <x v="1"/>
    <x v="0"/>
    <s v="Preservativo Masculino"/>
    <s v="Performance"/>
    <x v="24"/>
    <n v="409"/>
  </r>
  <r>
    <x v="24"/>
    <n v="2025"/>
    <x v="2"/>
    <x v="0"/>
    <s v="Preservativo Masculino"/>
    <s v="Performance"/>
    <x v="24"/>
    <n v="877"/>
  </r>
  <r>
    <x v="24"/>
    <n v="2025"/>
    <x v="3"/>
    <x v="0"/>
    <s v="Preservativo Masculino"/>
    <s v="Performance"/>
    <x v="24"/>
    <n v="382"/>
  </r>
  <r>
    <x v="24"/>
    <n v="2025"/>
    <x v="4"/>
    <x v="0"/>
    <s v="Preservativo Masculino"/>
    <s v="Performance"/>
    <x v="24"/>
    <n v="113"/>
  </r>
  <r>
    <x v="24"/>
    <n v="2025"/>
    <x v="5"/>
    <x v="0"/>
    <s v="Preservativo Masculino"/>
    <s v="Performance"/>
    <x v="24"/>
    <n v="156"/>
  </r>
  <r>
    <x v="24"/>
    <n v="2025"/>
    <x v="6"/>
    <x v="0"/>
    <s v="Preservativo Masculino"/>
    <s v="Performance"/>
    <x v="24"/>
    <n v="973"/>
  </r>
  <r>
    <x v="24"/>
    <n v="2025"/>
    <x v="7"/>
    <x v="0"/>
    <s v="Preservativo Masculino"/>
    <s v="Performance"/>
    <x v="24"/>
    <n v="189"/>
  </r>
  <r>
    <x v="24"/>
    <n v="2025"/>
    <x v="8"/>
    <x v="0"/>
    <s v="Preservativo Masculino"/>
    <s v="Performance"/>
    <x v="24"/>
    <n v="97"/>
  </r>
  <r>
    <x v="24"/>
    <n v="2025"/>
    <x v="9"/>
    <x v="0"/>
    <s v="Preservativo Masculino"/>
    <s v="Performance"/>
    <x v="24"/>
    <n v="550"/>
  </r>
  <r>
    <x v="24"/>
    <n v="2025"/>
    <x v="10"/>
    <x v="0"/>
    <s v="Preservativo Masculino"/>
    <s v="Performance"/>
    <x v="24"/>
    <n v="367"/>
  </r>
  <r>
    <x v="24"/>
    <n v="2025"/>
    <x v="11"/>
    <x v="0"/>
    <s v="Preservativo Masculino"/>
    <s v="Performance"/>
    <x v="24"/>
    <n v="390"/>
  </r>
  <r>
    <x v="25"/>
    <n v="2025"/>
    <x v="0"/>
    <x v="0"/>
    <s v="Preservativo Masculino"/>
    <s v="Performance"/>
    <x v="25"/>
    <n v="291"/>
  </r>
  <r>
    <x v="25"/>
    <n v="2025"/>
    <x v="1"/>
    <x v="0"/>
    <s v="Preservativo Masculino"/>
    <s v="Performance"/>
    <x v="25"/>
    <n v="221"/>
  </r>
  <r>
    <x v="25"/>
    <n v="2025"/>
    <x v="2"/>
    <x v="0"/>
    <s v="Preservativo Masculino"/>
    <s v="Performance"/>
    <x v="25"/>
    <n v="622"/>
  </r>
  <r>
    <x v="25"/>
    <n v="2025"/>
    <x v="3"/>
    <x v="0"/>
    <s v="Preservativo Masculino"/>
    <s v="Performance"/>
    <x v="25"/>
    <n v="158"/>
  </r>
  <r>
    <x v="25"/>
    <n v="2025"/>
    <x v="4"/>
    <x v="0"/>
    <s v="Preservativo Masculino"/>
    <s v="Performance"/>
    <x v="25"/>
    <n v="131.16"/>
  </r>
  <r>
    <x v="25"/>
    <n v="2025"/>
    <x v="5"/>
    <x v="0"/>
    <s v="Preservativo Masculino"/>
    <s v="Performance"/>
    <x v="25"/>
    <n v="177.066"/>
  </r>
  <r>
    <x v="25"/>
    <n v="2025"/>
    <x v="6"/>
    <x v="0"/>
    <s v="Preservativo Masculino"/>
    <s v="Performance"/>
    <x v="25"/>
    <n v="165.04300000000001"/>
  </r>
  <r>
    <x v="25"/>
    <n v="2025"/>
    <x v="7"/>
    <x v="0"/>
    <s v="Preservativo Masculino"/>
    <s v="Performance"/>
    <x v="25"/>
    <n v="165.04300000000001"/>
  </r>
  <r>
    <x v="25"/>
    <n v="2025"/>
    <x v="8"/>
    <x v="0"/>
    <s v="Preservativo Masculino"/>
    <s v="Performance"/>
    <x v="25"/>
    <n v="192.36799999999999"/>
  </r>
  <r>
    <x v="25"/>
    <n v="2025"/>
    <x v="9"/>
    <x v="0"/>
    <s v="Preservativo Masculino"/>
    <s v="Performance"/>
    <x v="25"/>
    <n v="193.46100000000001"/>
  </r>
  <r>
    <x v="25"/>
    <n v="2025"/>
    <x v="10"/>
    <x v="0"/>
    <s v="Preservativo Masculino"/>
    <s v="Performance"/>
    <x v="25"/>
    <n v="165"/>
  </r>
  <r>
    <x v="25"/>
    <n v="2025"/>
    <x v="11"/>
    <x v="0"/>
    <s v="Preservativo Masculino"/>
    <s v="Performance"/>
    <x v="25"/>
    <n v="165"/>
  </r>
  <r>
    <x v="26"/>
    <n v="2025"/>
    <x v="0"/>
    <x v="0"/>
    <s v="Preservativo Masculino"/>
    <s v="Low Price "/>
    <x v="26"/>
    <n v="488"/>
  </r>
  <r>
    <x v="26"/>
    <n v="2025"/>
    <x v="1"/>
    <x v="0"/>
    <s v="Preservativo Masculino"/>
    <s v="Low Price "/>
    <x v="26"/>
    <n v="2663"/>
  </r>
  <r>
    <x v="26"/>
    <n v="2025"/>
    <x v="2"/>
    <x v="0"/>
    <s v="Preservativo Masculino"/>
    <s v="Low Price "/>
    <x v="26"/>
    <n v="0"/>
  </r>
  <r>
    <x v="26"/>
    <n v="2025"/>
    <x v="3"/>
    <x v="0"/>
    <s v="Preservativo Masculino"/>
    <s v="Low Price "/>
    <x v="26"/>
    <n v="1560"/>
  </r>
  <r>
    <x v="26"/>
    <n v="2025"/>
    <x v="4"/>
    <x v="0"/>
    <s v="Preservativo Masculino"/>
    <s v="Low Price "/>
    <x v="26"/>
    <n v="714.822"/>
  </r>
  <r>
    <x v="26"/>
    <n v="2025"/>
    <x v="5"/>
    <x v="0"/>
    <s v="Preservativo Masculino"/>
    <s v="Low Price "/>
    <x v="26"/>
    <n v="1241.6479999999999"/>
  </r>
  <r>
    <x v="26"/>
    <n v="2025"/>
    <x v="6"/>
    <x v="0"/>
    <s v="Preservativo Masculino"/>
    <s v="Low Price "/>
    <x v="26"/>
    <n v="515.89599999999996"/>
  </r>
  <r>
    <x v="26"/>
    <n v="2025"/>
    <x v="7"/>
    <x v="0"/>
    <s v="Preservativo Masculino"/>
    <s v="Low Price "/>
    <x v="26"/>
    <n v="661.26499999999999"/>
  </r>
  <r>
    <x v="26"/>
    <n v="2025"/>
    <x v="8"/>
    <x v="0"/>
    <s v="Preservativo Masculino"/>
    <s v="Low Price "/>
    <x v="26"/>
    <n v="1323.623"/>
  </r>
  <r>
    <x v="26"/>
    <n v="2025"/>
    <x v="9"/>
    <x v="0"/>
    <s v="Preservativo Masculino"/>
    <s v="Low Price "/>
    <x v="26"/>
    <n v="1950"/>
  </r>
  <r>
    <x v="26"/>
    <n v="2025"/>
    <x v="10"/>
    <x v="0"/>
    <s v="Preservativo Masculino"/>
    <s v="Low Price "/>
    <x v="26"/>
    <n v="2300"/>
  </r>
  <r>
    <x v="26"/>
    <n v="2025"/>
    <x v="11"/>
    <x v="0"/>
    <s v="Preservativo Masculino"/>
    <s v="Low Price "/>
    <x v="26"/>
    <n v="2300"/>
  </r>
  <r>
    <x v="27"/>
    <n v="2025"/>
    <x v="0"/>
    <x v="0"/>
    <s v="Preservativo Masculino"/>
    <s v="Low Price "/>
    <x v="27"/>
    <n v="246"/>
  </r>
  <r>
    <x v="27"/>
    <n v="2025"/>
    <x v="1"/>
    <x v="0"/>
    <s v="Preservativo Masculino"/>
    <s v="Low Price "/>
    <x v="27"/>
    <n v="682"/>
  </r>
  <r>
    <x v="27"/>
    <n v="2025"/>
    <x v="2"/>
    <x v="0"/>
    <s v="Preservativo Masculino"/>
    <s v="Low Price "/>
    <x v="27"/>
    <n v="1571"/>
  </r>
  <r>
    <x v="27"/>
    <n v="2025"/>
    <x v="3"/>
    <x v="0"/>
    <s v="Preservativo Masculino"/>
    <s v="Low Price "/>
    <x v="27"/>
    <n v="515"/>
  </r>
  <r>
    <x v="27"/>
    <n v="2025"/>
    <x v="4"/>
    <x v="0"/>
    <s v="Preservativo Masculino"/>
    <s v="Low Price "/>
    <x v="27"/>
    <n v="828"/>
  </r>
  <r>
    <x v="27"/>
    <n v="2025"/>
    <x v="5"/>
    <x v="0"/>
    <s v="Preservativo Masculino"/>
    <s v="Low Price "/>
    <x v="27"/>
    <n v="1133"/>
  </r>
  <r>
    <x v="27"/>
    <n v="2025"/>
    <x v="6"/>
    <x v="0"/>
    <s v="Preservativo Masculino"/>
    <s v="Low Price "/>
    <x v="27"/>
    <n v="426"/>
  </r>
  <r>
    <x v="27"/>
    <n v="2025"/>
    <x v="7"/>
    <x v="0"/>
    <s v="Preservativo Masculino"/>
    <s v="Low Price "/>
    <x v="27"/>
    <n v="608"/>
  </r>
  <r>
    <x v="27"/>
    <n v="2025"/>
    <x v="8"/>
    <x v="0"/>
    <s v="Preservativo Masculino"/>
    <s v="Low Price "/>
    <x v="27"/>
    <n v="478"/>
  </r>
  <r>
    <x v="27"/>
    <n v="2025"/>
    <x v="9"/>
    <x v="0"/>
    <s v="Preservativo Masculino"/>
    <s v="Low Price "/>
    <x v="27"/>
    <n v="900"/>
  </r>
  <r>
    <x v="27"/>
    <n v="2025"/>
    <x v="10"/>
    <x v="0"/>
    <s v="Preservativo Masculino"/>
    <s v="Low Price "/>
    <x v="27"/>
    <n v="1000"/>
  </r>
  <r>
    <x v="27"/>
    <n v="2025"/>
    <x v="11"/>
    <x v="0"/>
    <s v="Preservativo Masculino"/>
    <s v="Low Price "/>
    <x v="27"/>
    <n v="1000"/>
  </r>
  <r>
    <x v="28"/>
    <n v="2025"/>
    <x v="0"/>
    <x v="0"/>
    <s v="Preservativo Masculino"/>
    <s v="Low Price "/>
    <x v="28"/>
    <n v="379"/>
  </r>
  <r>
    <x v="28"/>
    <n v="2025"/>
    <x v="1"/>
    <x v="0"/>
    <s v="Preservativo Masculino"/>
    <s v="Low Price "/>
    <x v="28"/>
    <n v="1166"/>
  </r>
  <r>
    <x v="28"/>
    <n v="2025"/>
    <x v="2"/>
    <x v="0"/>
    <s v="Preservativo Masculino"/>
    <s v="Low Price "/>
    <x v="28"/>
    <n v="1726"/>
  </r>
  <r>
    <x v="28"/>
    <n v="2025"/>
    <x v="3"/>
    <x v="0"/>
    <s v="Preservativo Masculino"/>
    <s v="Low Price "/>
    <x v="28"/>
    <n v="958"/>
  </r>
  <r>
    <x v="28"/>
    <n v="2025"/>
    <x v="4"/>
    <x v="0"/>
    <s v="Preservativo Masculino"/>
    <s v="Low Price "/>
    <x v="28"/>
    <n v="722.47299999999996"/>
  </r>
  <r>
    <x v="28"/>
    <n v="2025"/>
    <x v="5"/>
    <x v="0"/>
    <s v="Preservativo Masculino"/>
    <s v="Low Price "/>
    <x v="28"/>
    <n v="1118.1389999999999"/>
  </r>
  <r>
    <x v="28"/>
    <n v="2025"/>
    <x v="6"/>
    <x v="0"/>
    <s v="Preservativo Masculino"/>
    <s v="Low Price "/>
    <x v="28"/>
    <n v="643.77700000000004"/>
  </r>
  <r>
    <x v="28"/>
    <n v="2025"/>
    <x v="7"/>
    <x v="0"/>
    <s v="Preservativo Masculino"/>
    <s v="Low Price "/>
    <x v="28"/>
    <n v="708.26400000000001"/>
  </r>
  <r>
    <x v="28"/>
    <n v="2025"/>
    <x v="8"/>
    <x v="0"/>
    <s v="Preservativo Masculino"/>
    <s v="Low Price "/>
    <x v="28"/>
    <n v="1208.8579999999999"/>
  </r>
  <r>
    <x v="28"/>
    <n v="2025"/>
    <x v="9"/>
    <x v="0"/>
    <s v="Preservativo Masculino"/>
    <s v="Low Price "/>
    <x v="28"/>
    <n v="2250"/>
  </r>
  <r>
    <x v="28"/>
    <n v="2025"/>
    <x v="10"/>
    <x v="0"/>
    <s v="Preservativo Masculino"/>
    <s v="Low Price "/>
    <x v="28"/>
    <n v="3000"/>
  </r>
  <r>
    <x v="28"/>
    <n v="2025"/>
    <x v="11"/>
    <x v="0"/>
    <s v="Preservativo Masculino"/>
    <s v="Low Price "/>
    <x v="28"/>
    <n v="3000"/>
  </r>
  <r>
    <x v="29"/>
    <n v="2025"/>
    <x v="0"/>
    <x v="0"/>
    <s v="Preservativo Masculino"/>
    <s v="Low Price "/>
    <x v="29"/>
    <n v="625"/>
  </r>
  <r>
    <x v="29"/>
    <n v="2025"/>
    <x v="1"/>
    <x v="0"/>
    <s v="Preservativo Masculino"/>
    <s v="Low Price "/>
    <x v="29"/>
    <n v="1045"/>
  </r>
  <r>
    <x v="29"/>
    <n v="2025"/>
    <x v="2"/>
    <x v="0"/>
    <s v="Preservativo Masculino"/>
    <s v="Low Price "/>
    <x v="29"/>
    <n v="1458"/>
  </r>
  <r>
    <x v="29"/>
    <n v="2025"/>
    <x v="3"/>
    <x v="0"/>
    <s v="Preservativo Masculino"/>
    <s v="Low Price "/>
    <x v="29"/>
    <n v="0"/>
  </r>
  <r>
    <x v="29"/>
    <n v="2025"/>
    <x v="4"/>
    <x v="0"/>
    <s v="Preservativo Masculino"/>
    <s v="Low Price "/>
    <x v="29"/>
    <n v="647"/>
  </r>
  <r>
    <x v="29"/>
    <n v="2025"/>
    <x v="5"/>
    <x v="0"/>
    <s v="Preservativo Masculino"/>
    <s v="Low Price "/>
    <x v="29"/>
    <n v="1092"/>
  </r>
  <r>
    <x v="29"/>
    <n v="2025"/>
    <x v="6"/>
    <x v="0"/>
    <s v="Preservativo Masculino"/>
    <s v="Low Price "/>
    <x v="29"/>
    <n v="825"/>
  </r>
  <r>
    <x v="29"/>
    <n v="2025"/>
    <x v="7"/>
    <x v="0"/>
    <s v="Preservativo Masculino"/>
    <s v="Low Price "/>
    <x v="29"/>
    <n v="439"/>
  </r>
  <r>
    <x v="29"/>
    <n v="2025"/>
    <x v="8"/>
    <x v="0"/>
    <s v="Preservativo Masculino"/>
    <s v="Low Price "/>
    <x v="29"/>
    <n v="796"/>
  </r>
  <r>
    <x v="29"/>
    <n v="2025"/>
    <x v="9"/>
    <x v="0"/>
    <s v="Preservativo Masculino"/>
    <s v="Low Price "/>
    <x v="29"/>
    <n v="1500"/>
  </r>
  <r>
    <x v="29"/>
    <n v="2025"/>
    <x v="10"/>
    <x v="0"/>
    <s v="Preservativo Masculino"/>
    <s v="Low Price "/>
    <x v="29"/>
    <n v="1500"/>
  </r>
  <r>
    <x v="29"/>
    <n v="2025"/>
    <x v="11"/>
    <x v="0"/>
    <s v="Preservativo Masculino"/>
    <s v="Low Price "/>
    <x v="29"/>
    <n v="1500"/>
  </r>
  <r>
    <x v="30"/>
    <n v="2025"/>
    <x v="0"/>
    <x v="0"/>
    <s v="Preservativo Masculino"/>
    <s v="Básico"/>
    <x v="30"/>
    <n v="1683"/>
  </r>
  <r>
    <x v="30"/>
    <n v="2025"/>
    <x v="1"/>
    <x v="0"/>
    <s v="Preservativo Masculino"/>
    <s v="Básico"/>
    <x v="30"/>
    <n v="3291"/>
  </r>
  <r>
    <x v="30"/>
    <n v="2025"/>
    <x v="2"/>
    <x v="0"/>
    <s v="Preservativo Masculino"/>
    <s v="Básico"/>
    <x v="30"/>
    <n v="3168"/>
  </r>
  <r>
    <x v="30"/>
    <n v="2025"/>
    <x v="3"/>
    <x v="0"/>
    <s v="Preservativo Masculino"/>
    <s v="Básico"/>
    <x v="30"/>
    <n v="5680"/>
  </r>
  <r>
    <x v="30"/>
    <n v="2025"/>
    <x v="4"/>
    <x v="0"/>
    <s v="Preservativo Masculino"/>
    <s v="Básico"/>
    <x v="30"/>
    <n v="11608.91786"/>
  </r>
  <r>
    <x v="30"/>
    <n v="2025"/>
    <x v="5"/>
    <x v="0"/>
    <s v="Preservativo Masculino"/>
    <s v="Básico"/>
    <x v="30"/>
    <n v="1937.6266800000001"/>
  </r>
  <r>
    <x v="30"/>
    <n v="2025"/>
    <x v="6"/>
    <x v="0"/>
    <s v="Preservativo Masculino"/>
    <s v="Básico"/>
    <x v="30"/>
    <n v="1781.3276799999999"/>
  </r>
  <r>
    <x v="30"/>
    <n v="2025"/>
    <x v="7"/>
    <x v="0"/>
    <s v="Preservativo Masculino"/>
    <s v="Básico"/>
    <x v="30"/>
    <n v="1721.93406"/>
  </r>
  <r>
    <x v="30"/>
    <n v="2025"/>
    <x v="8"/>
    <x v="0"/>
    <s v="Preservativo Masculino"/>
    <s v="Básico"/>
    <x v="30"/>
    <n v="1959.0276199999998"/>
  </r>
  <r>
    <x v="30"/>
    <n v="2025"/>
    <x v="9"/>
    <x v="0"/>
    <s v="Preservativo Masculino"/>
    <s v="Básico"/>
    <x v="30"/>
    <n v="5000"/>
  </r>
  <r>
    <x v="30"/>
    <n v="2025"/>
    <x v="10"/>
    <x v="0"/>
    <s v="Preservativo Masculino"/>
    <s v="Básico"/>
    <x v="30"/>
    <n v="5000"/>
  </r>
  <r>
    <x v="30"/>
    <n v="2025"/>
    <x v="11"/>
    <x v="0"/>
    <s v="Preservativo Masculino"/>
    <s v="Básico"/>
    <x v="30"/>
    <n v="5000"/>
  </r>
  <r>
    <x v="31"/>
    <n v="2025"/>
    <x v="0"/>
    <x v="0"/>
    <s v="Preservativo Masculino"/>
    <s v="Básico"/>
    <x v="31"/>
    <n v="3182"/>
  </r>
  <r>
    <x v="31"/>
    <n v="2025"/>
    <x v="1"/>
    <x v="0"/>
    <s v="Preservativo Masculino"/>
    <s v="Básico"/>
    <x v="31"/>
    <n v="6342"/>
  </r>
  <r>
    <x v="31"/>
    <n v="2025"/>
    <x v="2"/>
    <x v="0"/>
    <s v="Preservativo Masculino"/>
    <s v="Básico"/>
    <x v="31"/>
    <n v="6976"/>
  </r>
  <r>
    <x v="31"/>
    <n v="2025"/>
    <x v="3"/>
    <x v="0"/>
    <s v="Preservativo Masculino"/>
    <s v="Básico"/>
    <x v="31"/>
    <n v="2947"/>
  </r>
  <r>
    <x v="31"/>
    <n v="2025"/>
    <x v="4"/>
    <x v="0"/>
    <s v="Preservativo Masculino"/>
    <s v="Básico"/>
    <x v="31"/>
    <n v="5721.3085000000001"/>
  </r>
  <r>
    <x v="31"/>
    <n v="2025"/>
    <x v="5"/>
    <x v="0"/>
    <s v="Preservativo Masculino"/>
    <s v="Básico"/>
    <x v="31"/>
    <n v="5726.3800199999996"/>
  </r>
  <r>
    <x v="31"/>
    <n v="2025"/>
    <x v="6"/>
    <x v="0"/>
    <s v="Preservativo Masculino"/>
    <s v="Básico"/>
    <x v="31"/>
    <n v="5886.1328999999996"/>
  </r>
  <r>
    <x v="31"/>
    <n v="2025"/>
    <x v="7"/>
    <x v="0"/>
    <s v="Preservativo Masculino"/>
    <s v="Básico"/>
    <x v="31"/>
    <n v="6386.3115599999992"/>
  </r>
  <r>
    <x v="31"/>
    <n v="2025"/>
    <x v="8"/>
    <x v="0"/>
    <s v="Preservativo Masculino"/>
    <s v="Básico"/>
    <x v="31"/>
    <n v="6816.1228799999999"/>
  </r>
  <r>
    <x v="31"/>
    <n v="2025"/>
    <x v="9"/>
    <x v="0"/>
    <s v="Preservativo Masculino"/>
    <s v="Básico"/>
    <x v="31"/>
    <n v="6000"/>
  </r>
  <r>
    <x v="31"/>
    <n v="2025"/>
    <x v="10"/>
    <x v="0"/>
    <s v="Preservativo Masculino"/>
    <s v="Básico"/>
    <x v="31"/>
    <n v="6000"/>
  </r>
  <r>
    <x v="31"/>
    <n v="2025"/>
    <x v="11"/>
    <x v="0"/>
    <s v="Preservativo Masculino"/>
    <s v="Básico"/>
    <x v="31"/>
    <n v="6000"/>
  </r>
  <r>
    <x v="32"/>
    <n v="2025"/>
    <x v="0"/>
    <x v="0"/>
    <s v="Preservativo Masculino"/>
    <s v="Básico"/>
    <x v="32"/>
    <n v="3021"/>
  </r>
  <r>
    <x v="32"/>
    <n v="2025"/>
    <x v="1"/>
    <x v="0"/>
    <s v="Preservativo Masculino"/>
    <s v="Básico"/>
    <x v="32"/>
    <n v="4131"/>
  </r>
  <r>
    <x v="32"/>
    <n v="2025"/>
    <x v="2"/>
    <x v="0"/>
    <s v="Preservativo Masculino"/>
    <s v="Básico"/>
    <x v="32"/>
    <n v="4638"/>
  </r>
  <r>
    <x v="32"/>
    <n v="2025"/>
    <x v="3"/>
    <x v="0"/>
    <s v="Preservativo Masculino"/>
    <s v="Básico"/>
    <x v="32"/>
    <n v="22215"/>
  </r>
  <r>
    <x v="32"/>
    <n v="2025"/>
    <x v="4"/>
    <x v="0"/>
    <s v="Preservativo Masculino"/>
    <s v="Básico"/>
    <x v="32"/>
    <n v="2572.8345600000002"/>
  </r>
  <r>
    <x v="32"/>
    <n v="2025"/>
    <x v="5"/>
    <x v="0"/>
    <s v="Preservativo Masculino"/>
    <s v="Básico"/>
    <x v="32"/>
    <n v="3370.2873599999998"/>
  </r>
  <r>
    <x v="32"/>
    <n v="2025"/>
    <x v="6"/>
    <x v="0"/>
    <s v="Preservativo Masculino"/>
    <s v="Básico"/>
    <x v="32"/>
    <n v="2767.3011200000001"/>
  </r>
  <r>
    <x v="32"/>
    <n v="2025"/>
    <x v="7"/>
    <x v="0"/>
    <s v="Preservativo Masculino"/>
    <s v="Básico"/>
    <x v="32"/>
    <n v="2810.6713599999998"/>
  </r>
  <r>
    <x v="32"/>
    <n v="2025"/>
    <x v="8"/>
    <x v="0"/>
    <s v="Preservativo Masculino"/>
    <s v="Básico"/>
    <x v="32"/>
    <n v="3003.7388799999999"/>
  </r>
  <r>
    <x v="32"/>
    <n v="2025"/>
    <x v="9"/>
    <x v="0"/>
    <s v="Preservativo Masculino"/>
    <s v="Básico"/>
    <x v="32"/>
    <n v="4000"/>
  </r>
  <r>
    <x v="32"/>
    <n v="2025"/>
    <x v="10"/>
    <x v="0"/>
    <s v="Preservativo Masculino"/>
    <s v="Básico"/>
    <x v="32"/>
    <n v="4000"/>
  </r>
  <r>
    <x v="32"/>
    <n v="2025"/>
    <x v="11"/>
    <x v="0"/>
    <s v="Preservativo Masculino"/>
    <s v="Básico"/>
    <x v="32"/>
    <n v="4000"/>
  </r>
  <r>
    <x v="33"/>
    <n v="2025"/>
    <x v="0"/>
    <x v="0"/>
    <s v="Preservativo Masculino"/>
    <s v="Performance"/>
    <x v="33"/>
    <n v="0"/>
  </r>
  <r>
    <x v="33"/>
    <n v="2025"/>
    <x v="1"/>
    <x v="0"/>
    <s v="Preservativo Masculino"/>
    <s v="Performance"/>
    <x v="33"/>
    <n v="2064"/>
  </r>
  <r>
    <x v="33"/>
    <n v="2025"/>
    <x v="2"/>
    <x v="0"/>
    <s v="Preservativo Masculino"/>
    <s v="Performance"/>
    <x v="33"/>
    <n v="755"/>
  </r>
  <r>
    <x v="33"/>
    <n v="2025"/>
    <x v="3"/>
    <x v="0"/>
    <s v="Preservativo Masculino"/>
    <s v="Performance"/>
    <x v="33"/>
    <n v="518"/>
  </r>
  <r>
    <x v="33"/>
    <n v="2025"/>
    <x v="4"/>
    <x v="0"/>
    <s v="Preservativo Masculino"/>
    <s v="Performance"/>
    <x v="33"/>
    <n v="712.63599999999997"/>
  </r>
  <r>
    <x v="33"/>
    <n v="2025"/>
    <x v="5"/>
    <x v="0"/>
    <s v="Preservativo Masculino"/>
    <s v="Performance"/>
    <x v="33"/>
    <n v="868.93499999999995"/>
  </r>
  <r>
    <x v="33"/>
    <n v="2025"/>
    <x v="6"/>
    <x v="0"/>
    <s v="Preservativo Masculino"/>
    <s v="Performance"/>
    <x v="33"/>
    <n v="783.68100000000004"/>
  </r>
  <r>
    <x v="33"/>
    <n v="2025"/>
    <x v="7"/>
    <x v="0"/>
    <s v="Preservativo Masculino"/>
    <s v="Performance"/>
    <x v="33"/>
    <n v="772.75099999999998"/>
  </r>
  <r>
    <x v="33"/>
    <n v="2025"/>
    <x v="8"/>
    <x v="0"/>
    <s v="Preservativo Masculino"/>
    <s v="Performance"/>
    <x v="33"/>
    <n v="948.72400000000005"/>
  </r>
  <r>
    <x v="33"/>
    <n v="2025"/>
    <x v="9"/>
    <x v="0"/>
    <s v="Preservativo Masculino"/>
    <s v="Performance"/>
    <x v="33"/>
    <n v="884.23699999999997"/>
  </r>
  <r>
    <x v="33"/>
    <n v="2025"/>
    <x v="10"/>
    <x v="0"/>
    <s v="Preservativo Masculino"/>
    <s v="Performance"/>
    <x v="33"/>
    <n v="784"/>
  </r>
  <r>
    <x v="33"/>
    <n v="2025"/>
    <x v="11"/>
    <x v="0"/>
    <s v="Preservativo Masculino"/>
    <s v="Performance"/>
    <x v="33"/>
    <n v="773"/>
  </r>
  <r>
    <x v="34"/>
    <n v="2025"/>
    <x v="0"/>
    <x v="0"/>
    <s v="Preservativo Masculino"/>
    <s v="Performance"/>
    <x v="34"/>
    <n v="8"/>
  </r>
  <r>
    <x v="34"/>
    <n v="2025"/>
    <x v="1"/>
    <x v="0"/>
    <s v="Preservativo Masculino"/>
    <s v="Performance"/>
    <x v="34"/>
    <n v="2981"/>
  </r>
  <r>
    <x v="34"/>
    <n v="2025"/>
    <x v="2"/>
    <x v="0"/>
    <s v="Preservativo Masculino"/>
    <s v="Performance"/>
    <x v="34"/>
    <n v="2476"/>
  </r>
  <r>
    <x v="34"/>
    <n v="2025"/>
    <x v="3"/>
    <x v="0"/>
    <s v="Preservativo Masculino"/>
    <s v="Performance"/>
    <x v="34"/>
    <n v="962"/>
  </r>
  <r>
    <x v="34"/>
    <n v="2025"/>
    <x v="4"/>
    <x v="0"/>
    <s v="Preservativo Masculino"/>
    <s v="Performance"/>
    <x v="34"/>
    <n v="1753.172"/>
  </r>
  <r>
    <x v="34"/>
    <n v="2025"/>
    <x v="5"/>
    <x v="0"/>
    <s v="Preservativo Masculino"/>
    <s v="Performance"/>
    <x v="34"/>
    <n v="2918.31"/>
  </r>
  <r>
    <x v="34"/>
    <n v="2025"/>
    <x v="6"/>
    <x v="0"/>
    <s v="Preservativo Masculino"/>
    <s v="Performance"/>
    <x v="34"/>
    <n v="2042.817"/>
  </r>
  <r>
    <x v="34"/>
    <n v="2025"/>
    <x v="7"/>
    <x v="0"/>
    <s v="Preservativo Masculino"/>
    <s v="Performance"/>
    <x v="34"/>
    <n v="2137.9079999999999"/>
  </r>
  <r>
    <x v="34"/>
    <n v="2025"/>
    <x v="8"/>
    <x v="0"/>
    <s v="Preservativo Masculino"/>
    <s v="Performance"/>
    <x v="34"/>
    <n v="2111.6759999999999"/>
  </r>
  <r>
    <x v="34"/>
    <n v="2025"/>
    <x v="9"/>
    <x v="0"/>
    <s v="Preservativo Masculino"/>
    <s v="Performance"/>
    <x v="34"/>
    <n v="2693.152"/>
  </r>
  <r>
    <x v="34"/>
    <n v="2025"/>
    <x v="10"/>
    <x v="0"/>
    <s v="Preservativo Masculino"/>
    <s v="Performance"/>
    <x v="34"/>
    <n v="2043"/>
  </r>
  <r>
    <x v="34"/>
    <n v="2025"/>
    <x v="11"/>
    <x v="0"/>
    <s v="Preservativo Masculino"/>
    <s v="Performance"/>
    <x v="34"/>
    <n v="2138"/>
  </r>
  <r>
    <x v="35"/>
    <n v="2025"/>
    <x v="0"/>
    <x v="0"/>
    <s v="Preservativo Masculino"/>
    <s v="Performance"/>
    <x v="35"/>
    <n v="607"/>
  </r>
  <r>
    <x v="35"/>
    <n v="2025"/>
    <x v="1"/>
    <x v="0"/>
    <s v="Preservativo Masculino"/>
    <s v="Performance"/>
    <x v="35"/>
    <n v="865"/>
  </r>
  <r>
    <x v="35"/>
    <n v="2025"/>
    <x v="2"/>
    <x v="0"/>
    <s v="Preservativo Masculino"/>
    <s v="Performance"/>
    <x v="35"/>
    <n v="1485"/>
  </r>
  <r>
    <x v="35"/>
    <n v="2025"/>
    <x v="3"/>
    <x v="0"/>
    <s v="Preservativo Masculino"/>
    <s v="Performance"/>
    <x v="35"/>
    <n v="298"/>
  </r>
  <r>
    <x v="35"/>
    <n v="2025"/>
    <x v="4"/>
    <x v="0"/>
    <s v="Preservativo Masculino"/>
    <s v="Performance"/>
    <x v="35"/>
    <n v="372.71300000000002"/>
  </r>
  <r>
    <x v="35"/>
    <n v="2025"/>
    <x v="5"/>
    <x v="0"/>
    <s v="Preservativo Masculino"/>
    <s v="Performance"/>
    <x v="35"/>
    <n v="499.50099999999998"/>
  </r>
  <r>
    <x v="35"/>
    <n v="2025"/>
    <x v="6"/>
    <x v="0"/>
    <s v="Preservativo Masculino"/>
    <s v="Performance"/>
    <x v="35"/>
    <n v="366.15499999999997"/>
  </r>
  <r>
    <x v="35"/>
    <n v="2025"/>
    <x v="7"/>
    <x v="0"/>
    <s v="Preservativo Masculino"/>
    <s v="Performance"/>
    <x v="35"/>
    <n v="539.94200000000001"/>
  </r>
  <r>
    <x v="35"/>
    <n v="2025"/>
    <x v="8"/>
    <x v="0"/>
    <s v="Preservativo Masculino"/>
    <s v="Performance"/>
    <x v="35"/>
    <n v="551.96500000000003"/>
  </r>
  <r>
    <x v="35"/>
    <n v="2025"/>
    <x v="9"/>
    <x v="0"/>
    <s v="Preservativo Masculino"/>
    <s v="Performance"/>
    <x v="35"/>
    <n v="429.54899999999998"/>
  </r>
  <r>
    <x v="35"/>
    <n v="2025"/>
    <x v="10"/>
    <x v="0"/>
    <s v="Preservativo Masculino"/>
    <s v="Performance"/>
    <x v="35"/>
    <n v="1000"/>
  </r>
  <r>
    <x v="35"/>
    <n v="2025"/>
    <x v="11"/>
    <x v="0"/>
    <s v="Preservativo Masculino"/>
    <s v="Performance"/>
    <x v="35"/>
    <n v="1000"/>
  </r>
  <r>
    <x v="36"/>
    <n v="2025"/>
    <x v="0"/>
    <x v="0"/>
    <s v="Preservativo Masculino"/>
    <s v="Performance"/>
    <x v="36"/>
    <n v="0"/>
  </r>
  <r>
    <x v="36"/>
    <n v="2025"/>
    <x v="1"/>
    <x v="0"/>
    <s v="Preservativo Masculino"/>
    <s v="Performance"/>
    <x v="36"/>
    <n v="1171"/>
  </r>
  <r>
    <x v="36"/>
    <n v="2025"/>
    <x v="2"/>
    <x v="0"/>
    <s v="Preservativo Masculino"/>
    <s v="Performance"/>
    <x v="36"/>
    <n v="596"/>
  </r>
  <r>
    <x v="36"/>
    <n v="2025"/>
    <x v="3"/>
    <x v="0"/>
    <s v="Preservativo Masculino"/>
    <s v="Performance"/>
    <x v="36"/>
    <n v="257"/>
  </r>
  <r>
    <x v="36"/>
    <n v="2025"/>
    <x v="4"/>
    <x v="0"/>
    <s v="Preservativo Masculino"/>
    <s v="Performance"/>
    <x v="36"/>
    <n v="491.85"/>
  </r>
  <r>
    <x v="36"/>
    <n v="2025"/>
    <x v="5"/>
    <x v="0"/>
    <s v="Preservativo Masculino"/>
    <s v="Performance"/>
    <x v="36"/>
    <n v="491.85"/>
  </r>
  <r>
    <x v="36"/>
    <n v="2025"/>
    <x v="6"/>
    <x v="0"/>
    <s v="Preservativo Masculino"/>
    <s v="Performance"/>
    <x v="36"/>
    <n v="491.85"/>
  </r>
  <r>
    <x v="36"/>
    <n v="2025"/>
    <x v="7"/>
    <x v="0"/>
    <s v="Preservativo Masculino"/>
    <s v="Performance"/>
    <x v="36"/>
    <n v="491.85"/>
  </r>
  <r>
    <x v="36"/>
    <n v="2025"/>
    <x v="8"/>
    <x v="0"/>
    <s v="Preservativo Masculino"/>
    <s v="Performance"/>
    <x v="36"/>
    <n v="491.85"/>
  </r>
  <r>
    <x v="36"/>
    <n v="2025"/>
    <x v="9"/>
    <x v="0"/>
    <s v="Preservativo Masculino"/>
    <s v="Performance"/>
    <x v="36"/>
    <n v="491.85"/>
  </r>
  <r>
    <x v="36"/>
    <n v="2025"/>
    <x v="10"/>
    <x v="0"/>
    <s v="Preservativo Masculino"/>
    <s v="Performance"/>
    <x v="36"/>
    <n v="500"/>
  </r>
  <r>
    <x v="36"/>
    <n v="2025"/>
    <x v="11"/>
    <x v="0"/>
    <s v="Preservativo Masculino"/>
    <s v="Performance"/>
    <x v="36"/>
    <n v="500"/>
  </r>
  <r>
    <x v="37"/>
    <n v="2025"/>
    <x v="0"/>
    <x v="0"/>
    <s v="Preservativo Masculino"/>
    <s v="Performance"/>
    <x v="37"/>
    <n v="308"/>
  </r>
  <r>
    <x v="37"/>
    <n v="2025"/>
    <x v="1"/>
    <x v="0"/>
    <s v="Preservativo Masculino"/>
    <s v="Performance"/>
    <x v="37"/>
    <n v="341"/>
  </r>
  <r>
    <x v="37"/>
    <n v="2025"/>
    <x v="2"/>
    <x v="0"/>
    <s v="Preservativo Masculino"/>
    <s v="Performance"/>
    <x v="37"/>
    <n v="584"/>
  </r>
  <r>
    <x v="37"/>
    <n v="2025"/>
    <x v="3"/>
    <x v="0"/>
    <s v="Preservativo Masculino"/>
    <s v="Performance"/>
    <x v="37"/>
    <n v="318"/>
  </r>
  <r>
    <x v="37"/>
    <n v="2025"/>
    <x v="4"/>
    <x v="0"/>
    <s v="Preservativo Masculino"/>
    <s v="Performance"/>
    <x v="37"/>
    <n v="765.1"/>
  </r>
  <r>
    <x v="37"/>
    <n v="2025"/>
    <x v="5"/>
    <x v="0"/>
    <s v="Preservativo Masculino"/>
    <s v="Performance"/>
    <x v="37"/>
    <n v="765.1"/>
  </r>
  <r>
    <x v="37"/>
    <n v="2025"/>
    <x v="6"/>
    <x v="0"/>
    <s v="Preservativo Masculino"/>
    <s v="Performance"/>
    <x v="37"/>
    <n v="765.1"/>
  </r>
  <r>
    <x v="37"/>
    <n v="2025"/>
    <x v="7"/>
    <x v="0"/>
    <s v="Preservativo Masculino"/>
    <s v="Performance"/>
    <x v="37"/>
    <n v="765.1"/>
  </r>
  <r>
    <x v="37"/>
    <n v="2025"/>
    <x v="8"/>
    <x v="0"/>
    <s v="Preservativo Masculino"/>
    <s v="Performance"/>
    <x v="37"/>
    <n v="765.1"/>
  </r>
  <r>
    <x v="37"/>
    <n v="2025"/>
    <x v="9"/>
    <x v="0"/>
    <s v="Preservativo Masculino"/>
    <s v="Performance"/>
    <x v="37"/>
    <n v="765.1"/>
  </r>
  <r>
    <x v="37"/>
    <n v="2025"/>
    <x v="10"/>
    <x v="0"/>
    <s v="Preservativo Masculino"/>
    <s v="Performance"/>
    <x v="37"/>
    <n v="700"/>
  </r>
  <r>
    <x v="37"/>
    <n v="2025"/>
    <x v="11"/>
    <x v="0"/>
    <s v="Preservativo Masculino"/>
    <s v="Performance"/>
    <x v="37"/>
    <n v="700"/>
  </r>
  <r>
    <x v="38"/>
    <n v="2025"/>
    <x v="0"/>
    <x v="0"/>
    <s v="Preservativo Masculino"/>
    <s v="Performance"/>
    <x v="38"/>
    <n v="305"/>
  </r>
  <r>
    <x v="38"/>
    <n v="2025"/>
    <x v="1"/>
    <x v="0"/>
    <s v="Preservativo Masculino"/>
    <s v="Performance"/>
    <x v="38"/>
    <n v="204"/>
  </r>
  <r>
    <x v="38"/>
    <n v="2025"/>
    <x v="2"/>
    <x v="0"/>
    <s v="Preservativo Masculino"/>
    <s v="Performance"/>
    <x v="38"/>
    <n v="236"/>
  </r>
  <r>
    <x v="38"/>
    <n v="2025"/>
    <x v="3"/>
    <x v="0"/>
    <s v="Preservativo Masculino"/>
    <s v="Performance"/>
    <x v="38"/>
    <n v="160"/>
  </r>
  <r>
    <x v="38"/>
    <n v="2025"/>
    <x v="4"/>
    <x v="0"/>
    <s v="Preservativo Masculino"/>
    <s v="Performance"/>
    <x v="38"/>
    <n v="325.714"/>
  </r>
  <r>
    <x v="38"/>
    <n v="2025"/>
    <x v="5"/>
    <x v="0"/>
    <s v="Preservativo Masculino"/>
    <s v="Performance"/>
    <x v="38"/>
    <n v="425.17700000000002"/>
  </r>
  <r>
    <x v="38"/>
    <n v="2025"/>
    <x v="6"/>
    <x v="0"/>
    <s v="Preservativo Masculino"/>
    <s v="Performance"/>
    <x v="38"/>
    <n v="320.24900000000002"/>
  </r>
  <r>
    <x v="38"/>
    <n v="2025"/>
    <x v="7"/>
    <x v="0"/>
    <s v="Preservativo Masculino"/>
    <s v="Performance"/>
    <x v="38"/>
    <n v="349.76"/>
  </r>
  <r>
    <x v="38"/>
    <n v="2025"/>
    <x v="8"/>
    <x v="0"/>
    <s v="Preservativo Masculino"/>
    <s v="Performance"/>
    <x v="38"/>
    <n v="363.96899999999999"/>
  </r>
  <r>
    <x v="38"/>
    <n v="2025"/>
    <x v="9"/>
    <x v="0"/>
    <s v="Preservativo Masculino"/>
    <s v="Performance"/>
    <x v="38"/>
    <n v="406.596"/>
  </r>
  <r>
    <x v="38"/>
    <n v="2025"/>
    <x v="10"/>
    <x v="0"/>
    <s v="Preservativo Masculino"/>
    <s v="Performance"/>
    <x v="38"/>
    <n v="320"/>
  </r>
  <r>
    <x v="38"/>
    <n v="2025"/>
    <x v="11"/>
    <x v="0"/>
    <s v="Preservativo Masculino"/>
    <s v="Performance"/>
    <x v="38"/>
    <n v="350"/>
  </r>
  <r>
    <x v="39"/>
    <n v="2025"/>
    <x v="0"/>
    <x v="0"/>
    <s v="Preservativo Masculino"/>
    <s v="Performance"/>
    <x v="39"/>
    <n v="1"/>
  </r>
  <r>
    <x v="39"/>
    <n v="2025"/>
    <x v="1"/>
    <x v="0"/>
    <s v="Preservativo Masculino"/>
    <s v="Performance"/>
    <x v="39"/>
    <n v="711"/>
  </r>
  <r>
    <x v="39"/>
    <n v="2025"/>
    <x v="2"/>
    <x v="0"/>
    <s v="Preservativo Masculino"/>
    <s v="Performance"/>
    <x v="39"/>
    <n v="417"/>
  </r>
  <r>
    <x v="39"/>
    <n v="2025"/>
    <x v="3"/>
    <x v="0"/>
    <s v="Preservativo Masculino"/>
    <s v="Performance"/>
    <x v="39"/>
    <n v="283"/>
  </r>
  <r>
    <x v="39"/>
    <n v="2025"/>
    <x v="4"/>
    <x v="0"/>
    <s v="Preservativo Masculino"/>
    <s v="Performance"/>
    <x v="39"/>
    <n v="235"/>
  </r>
  <r>
    <x v="39"/>
    <n v="2025"/>
    <x v="5"/>
    <x v="0"/>
    <s v="Preservativo Masculino"/>
    <s v="Performance"/>
    <x v="39"/>
    <n v="289"/>
  </r>
  <r>
    <x v="39"/>
    <n v="2025"/>
    <x v="6"/>
    <x v="0"/>
    <s v="Preservativo Masculino"/>
    <s v="Performance"/>
    <x v="39"/>
    <n v="301"/>
  </r>
  <r>
    <x v="39"/>
    <n v="2025"/>
    <x v="7"/>
    <x v="0"/>
    <s v="Preservativo Masculino"/>
    <s v="Performance"/>
    <x v="39"/>
    <n v="412"/>
  </r>
  <r>
    <x v="39"/>
    <n v="2025"/>
    <x v="8"/>
    <x v="0"/>
    <s v="Preservativo Masculino"/>
    <s v="Performance"/>
    <x v="39"/>
    <n v="232"/>
  </r>
  <r>
    <x v="39"/>
    <n v="2025"/>
    <x v="9"/>
    <x v="0"/>
    <s v="Preservativo Masculino"/>
    <s v="Performance"/>
    <x v="39"/>
    <n v="350"/>
  </r>
  <r>
    <x v="39"/>
    <n v="2025"/>
    <x v="10"/>
    <x v="0"/>
    <s v="Preservativo Masculino"/>
    <s v="Performance"/>
    <x v="39"/>
    <n v="612"/>
  </r>
  <r>
    <x v="39"/>
    <n v="2025"/>
    <x v="11"/>
    <x v="0"/>
    <s v="Preservativo Masculino"/>
    <s v="Performance"/>
    <x v="39"/>
    <n v="675"/>
  </r>
  <r>
    <x v="40"/>
    <n v="2025"/>
    <x v="0"/>
    <x v="0"/>
    <s v="Gel Lubrificante"/>
    <s v="Lub 100G"/>
    <x v="40"/>
    <n v="0"/>
  </r>
  <r>
    <x v="40"/>
    <n v="2025"/>
    <x v="1"/>
    <x v="0"/>
    <s v="Gel Lubrificante"/>
    <s v="Lub 100G"/>
    <x v="40"/>
    <n v="0"/>
  </r>
  <r>
    <x v="40"/>
    <n v="2025"/>
    <x v="2"/>
    <x v="0"/>
    <s v="Gel Lubrificante"/>
    <s v="Lub 100G"/>
    <x v="40"/>
    <n v="0"/>
  </r>
  <r>
    <x v="40"/>
    <n v="2025"/>
    <x v="3"/>
    <x v="0"/>
    <s v="Gel Lubrificante"/>
    <s v="Lub 100G"/>
    <x v="40"/>
    <n v="0"/>
  </r>
  <r>
    <x v="40"/>
    <n v="2025"/>
    <x v="4"/>
    <x v="0"/>
    <s v="Gel Lubrificante"/>
    <s v="Lub 100G"/>
    <x v="40"/>
    <n v="685.1120833333332"/>
  </r>
  <r>
    <x v="40"/>
    <n v="2025"/>
    <x v="5"/>
    <x v="0"/>
    <s v="Gel Lubrificante"/>
    <s v="Lub 100G"/>
    <x v="40"/>
    <n v="910.76791666666622"/>
  </r>
  <r>
    <x v="40"/>
    <n v="2025"/>
    <x v="6"/>
    <x v="0"/>
    <s v="Gel Lubrificante"/>
    <s v="Lub 100G"/>
    <x v="40"/>
    <n v="2007.5"/>
  </r>
  <r>
    <x v="40"/>
    <n v="2025"/>
    <x v="7"/>
    <x v="0"/>
    <s v="Gel Lubrificante"/>
    <s v="Lub 100G"/>
    <x v="40"/>
    <n v="1417.9"/>
  </r>
  <r>
    <x v="40"/>
    <n v="2025"/>
    <x v="8"/>
    <x v="0"/>
    <s v="Gel Lubrificante"/>
    <s v="Lub 100G"/>
    <x v="40"/>
    <n v="1677.5"/>
  </r>
  <r>
    <x v="40"/>
    <n v="2025"/>
    <x v="9"/>
    <x v="0"/>
    <s v="Gel Lubrificante"/>
    <s v="Lub 100G"/>
    <x v="40"/>
    <n v="1635.7"/>
  </r>
  <r>
    <x v="40"/>
    <n v="2025"/>
    <x v="10"/>
    <x v="0"/>
    <s v="Gel Lubrificante"/>
    <s v="Lub 100G"/>
    <x v="40"/>
    <n v="1798.5"/>
  </r>
  <r>
    <x v="40"/>
    <n v="2025"/>
    <x v="11"/>
    <x v="0"/>
    <s v="Gel Lubrificante"/>
    <s v="Lub 100G"/>
    <x v="40"/>
    <n v="1595"/>
  </r>
  <r>
    <x v="41"/>
    <n v="2025"/>
    <x v="0"/>
    <x v="0"/>
    <s v="Gel Lubrificante"/>
    <s v="Lub 100G"/>
    <x v="41"/>
    <n v="0"/>
  </r>
  <r>
    <x v="41"/>
    <n v="2025"/>
    <x v="1"/>
    <x v="0"/>
    <s v="Gel Lubrificante"/>
    <s v="Lub 100G"/>
    <x v="41"/>
    <n v="0"/>
  </r>
  <r>
    <x v="41"/>
    <n v="2025"/>
    <x v="2"/>
    <x v="0"/>
    <s v="Gel Lubrificante"/>
    <s v="Lub 100G"/>
    <x v="41"/>
    <n v="0"/>
  </r>
  <r>
    <x v="41"/>
    <n v="2025"/>
    <x v="3"/>
    <x v="0"/>
    <s v="Gel Lubrificante"/>
    <s v="Lub 100G"/>
    <x v="41"/>
    <n v="0"/>
  </r>
  <r>
    <x v="41"/>
    <n v="2025"/>
    <x v="4"/>
    <x v="0"/>
    <s v="Gel Lubrificante"/>
    <s v="Lub 100G"/>
    <x v="41"/>
    <n v="132.42345416666672"/>
  </r>
  <r>
    <x v="41"/>
    <n v="2025"/>
    <x v="5"/>
    <x v="0"/>
    <s v="Gel Lubrificante"/>
    <s v="Lub 100G"/>
    <x v="41"/>
    <n v="139.60646333333329"/>
  </r>
  <r>
    <x v="41"/>
    <n v="2025"/>
    <x v="6"/>
    <x v="0"/>
    <s v="Gel Lubrificante"/>
    <s v="Lub 100G"/>
    <x v="41"/>
    <n v="313.5"/>
  </r>
  <r>
    <x v="41"/>
    <n v="2025"/>
    <x v="7"/>
    <x v="0"/>
    <s v="Gel Lubrificante"/>
    <s v="Lub 100G"/>
    <x v="41"/>
    <n v="321.2"/>
  </r>
  <r>
    <x v="41"/>
    <n v="2025"/>
    <x v="8"/>
    <x v="0"/>
    <s v="Gel Lubrificante"/>
    <s v="Lub 100G"/>
    <x v="41"/>
    <n v="357.5"/>
  </r>
  <r>
    <x v="41"/>
    <n v="2025"/>
    <x v="9"/>
    <x v="0"/>
    <s v="Gel Lubrificante"/>
    <s v="Lub 100G"/>
    <x v="41"/>
    <n v="328.9"/>
  </r>
  <r>
    <x v="41"/>
    <n v="2025"/>
    <x v="10"/>
    <x v="0"/>
    <s v="Gel Lubrificante"/>
    <s v="Lub 100G"/>
    <x v="41"/>
    <n v="360.8"/>
  </r>
  <r>
    <x v="41"/>
    <n v="2025"/>
    <x v="11"/>
    <x v="0"/>
    <s v="Gel Lubrificante"/>
    <s v="Lub 100G"/>
    <x v="41"/>
    <n v="332.2"/>
  </r>
  <r>
    <x v="42"/>
    <n v="2025"/>
    <x v="0"/>
    <x v="0"/>
    <s v="Gel Lubrificante"/>
    <s v="Lub 100G"/>
    <x v="42"/>
    <n v="0"/>
  </r>
  <r>
    <x v="42"/>
    <n v="2025"/>
    <x v="1"/>
    <x v="0"/>
    <s v="Gel Lubrificante"/>
    <s v="Lub 100G"/>
    <x v="42"/>
    <n v="0"/>
  </r>
  <r>
    <x v="42"/>
    <n v="2025"/>
    <x v="2"/>
    <x v="0"/>
    <s v="Gel Lubrificante"/>
    <s v="Lub 100G"/>
    <x v="42"/>
    <n v="0"/>
  </r>
  <r>
    <x v="42"/>
    <n v="2025"/>
    <x v="3"/>
    <x v="0"/>
    <s v="Gel Lubrificante"/>
    <s v="Lub 100G"/>
    <x v="42"/>
    <n v="0"/>
  </r>
  <r>
    <x v="42"/>
    <n v="2025"/>
    <x v="4"/>
    <x v="0"/>
    <s v="Gel Lubrificante"/>
    <s v="Lub 100G"/>
    <x v="42"/>
    <n v="434.71009999999984"/>
  </r>
  <r>
    <x v="42"/>
    <n v="2025"/>
    <x v="5"/>
    <x v="0"/>
    <s v="Gel Lubrificante"/>
    <s v="Lub 100G"/>
    <x v="42"/>
    <n v="567.04720416666657"/>
  </r>
  <r>
    <x v="42"/>
    <n v="2025"/>
    <x v="6"/>
    <x v="0"/>
    <s v="Gel Lubrificante"/>
    <s v="Lub 100G"/>
    <x v="42"/>
    <n v="1419"/>
  </r>
  <r>
    <x v="42"/>
    <n v="2025"/>
    <x v="7"/>
    <x v="0"/>
    <s v="Gel Lubrificante"/>
    <s v="Lub 100G"/>
    <x v="42"/>
    <n v="944.9"/>
  </r>
  <r>
    <x v="42"/>
    <n v="2025"/>
    <x v="8"/>
    <x v="0"/>
    <s v="Gel Lubrificante"/>
    <s v="Lub 100G"/>
    <x v="42"/>
    <n v="1097.8"/>
  </r>
  <r>
    <x v="42"/>
    <n v="2025"/>
    <x v="9"/>
    <x v="0"/>
    <s v="Gel Lubrificante"/>
    <s v="Lub 100G"/>
    <x v="42"/>
    <n v="995.5"/>
  </r>
  <r>
    <x v="42"/>
    <n v="2025"/>
    <x v="10"/>
    <x v="0"/>
    <s v="Gel Lubrificante"/>
    <s v="Lub 100G"/>
    <x v="42"/>
    <n v="1108.8"/>
  </r>
  <r>
    <x v="42"/>
    <n v="2025"/>
    <x v="11"/>
    <x v="0"/>
    <s v="Gel Lubrificante"/>
    <s v="Lub 100G"/>
    <x v="42"/>
    <n v="1078"/>
  </r>
  <r>
    <x v="43"/>
    <n v="2025"/>
    <x v="0"/>
    <x v="0"/>
    <s v="Gel Lubrificante"/>
    <s v="Lub 100G"/>
    <x v="43"/>
    <n v="0"/>
  </r>
  <r>
    <x v="43"/>
    <n v="2025"/>
    <x v="1"/>
    <x v="0"/>
    <s v="Gel Lubrificante"/>
    <s v="Lub 100G"/>
    <x v="43"/>
    <n v="0"/>
  </r>
  <r>
    <x v="43"/>
    <n v="2025"/>
    <x v="2"/>
    <x v="0"/>
    <s v="Gel Lubrificante"/>
    <s v="Lub 100G"/>
    <x v="43"/>
    <n v="0"/>
  </r>
  <r>
    <x v="43"/>
    <n v="2025"/>
    <x v="3"/>
    <x v="0"/>
    <s v="Gel Lubrificante"/>
    <s v="Lub 100G"/>
    <x v="43"/>
    <n v="0"/>
  </r>
  <r>
    <x v="43"/>
    <n v="2025"/>
    <x v="4"/>
    <x v="0"/>
    <s v="Gel Lubrificante"/>
    <s v="Lub 100G"/>
    <x v="43"/>
    <n v="174.69375000000005"/>
  </r>
  <r>
    <x v="43"/>
    <n v="2025"/>
    <x v="5"/>
    <x v="0"/>
    <s v="Gel Lubrificante"/>
    <s v="Lub 100G"/>
    <x v="43"/>
    <n v="189.19450000000001"/>
  </r>
  <r>
    <x v="43"/>
    <n v="2025"/>
    <x v="6"/>
    <x v="0"/>
    <s v="Gel Lubrificante"/>
    <s v="Lub 100G"/>
    <x v="43"/>
    <n v="423.5"/>
  </r>
  <r>
    <x v="43"/>
    <n v="2025"/>
    <x v="7"/>
    <x v="0"/>
    <s v="Gel Lubrificante"/>
    <s v="Lub 100G"/>
    <x v="43"/>
    <n v="438.9"/>
  </r>
  <r>
    <x v="43"/>
    <n v="2025"/>
    <x v="8"/>
    <x v="0"/>
    <s v="Gel Lubrificante"/>
    <s v="Lub 100G"/>
    <x v="43"/>
    <n v="464.2"/>
  </r>
  <r>
    <x v="43"/>
    <n v="2025"/>
    <x v="9"/>
    <x v="0"/>
    <s v="Gel Lubrificante"/>
    <s v="Lub 100G"/>
    <x v="43"/>
    <n v="435.6"/>
  </r>
  <r>
    <x v="43"/>
    <n v="2025"/>
    <x v="10"/>
    <x v="0"/>
    <s v="Gel Lubrificante"/>
    <s v="Lub 100G"/>
    <x v="43"/>
    <n v="453.2"/>
  </r>
  <r>
    <x v="43"/>
    <n v="2025"/>
    <x v="11"/>
    <x v="0"/>
    <s v="Gel Lubrificante"/>
    <s v="Lub 100G"/>
    <x v="43"/>
    <n v="456.5"/>
  </r>
  <r>
    <x v="44"/>
    <n v="2025"/>
    <x v="0"/>
    <x v="0"/>
    <s v="Gel Lubrificante"/>
    <s v="Lub 60G"/>
    <x v="44"/>
    <n v="0"/>
  </r>
  <r>
    <x v="44"/>
    <n v="2025"/>
    <x v="1"/>
    <x v="0"/>
    <s v="Gel Lubrificante"/>
    <s v="Lub 60G"/>
    <x v="44"/>
    <n v="0"/>
  </r>
  <r>
    <x v="44"/>
    <n v="2025"/>
    <x v="2"/>
    <x v="0"/>
    <s v="Gel Lubrificante"/>
    <s v="Lub 60G"/>
    <x v="44"/>
    <n v="0"/>
  </r>
  <r>
    <x v="44"/>
    <n v="2025"/>
    <x v="3"/>
    <x v="0"/>
    <s v="Gel Lubrificante"/>
    <s v="Lub 60G"/>
    <x v="44"/>
    <n v="0"/>
  </r>
  <r>
    <x v="44"/>
    <n v="2025"/>
    <x v="4"/>
    <x v="0"/>
    <s v="Gel Lubrificante"/>
    <s v="Lub 60G"/>
    <x v="44"/>
    <n v="143.68291666666673"/>
  </r>
  <r>
    <x v="44"/>
    <n v="2025"/>
    <x v="5"/>
    <x v="0"/>
    <s v="Gel Lubrificante"/>
    <s v="Lub 60G"/>
    <x v="44"/>
    <n v="158.53383333333335"/>
  </r>
  <r>
    <x v="44"/>
    <n v="2025"/>
    <x v="6"/>
    <x v="0"/>
    <s v="Gel Lubrificante"/>
    <s v="Lub 60G"/>
    <x v="44"/>
    <n v="319"/>
  </r>
  <r>
    <x v="44"/>
    <n v="2025"/>
    <x v="7"/>
    <x v="0"/>
    <s v="Gel Lubrificante"/>
    <s v="Lub 60G"/>
    <x v="44"/>
    <n v="390.5"/>
  </r>
  <r>
    <x v="44"/>
    <n v="2025"/>
    <x v="8"/>
    <x v="0"/>
    <s v="Gel Lubrificante"/>
    <s v="Lub 60G"/>
    <x v="44"/>
    <n v="405.9"/>
  </r>
  <r>
    <x v="44"/>
    <n v="2025"/>
    <x v="9"/>
    <x v="0"/>
    <s v="Gel Lubrificante"/>
    <s v="Lub 60G"/>
    <x v="44"/>
    <n v="328.9"/>
  </r>
  <r>
    <x v="44"/>
    <n v="2025"/>
    <x v="10"/>
    <x v="0"/>
    <s v="Gel Lubrificante"/>
    <s v="Lub 60G"/>
    <x v="44"/>
    <n v="409.2"/>
  </r>
  <r>
    <x v="44"/>
    <n v="2025"/>
    <x v="11"/>
    <x v="0"/>
    <s v="Gel Lubrificante"/>
    <s v="Lub 60G"/>
    <x v="44"/>
    <n v="357.5"/>
  </r>
  <r>
    <x v="45"/>
    <n v="2025"/>
    <x v="0"/>
    <x v="0"/>
    <s v="Intima"/>
    <s v="Wipes &amp; Softcup"/>
    <x v="45"/>
    <n v="335"/>
  </r>
  <r>
    <x v="45"/>
    <n v="2025"/>
    <x v="1"/>
    <x v="0"/>
    <s v="Intima"/>
    <s v="Wipes &amp; Softcup"/>
    <x v="45"/>
    <n v="561"/>
  </r>
  <r>
    <x v="45"/>
    <n v="2025"/>
    <x v="2"/>
    <x v="0"/>
    <s v="Intima"/>
    <s v="Wipes &amp; Softcup"/>
    <x v="45"/>
    <n v="950"/>
  </r>
  <r>
    <x v="45"/>
    <n v="2025"/>
    <x v="3"/>
    <x v="0"/>
    <s v="Intima"/>
    <s v="Wipes &amp; Softcup"/>
    <x v="45"/>
    <n v="433"/>
  </r>
  <r>
    <x v="45"/>
    <n v="2025"/>
    <x v="4"/>
    <x v="0"/>
    <s v="Intima"/>
    <s v="Wipes &amp; Softcup"/>
    <x v="45"/>
    <n v="462.339"/>
  </r>
  <r>
    <x v="45"/>
    <n v="2025"/>
    <x v="5"/>
    <x v="0"/>
    <s v="Intima"/>
    <s v="Wipes &amp; Softcup"/>
    <x v="45"/>
    <n v="664.54399999999998"/>
  </r>
  <r>
    <x v="45"/>
    <n v="2025"/>
    <x v="6"/>
    <x v="0"/>
    <s v="Intima"/>
    <s v="Wipes &amp; Softcup"/>
    <x v="45"/>
    <n v="433.92099999999999"/>
  </r>
  <r>
    <x v="45"/>
    <n v="2025"/>
    <x v="7"/>
    <x v="0"/>
    <s v="Intima"/>
    <s v="Wipes &amp; Softcup"/>
    <x v="45"/>
    <n v="426.27"/>
  </r>
  <r>
    <x v="45"/>
    <n v="2025"/>
    <x v="8"/>
    <x v="0"/>
    <s v="Intima"/>
    <s v="Wipes &amp; Softcup"/>
    <x v="45"/>
    <n v="496.22199999999998"/>
  </r>
  <r>
    <x v="45"/>
    <n v="2025"/>
    <x v="9"/>
    <x v="0"/>
    <s v="Intima"/>
    <s v="Wipes &amp; Softcup"/>
    <x v="45"/>
    <n v="487.47800000000001"/>
  </r>
  <r>
    <x v="45"/>
    <n v="2025"/>
    <x v="10"/>
    <x v="0"/>
    <s v="Intima"/>
    <s v="Wipes &amp; Softcup"/>
    <x v="45"/>
    <n v="434"/>
  </r>
  <r>
    <x v="45"/>
    <n v="2025"/>
    <x v="11"/>
    <x v="0"/>
    <s v="Intima"/>
    <s v="Wipes &amp; Softcup"/>
    <x v="45"/>
    <n v="426"/>
  </r>
  <r>
    <x v="46"/>
    <n v="2025"/>
    <x v="0"/>
    <x v="0"/>
    <s v="Intima"/>
    <s v="Wipes &amp; Softcup"/>
    <x v="46"/>
    <n v="0"/>
  </r>
  <r>
    <x v="46"/>
    <n v="2025"/>
    <x v="1"/>
    <x v="0"/>
    <s v="Intima"/>
    <s v="Wipes &amp; Softcup"/>
    <x v="46"/>
    <n v="0"/>
  </r>
  <r>
    <x v="46"/>
    <n v="2025"/>
    <x v="2"/>
    <x v="0"/>
    <s v="Intima"/>
    <s v="Wipes &amp; Softcup"/>
    <x v="46"/>
    <n v="0"/>
  </r>
  <r>
    <x v="46"/>
    <n v="2025"/>
    <x v="3"/>
    <x v="0"/>
    <s v="Intima"/>
    <s v="Wipes &amp; Softcup"/>
    <x v="46"/>
    <n v="0"/>
  </r>
  <r>
    <x v="46"/>
    <n v="2025"/>
    <x v="4"/>
    <x v="0"/>
    <s v="Intima"/>
    <s v="Wipes &amp; Softcup"/>
    <x v="46"/>
    <n v="811.00599999999997"/>
  </r>
  <r>
    <x v="46"/>
    <n v="2025"/>
    <x v="5"/>
    <x v="0"/>
    <s v="Intima"/>
    <s v="Wipes &amp; Softcup"/>
    <x v="46"/>
    <n v="950.91"/>
  </r>
  <r>
    <x v="46"/>
    <n v="2025"/>
    <x v="6"/>
    <x v="0"/>
    <s v="Intima"/>
    <s v="Wipes &amp; Softcup"/>
    <x v="46"/>
    <n v="866.74900000000002"/>
  </r>
  <r>
    <x v="46"/>
    <n v="2025"/>
    <x v="7"/>
    <x v="0"/>
    <s v="Intima"/>
    <s v="Wipes &amp; Softcup"/>
    <x v="46"/>
    <n v="909.37599999999998"/>
  </r>
  <r>
    <x v="46"/>
    <n v="2025"/>
    <x v="8"/>
    <x v="0"/>
    <s v="Intima"/>
    <s v="Wipes &amp; Softcup"/>
    <x v="46"/>
    <n v="958.56100000000004"/>
  </r>
  <r>
    <x v="46"/>
    <n v="2025"/>
    <x v="9"/>
    <x v="0"/>
    <s v="Intima"/>
    <s v="Wipes &amp; Softcup"/>
    <x v="46"/>
    <n v="882.05100000000004"/>
  </r>
  <r>
    <x v="46"/>
    <n v="2025"/>
    <x v="10"/>
    <x v="0"/>
    <s v="Intima"/>
    <s v="Wipes &amp; Softcup"/>
    <x v="46"/>
    <n v="972.77"/>
  </r>
  <r>
    <x v="46"/>
    <n v="2025"/>
    <x v="11"/>
    <x v="0"/>
    <s v="Intima"/>
    <s v="Wipes &amp; Softcup"/>
    <x v="46"/>
    <n v="1882.146"/>
  </r>
  <r>
    <x v="47"/>
    <n v="2025"/>
    <x v="0"/>
    <x v="0"/>
    <s v="RX"/>
    <s v="Aspirators"/>
    <x v="47"/>
    <n v="1346"/>
  </r>
  <r>
    <x v="47"/>
    <n v="2025"/>
    <x v="1"/>
    <x v="0"/>
    <s v="RX"/>
    <s v="Aspirators"/>
    <x v="47"/>
    <n v="383"/>
  </r>
  <r>
    <x v="47"/>
    <n v="2025"/>
    <x v="2"/>
    <x v="0"/>
    <s v="RX"/>
    <s v="Aspirators"/>
    <x v="47"/>
    <n v="895"/>
  </r>
  <r>
    <x v="47"/>
    <n v="2025"/>
    <x v="3"/>
    <x v="0"/>
    <s v="RX"/>
    <s v="Aspirators"/>
    <x v="47"/>
    <n v="760"/>
  </r>
  <r>
    <x v="47"/>
    <n v="2025"/>
    <x v="4"/>
    <x v="0"/>
    <s v="RX"/>
    <s v="Aspirators"/>
    <x v="47"/>
    <n v="1188"/>
  </r>
  <r>
    <x v="47"/>
    <n v="2025"/>
    <x v="5"/>
    <x v="0"/>
    <s v="RX"/>
    <s v="Aspirators"/>
    <x v="47"/>
    <n v="1210"/>
  </r>
  <r>
    <x v="47"/>
    <n v="2025"/>
    <x v="6"/>
    <x v="0"/>
    <s v="RX"/>
    <s v="Aspirators"/>
    <x v="47"/>
    <n v="1296"/>
  </r>
  <r>
    <x v="47"/>
    <n v="2025"/>
    <x v="7"/>
    <x v="0"/>
    <s v="RX"/>
    <s v="Aspirators"/>
    <x v="47"/>
    <n v="1058"/>
  </r>
  <r>
    <x v="47"/>
    <n v="2025"/>
    <x v="8"/>
    <x v="0"/>
    <s v="RX"/>
    <s v="Aspirators"/>
    <x v="47"/>
    <n v="1064"/>
  </r>
  <r>
    <x v="47"/>
    <n v="2025"/>
    <x v="9"/>
    <x v="0"/>
    <s v="RX"/>
    <s v="Aspirators"/>
    <x v="47"/>
    <n v="1058"/>
  </r>
  <r>
    <x v="47"/>
    <n v="2025"/>
    <x v="10"/>
    <x v="0"/>
    <s v="RX"/>
    <s v="Aspirators"/>
    <x v="47"/>
    <n v="1058"/>
  </r>
  <r>
    <x v="47"/>
    <n v="2025"/>
    <x v="11"/>
    <x v="0"/>
    <s v="RX"/>
    <s v="Aspirators"/>
    <x v="47"/>
    <n v="1058"/>
  </r>
  <r>
    <x v="48"/>
    <n v="2025"/>
    <x v="0"/>
    <x v="0"/>
    <s v="RX"/>
    <s v="Aspirators"/>
    <x v="48"/>
    <n v="215"/>
  </r>
  <r>
    <x v="48"/>
    <n v="2025"/>
    <x v="1"/>
    <x v="0"/>
    <s v="RX"/>
    <s v="Aspirators"/>
    <x v="48"/>
    <n v="271"/>
  </r>
  <r>
    <x v="48"/>
    <n v="2025"/>
    <x v="2"/>
    <x v="0"/>
    <s v="RX"/>
    <s v="Aspirators"/>
    <x v="48"/>
    <n v="303"/>
  </r>
  <r>
    <x v="48"/>
    <n v="2025"/>
    <x v="3"/>
    <x v="0"/>
    <s v="RX"/>
    <s v="Aspirators"/>
    <x v="48"/>
    <n v="420"/>
  </r>
  <r>
    <x v="48"/>
    <n v="2025"/>
    <x v="4"/>
    <x v="0"/>
    <s v="RX"/>
    <s v="Aspirators"/>
    <x v="48"/>
    <n v="363"/>
  </r>
  <r>
    <x v="48"/>
    <n v="2025"/>
    <x v="5"/>
    <x v="0"/>
    <s v="RX"/>
    <s v="Aspirators"/>
    <x v="48"/>
    <n v="266"/>
  </r>
  <r>
    <x v="48"/>
    <n v="2025"/>
    <x v="6"/>
    <x v="0"/>
    <s v="RX"/>
    <s v="Aspirators"/>
    <x v="48"/>
    <n v="372"/>
  </r>
  <r>
    <x v="48"/>
    <n v="2025"/>
    <x v="7"/>
    <x v="0"/>
    <s v="RX"/>
    <s v="Aspirators"/>
    <x v="48"/>
    <n v="381"/>
  </r>
  <r>
    <x v="48"/>
    <n v="2025"/>
    <x v="8"/>
    <x v="0"/>
    <s v="RX"/>
    <s v="Aspirators"/>
    <x v="48"/>
    <n v="363"/>
  </r>
  <r>
    <x v="48"/>
    <n v="2025"/>
    <x v="9"/>
    <x v="0"/>
    <s v="RX"/>
    <s v="Aspirators"/>
    <x v="48"/>
    <n v="363"/>
  </r>
  <r>
    <x v="48"/>
    <n v="2025"/>
    <x v="10"/>
    <x v="0"/>
    <s v="RX"/>
    <s v="Aspirators"/>
    <x v="48"/>
    <n v="264"/>
  </r>
  <r>
    <x v="48"/>
    <n v="2025"/>
    <x v="11"/>
    <x v="0"/>
    <s v="RX"/>
    <s v="Aspirators"/>
    <x v="48"/>
    <n v="264"/>
  </r>
  <r>
    <x v="49"/>
    <n v="2025"/>
    <x v="0"/>
    <x v="0"/>
    <s v="RX"/>
    <s v="Cannulae"/>
    <x v="49"/>
    <n v="748"/>
  </r>
  <r>
    <x v="49"/>
    <n v="2025"/>
    <x v="1"/>
    <x v="0"/>
    <s v="RX"/>
    <s v="Cannulae"/>
    <x v="49"/>
    <n v="155"/>
  </r>
  <r>
    <x v="49"/>
    <n v="2025"/>
    <x v="2"/>
    <x v="0"/>
    <s v="RX"/>
    <s v="Cannulae"/>
    <x v="49"/>
    <n v="464"/>
  </r>
  <r>
    <x v="49"/>
    <n v="2025"/>
    <x v="3"/>
    <x v="0"/>
    <s v="RX"/>
    <s v="Cannulae"/>
    <x v="49"/>
    <n v="176"/>
  </r>
  <r>
    <x v="49"/>
    <n v="2025"/>
    <x v="4"/>
    <x v="0"/>
    <s v="RX"/>
    <s v="Cannulae"/>
    <x v="49"/>
    <n v="759.5"/>
  </r>
  <r>
    <x v="49"/>
    <n v="2025"/>
    <x v="5"/>
    <x v="0"/>
    <s v="RX"/>
    <s v="Cannulae"/>
    <x v="49"/>
    <n v="651"/>
  </r>
  <r>
    <x v="49"/>
    <n v="2025"/>
    <x v="6"/>
    <x v="0"/>
    <s v="RX"/>
    <s v="Cannulae"/>
    <x v="49"/>
    <n v="339.60499999999996"/>
  </r>
  <r>
    <x v="49"/>
    <n v="2025"/>
    <x v="7"/>
    <x v="0"/>
    <s v="RX"/>
    <s v="Cannulae"/>
    <x v="49"/>
    <n v="340"/>
  </r>
  <r>
    <x v="49"/>
    <n v="2025"/>
    <x v="8"/>
    <x v="0"/>
    <s v="RX"/>
    <s v="Cannulae"/>
    <x v="49"/>
    <n v="340"/>
  </r>
  <r>
    <x v="49"/>
    <n v="2025"/>
    <x v="9"/>
    <x v="0"/>
    <s v="RX"/>
    <s v="Cannulae"/>
    <x v="49"/>
    <n v="340"/>
  </r>
  <r>
    <x v="49"/>
    <n v="2025"/>
    <x v="10"/>
    <x v="0"/>
    <s v="RX"/>
    <s v="Cannulae"/>
    <x v="49"/>
    <n v="340"/>
  </r>
  <r>
    <x v="49"/>
    <n v="2025"/>
    <x v="11"/>
    <x v="0"/>
    <s v="RX"/>
    <s v="Cannulae"/>
    <x v="49"/>
    <n v="340"/>
  </r>
  <r>
    <x v="50"/>
    <n v="2025"/>
    <x v="0"/>
    <x v="0"/>
    <s v="RX"/>
    <s v="Cannulae"/>
    <x v="50"/>
    <n v="682"/>
  </r>
  <r>
    <x v="50"/>
    <n v="2025"/>
    <x v="1"/>
    <x v="0"/>
    <s v="RX"/>
    <s v="Cannulae"/>
    <x v="50"/>
    <n v="256"/>
  </r>
  <r>
    <x v="50"/>
    <n v="2025"/>
    <x v="2"/>
    <x v="0"/>
    <s v="RX"/>
    <s v="Cannulae"/>
    <x v="50"/>
    <n v="872"/>
  </r>
  <r>
    <x v="50"/>
    <n v="2025"/>
    <x v="3"/>
    <x v="0"/>
    <s v="RX"/>
    <s v="Cannulae"/>
    <x v="50"/>
    <n v="545"/>
  </r>
  <r>
    <x v="50"/>
    <n v="2025"/>
    <x v="4"/>
    <x v="0"/>
    <s v="RX"/>
    <s v="Cannulae"/>
    <x v="50"/>
    <n v="651"/>
  </r>
  <r>
    <x v="50"/>
    <n v="2025"/>
    <x v="5"/>
    <x v="0"/>
    <s v="RX"/>
    <s v="Cannulae"/>
    <x v="50"/>
    <n v="760"/>
  </r>
  <r>
    <x v="50"/>
    <n v="2025"/>
    <x v="6"/>
    <x v="0"/>
    <s v="RX"/>
    <s v="Cannulae"/>
    <x v="50"/>
    <n v="709"/>
  </r>
  <r>
    <x v="50"/>
    <n v="2025"/>
    <x v="7"/>
    <x v="0"/>
    <s v="RX"/>
    <s v="Cannulae"/>
    <x v="50"/>
    <n v="716"/>
  </r>
  <r>
    <x v="50"/>
    <n v="2025"/>
    <x v="8"/>
    <x v="0"/>
    <s v="RX"/>
    <s v="Cannulae"/>
    <x v="50"/>
    <n v="716"/>
  </r>
  <r>
    <x v="50"/>
    <n v="2025"/>
    <x v="9"/>
    <x v="0"/>
    <s v="RX"/>
    <s v="Cannulae"/>
    <x v="50"/>
    <n v="738"/>
  </r>
  <r>
    <x v="50"/>
    <n v="2025"/>
    <x v="10"/>
    <x v="0"/>
    <s v="RX"/>
    <s v="Cannulae"/>
    <x v="50"/>
    <n v="738"/>
  </r>
  <r>
    <x v="50"/>
    <n v="2025"/>
    <x v="11"/>
    <x v="0"/>
    <s v="RX"/>
    <s v="Cannulae"/>
    <x v="50"/>
    <n v="716"/>
  </r>
  <r>
    <x v="51"/>
    <n v="2025"/>
    <x v="0"/>
    <x v="0"/>
    <s v="RX"/>
    <s v="Cannulae"/>
    <x v="51"/>
    <n v="1128"/>
  </r>
  <r>
    <x v="51"/>
    <n v="2025"/>
    <x v="1"/>
    <x v="0"/>
    <s v="RX"/>
    <s v="Cannulae"/>
    <x v="51"/>
    <n v="344"/>
  </r>
  <r>
    <x v="51"/>
    <n v="2025"/>
    <x v="2"/>
    <x v="0"/>
    <s v="RX"/>
    <s v="Cannulae"/>
    <x v="51"/>
    <n v="1025"/>
  </r>
  <r>
    <x v="51"/>
    <n v="2025"/>
    <x v="3"/>
    <x v="0"/>
    <s v="RX"/>
    <s v="Cannulae"/>
    <x v="51"/>
    <n v="807"/>
  </r>
  <r>
    <x v="51"/>
    <n v="2025"/>
    <x v="4"/>
    <x v="0"/>
    <s v="RX"/>
    <s v="Cannulae"/>
    <x v="51"/>
    <n v="651"/>
  </r>
  <r>
    <x v="51"/>
    <n v="2025"/>
    <x v="5"/>
    <x v="0"/>
    <s v="RX"/>
    <s v="Cannulae"/>
    <x v="51"/>
    <n v="760"/>
  </r>
  <r>
    <x v="51"/>
    <n v="2025"/>
    <x v="6"/>
    <x v="0"/>
    <s v="RX"/>
    <s v="Cannulae"/>
    <x v="51"/>
    <n v="1042"/>
  </r>
  <r>
    <x v="51"/>
    <n v="2025"/>
    <x v="7"/>
    <x v="0"/>
    <s v="RX"/>
    <s v="Cannulae"/>
    <x v="51"/>
    <n v="543"/>
  </r>
  <r>
    <x v="51"/>
    <n v="2025"/>
    <x v="8"/>
    <x v="0"/>
    <s v="RX"/>
    <s v="Cannulae"/>
    <x v="51"/>
    <n v="521"/>
  </r>
  <r>
    <x v="51"/>
    <n v="2025"/>
    <x v="9"/>
    <x v="0"/>
    <s v="RX"/>
    <s v="Cannulae"/>
    <x v="51"/>
    <n v="521"/>
  </r>
  <r>
    <x v="51"/>
    <n v="2025"/>
    <x v="10"/>
    <x v="0"/>
    <s v="RX"/>
    <s v="Cannulae"/>
    <x v="51"/>
    <n v="499"/>
  </r>
  <r>
    <x v="51"/>
    <n v="2025"/>
    <x v="11"/>
    <x v="0"/>
    <s v="RX"/>
    <s v="Cannulae"/>
    <x v="51"/>
    <n v="499"/>
  </r>
  <r>
    <x v="52"/>
    <n v="2025"/>
    <x v="0"/>
    <x v="0"/>
    <s v="RX"/>
    <s v="Cannulae"/>
    <x v="52"/>
    <n v="1189"/>
  </r>
  <r>
    <x v="52"/>
    <n v="2025"/>
    <x v="1"/>
    <x v="0"/>
    <s v="RX"/>
    <s v="Cannulae"/>
    <x v="52"/>
    <n v="407"/>
  </r>
  <r>
    <x v="52"/>
    <n v="2025"/>
    <x v="2"/>
    <x v="0"/>
    <s v="RX"/>
    <s v="Cannulae"/>
    <x v="52"/>
    <n v="1088"/>
  </r>
  <r>
    <x v="52"/>
    <n v="2025"/>
    <x v="3"/>
    <x v="0"/>
    <s v="RX"/>
    <s v="Cannulae"/>
    <x v="52"/>
    <n v="994"/>
  </r>
  <r>
    <x v="52"/>
    <n v="2025"/>
    <x v="4"/>
    <x v="0"/>
    <s v="RX"/>
    <s v="Cannulae"/>
    <x v="52"/>
    <n v="1308"/>
  </r>
  <r>
    <x v="52"/>
    <n v="2025"/>
    <x v="5"/>
    <x v="0"/>
    <s v="RX"/>
    <s v="Cannulae"/>
    <x v="52"/>
    <n v="1199"/>
  </r>
  <r>
    <x v="52"/>
    <n v="2025"/>
    <x v="6"/>
    <x v="0"/>
    <s v="RX"/>
    <s v="Cannulae"/>
    <x v="52"/>
    <n v="934"/>
  </r>
  <r>
    <x v="52"/>
    <n v="2025"/>
    <x v="7"/>
    <x v="0"/>
    <s v="RX"/>
    <s v="Cannulae"/>
    <x v="52"/>
    <n v="981"/>
  </r>
  <r>
    <x v="52"/>
    <n v="2025"/>
    <x v="8"/>
    <x v="0"/>
    <s v="RX"/>
    <s v="Cannulae"/>
    <x v="52"/>
    <n v="981"/>
  </r>
  <r>
    <x v="52"/>
    <n v="2025"/>
    <x v="9"/>
    <x v="0"/>
    <s v="RX"/>
    <s v="Cannulae"/>
    <x v="52"/>
    <n v="981"/>
  </r>
  <r>
    <x v="52"/>
    <n v="2025"/>
    <x v="10"/>
    <x v="0"/>
    <s v="RX"/>
    <s v="Cannulae"/>
    <x v="52"/>
    <n v="872"/>
  </r>
  <r>
    <x v="52"/>
    <n v="2025"/>
    <x v="11"/>
    <x v="0"/>
    <s v="RX"/>
    <s v="Cannulae"/>
    <x v="52"/>
    <n v="872"/>
  </r>
  <r>
    <x v="53"/>
    <n v="2025"/>
    <x v="0"/>
    <x v="0"/>
    <s v="RX"/>
    <s v="Cannulae"/>
    <x v="53"/>
    <n v="1150"/>
  </r>
  <r>
    <x v="53"/>
    <n v="2025"/>
    <x v="1"/>
    <x v="0"/>
    <s v="RX"/>
    <s v="Cannulae"/>
    <x v="53"/>
    <n v="351"/>
  </r>
  <r>
    <x v="53"/>
    <n v="2025"/>
    <x v="2"/>
    <x v="0"/>
    <s v="RX"/>
    <s v="Cannulae"/>
    <x v="53"/>
    <n v="1280"/>
  </r>
  <r>
    <x v="53"/>
    <n v="2025"/>
    <x v="3"/>
    <x v="0"/>
    <s v="RX"/>
    <s v="Cannulae"/>
    <x v="53"/>
    <n v="834"/>
  </r>
  <r>
    <x v="53"/>
    <n v="2025"/>
    <x v="4"/>
    <x v="0"/>
    <s v="RX"/>
    <s v="Cannulae"/>
    <x v="53"/>
    <n v="1090"/>
  </r>
  <r>
    <x v="53"/>
    <n v="2025"/>
    <x v="5"/>
    <x v="0"/>
    <s v="RX"/>
    <s v="Cannulae"/>
    <x v="53"/>
    <n v="981"/>
  </r>
  <r>
    <x v="53"/>
    <n v="2025"/>
    <x v="6"/>
    <x v="0"/>
    <s v="RX"/>
    <s v="Cannulae"/>
    <x v="53"/>
    <n v="1068"/>
  </r>
  <r>
    <x v="53"/>
    <n v="2025"/>
    <x v="7"/>
    <x v="0"/>
    <s v="RX"/>
    <s v="Cannulae"/>
    <x v="53"/>
    <n v="1068"/>
  </r>
  <r>
    <x v="53"/>
    <n v="2025"/>
    <x v="8"/>
    <x v="0"/>
    <s v="RX"/>
    <s v="Cannulae"/>
    <x v="53"/>
    <n v="1068"/>
  </r>
  <r>
    <x v="53"/>
    <n v="2025"/>
    <x v="9"/>
    <x v="0"/>
    <s v="RX"/>
    <s v="Cannulae"/>
    <x v="53"/>
    <n v="959"/>
  </r>
  <r>
    <x v="53"/>
    <n v="2025"/>
    <x v="10"/>
    <x v="0"/>
    <s v="RX"/>
    <s v="Cannulae"/>
    <x v="53"/>
    <n v="981"/>
  </r>
  <r>
    <x v="53"/>
    <n v="2025"/>
    <x v="11"/>
    <x v="0"/>
    <s v="RX"/>
    <s v="Cannulae"/>
    <x v="53"/>
    <n v="872"/>
  </r>
  <r>
    <x v="54"/>
    <n v="2025"/>
    <x v="0"/>
    <x v="0"/>
    <s v="RX"/>
    <s v="Cannulae"/>
    <x v="54"/>
    <n v="622"/>
  </r>
  <r>
    <x v="54"/>
    <n v="2025"/>
    <x v="1"/>
    <x v="0"/>
    <s v="RX"/>
    <s v="Cannulae"/>
    <x v="54"/>
    <n v="221"/>
  </r>
  <r>
    <x v="54"/>
    <n v="2025"/>
    <x v="2"/>
    <x v="0"/>
    <s v="RX"/>
    <s v="Cannulae"/>
    <x v="54"/>
    <n v="841"/>
  </r>
  <r>
    <x v="54"/>
    <n v="2025"/>
    <x v="3"/>
    <x v="0"/>
    <s v="RX"/>
    <s v="Cannulae"/>
    <x v="54"/>
    <n v="706"/>
  </r>
  <r>
    <x v="54"/>
    <n v="2025"/>
    <x v="4"/>
    <x v="0"/>
    <s v="RX"/>
    <s v="Cannulae"/>
    <x v="54"/>
    <n v="872"/>
  </r>
  <r>
    <x v="54"/>
    <n v="2025"/>
    <x v="5"/>
    <x v="0"/>
    <s v="RX"/>
    <s v="Cannulae"/>
    <x v="54"/>
    <n v="872"/>
  </r>
  <r>
    <x v="54"/>
    <n v="2025"/>
    <x v="6"/>
    <x v="0"/>
    <s v="RX"/>
    <s v="Cannulae"/>
    <x v="54"/>
    <n v="313"/>
  </r>
  <r>
    <x v="54"/>
    <n v="2025"/>
    <x v="7"/>
    <x v="0"/>
    <s v="RX"/>
    <s v="Cannulae"/>
    <x v="54"/>
    <n v="654"/>
  </r>
  <r>
    <x v="54"/>
    <n v="2025"/>
    <x v="8"/>
    <x v="0"/>
    <s v="RX"/>
    <s v="Cannulae"/>
    <x v="54"/>
    <n v="654"/>
  </r>
  <r>
    <x v="54"/>
    <n v="2025"/>
    <x v="9"/>
    <x v="0"/>
    <s v="RX"/>
    <s v="Cannulae"/>
    <x v="54"/>
    <n v="610"/>
  </r>
  <r>
    <x v="54"/>
    <n v="2025"/>
    <x v="10"/>
    <x v="0"/>
    <s v="RX"/>
    <s v="Cannulae"/>
    <x v="54"/>
    <n v="610"/>
  </r>
  <r>
    <x v="54"/>
    <n v="2025"/>
    <x v="11"/>
    <x v="0"/>
    <s v="RX"/>
    <s v="Cannulae"/>
    <x v="54"/>
    <n v="610"/>
  </r>
  <r>
    <x v="55"/>
    <n v="2025"/>
    <x v="0"/>
    <x v="0"/>
    <s v="RX"/>
    <s v="Cannulae"/>
    <x v="55"/>
    <n v="455"/>
  </r>
  <r>
    <x v="55"/>
    <n v="2025"/>
    <x v="1"/>
    <x v="0"/>
    <s v="RX"/>
    <s v="Cannulae"/>
    <x v="55"/>
    <n v="152"/>
  </r>
  <r>
    <x v="55"/>
    <n v="2025"/>
    <x v="2"/>
    <x v="0"/>
    <s v="RX"/>
    <s v="Cannulae"/>
    <x v="55"/>
    <n v="600"/>
  </r>
  <r>
    <x v="55"/>
    <n v="2025"/>
    <x v="3"/>
    <x v="0"/>
    <s v="RX"/>
    <s v="Cannulae"/>
    <x v="55"/>
    <n v="458"/>
  </r>
  <r>
    <x v="55"/>
    <n v="2025"/>
    <x v="4"/>
    <x v="0"/>
    <s v="RX"/>
    <s v="Cannulae"/>
    <x v="55"/>
    <n v="651"/>
  </r>
  <r>
    <x v="55"/>
    <n v="2025"/>
    <x v="5"/>
    <x v="0"/>
    <s v="RX"/>
    <s v="Cannulae"/>
    <x v="55"/>
    <n v="651"/>
  </r>
  <r>
    <x v="55"/>
    <n v="2025"/>
    <x v="6"/>
    <x v="0"/>
    <s v="RX"/>
    <s v="Cannulae"/>
    <x v="55"/>
    <n v="593"/>
  </r>
  <r>
    <x v="55"/>
    <n v="2025"/>
    <x v="7"/>
    <x v="0"/>
    <s v="RX"/>
    <s v="Cannulae"/>
    <x v="55"/>
    <n v="586"/>
  </r>
  <r>
    <x v="55"/>
    <n v="2025"/>
    <x v="8"/>
    <x v="0"/>
    <s v="RX"/>
    <s v="Cannulae"/>
    <x v="55"/>
    <n v="586"/>
  </r>
  <r>
    <x v="55"/>
    <n v="2025"/>
    <x v="9"/>
    <x v="0"/>
    <s v="RX"/>
    <s v="Cannulae"/>
    <x v="55"/>
    <n v="586"/>
  </r>
  <r>
    <x v="55"/>
    <n v="2025"/>
    <x v="10"/>
    <x v="0"/>
    <s v="RX"/>
    <s v="Cannulae"/>
    <x v="55"/>
    <n v="597"/>
  </r>
  <r>
    <x v="55"/>
    <n v="2025"/>
    <x v="11"/>
    <x v="0"/>
    <s v="RX"/>
    <s v="Cannulae"/>
    <x v="55"/>
    <n v="543"/>
  </r>
  <r>
    <x v="56"/>
    <n v="2025"/>
    <x v="0"/>
    <x v="0"/>
    <s v="RX"/>
    <s v="Cannulae"/>
    <x v="56"/>
    <n v="535"/>
  </r>
  <r>
    <x v="56"/>
    <n v="2025"/>
    <x v="1"/>
    <x v="0"/>
    <s v="RX"/>
    <s v="Cannulae"/>
    <x v="56"/>
    <n v="137"/>
  </r>
  <r>
    <x v="56"/>
    <n v="2025"/>
    <x v="2"/>
    <x v="0"/>
    <s v="RX"/>
    <s v="Cannulae"/>
    <x v="56"/>
    <n v="589"/>
  </r>
  <r>
    <x v="56"/>
    <n v="2025"/>
    <x v="3"/>
    <x v="0"/>
    <s v="RX"/>
    <s v="Cannulae"/>
    <x v="56"/>
    <n v="279"/>
  </r>
  <r>
    <x v="56"/>
    <n v="2025"/>
    <x v="4"/>
    <x v="0"/>
    <s v="RX"/>
    <s v="Cannulae"/>
    <x v="56"/>
    <n v="380"/>
  </r>
  <r>
    <x v="56"/>
    <n v="2025"/>
    <x v="5"/>
    <x v="0"/>
    <s v="RX"/>
    <s v="Cannulae"/>
    <x v="56"/>
    <n v="380"/>
  </r>
  <r>
    <x v="56"/>
    <n v="2025"/>
    <x v="6"/>
    <x v="0"/>
    <s v="RX"/>
    <s v="Cannulae"/>
    <x v="56"/>
    <n v="532"/>
  </r>
  <r>
    <x v="56"/>
    <n v="2025"/>
    <x v="7"/>
    <x v="0"/>
    <s v="RX"/>
    <s v="Cannulae"/>
    <x v="56"/>
    <n v="416"/>
  </r>
  <r>
    <x v="56"/>
    <n v="2025"/>
    <x v="8"/>
    <x v="0"/>
    <s v="RX"/>
    <s v="Cannulae"/>
    <x v="56"/>
    <n v="416"/>
  </r>
  <r>
    <x v="56"/>
    <n v="2025"/>
    <x v="9"/>
    <x v="0"/>
    <s v="RX"/>
    <s v="Cannulae"/>
    <x v="56"/>
    <n v="416"/>
  </r>
  <r>
    <x v="56"/>
    <n v="2025"/>
    <x v="10"/>
    <x v="0"/>
    <s v="RX"/>
    <s v="Cannulae"/>
    <x v="56"/>
    <n v="416"/>
  </r>
  <r>
    <x v="56"/>
    <n v="2025"/>
    <x v="11"/>
    <x v="0"/>
    <s v="RX"/>
    <s v="Cannulae"/>
    <x v="56"/>
    <n v="416"/>
  </r>
  <r>
    <x v="57"/>
    <n v="2025"/>
    <x v="0"/>
    <x v="0"/>
    <s v="RX"/>
    <s v="Dilators"/>
    <x v="57"/>
    <n v="2885"/>
  </r>
  <r>
    <x v="57"/>
    <n v="2025"/>
    <x v="1"/>
    <x v="0"/>
    <s v="RX"/>
    <s v="Dilators"/>
    <x v="57"/>
    <n v="1321"/>
  </r>
  <r>
    <x v="57"/>
    <n v="2025"/>
    <x v="2"/>
    <x v="0"/>
    <s v="RX"/>
    <s v="Dilators"/>
    <x v="57"/>
    <n v="4821"/>
  </r>
  <r>
    <x v="57"/>
    <n v="2025"/>
    <x v="3"/>
    <x v="0"/>
    <s v="RX"/>
    <s v="Dilators"/>
    <x v="57"/>
    <n v="4409"/>
  </r>
  <r>
    <x v="57"/>
    <n v="2025"/>
    <x v="4"/>
    <x v="0"/>
    <s v="RX"/>
    <s v="Dilators"/>
    <x v="57"/>
    <n v="5268"/>
  </r>
  <r>
    <x v="57"/>
    <n v="2025"/>
    <x v="5"/>
    <x v="0"/>
    <s v="RX"/>
    <s v="Dilators"/>
    <x v="57"/>
    <n v="5268"/>
  </r>
  <r>
    <x v="57"/>
    <n v="2025"/>
    <x v="6"/>
    <x v="0"/>
    <s v="RX"/>
    <s v="Dilators"/>
    <x v="57"/>
    <n v="5483"/>
  </r>
  <r>
    <x v="57"/>
    <n v="2025"/>
    <x v="7"/>
    <x v="0"/>
    <s v="RX"/>
    <s v="Dilators"/>
    <x v="57"/>
    <n v="6128"/>
  </r>
  <r>
    <x v="57"/>
    <n v="2025"/>
    <x v="8"/>
    <x v="0"/>
    <s v="RX"/>
    <s v="Dilators"/>
    <x v="57"/>
    <n v="6128"/>
  </r>
  <r>
    <x v="57"/>
    <n v="2025"/>
    <x v="9"/>
    <x v="0"/>
    <s v="RX"/>
    <s v="Dilators"/>
    <x v="57"/>
    <n v="6235"/>
  </r>
  <r>
    <x v="57"/>
    <n v="2025"/>
    <x v="10"/>
    <x v="0"/>
    <s v="RX"/>
    <s v="Dilators"/>
    <x v="57"/>
    <n v="6128"/>
  </r>
  <r>
    <x v="57"/>
    <n v="2025"/>
    <x v="11"/>
    <x v="0"/>
    <s v="RX"/>
    <s v="Dilators"/>
    <x v="57"/>
    <n v="6140"/>
  </r>
  <r>
    <x v="58"/>
    <n v="2025"/>
    <x v="0"/>
    <x v="0"/>
    <s v="RX"/>
    <s v="IUDs Cu &amp; IUS &amp; IUB"/>
    <x v="58"/>
    <n v="256"/>
  </r>
  <r>
    <x v="58"/>
    <n v="2025"/>
    <x v="1"/>
    <x v="0"/>
    <s v="RX"/>
    <s v="IUDs Cu &amp; IUS &amp; IUB"/>
    <x v="58"/>
    <n v="260"/>
  </r>
  <r>
    <x v="58"/>
    <n v="2025"/>
    <x v="2"/>
    <x v="0"/>
    <s v="RX"/>
    <s v="IUDs Cu &amp; IUS &amp; IUB"/>
    <x v="58"/>
    <n v="240"/>
  </r>
  <r>
    <x v="58"/>
    <n v="2025"/>
    <x v="3"/>
    <x v="0"/>
    <s v="RX"/>
    <s v="IUDs Cu &amp; IUS &amp; IUB"/>
    <x v="58"/>
    <n v="222"/>
  </r>
  <r>
    <x v="58"/>
    <n v="2025"/>
    <x v="4"/>
    <x v="0"/>
    <s v="RX"/>
    <s v="IUDs Cu &amp; IUS &amp; IUB"/>
    <x v="58"/>
    <n v="376"/>
  </r>
  <r>
    <x v="58"/>
    <n v="2025"/>
    <x v="5"/>
    <x v="0"/>
    <s v="RX"/>
    <s v="IUDs Cu &amp; IUS &amp; IUB"/>
    <x v="58"/>
    <n v="538"/>
  </r>
  <r>
    <x v="58"/>
    <n v="2025"/>
    <x v="6"/>
    <x v="0"/>
    <s v="RX"/>
    <s v="IUDs Cu &amp; IUS &amp; IUB"/>
    <x v="58"/>
    <n v="473"/>
  </r>
  <r>
    <x v="58"/>
    <n v="2025"/>
    <x v="7"/>
    <x v="0"/>
    <s v="RX"/>
    <s v="IUDs Cu &amp; IUS &amp; IUB"/>
    <x v="58"/>
    <n v="269"/>
  </r>
  <r>
    <x v="58"/>
    <n v="2025"/>
    <x v="8"/>
    <x v="0"/>
    <s v="RX"/>
    <s v="IUDs Cu &amp; IUS &amp; IUB"/>
    <x v="58"/>
    <n v="323"/>
  </r>
  <r>
    <x v="58"/>
    <n v="2025"/>
    <x v="9"/>
    <x v="0"/>
    <s v="RX"/>
    <s v="IUDs Cu &amp; IUS &amp; IUB"/>
    <x v="58"/>
    <n v="323"/>
  </r>
  <r>
    <x v="58"/>
    <n v="2025"/>
    <x v="10"/>
    <x v="0"/>
    <s v="RX"/>
    <s v="IUDs Cu &amp; IUS &amp; IUB"/>
    <x v="58"/>
    <n v="323"/>
  </r>
  <r>
    <x v="58"/>
    <n v="2025"/>
    <x v="11"/>
    <x v="0"/>
    <s v="RX"/>
    <s v="IUDs Cu &amp; IUS &amp; IUB"/>
    <x v="58"/>
    <n v="323"/>
  </r>
  <r>
    <x v="59"/>
    <n v="2025"/>
    <x v="0"/>
    <x v="0"/>
    <s v="RX"/>
    <s v="IUDs Cu &amp; IUS &amp; IUB"/>
    <x v="59"/>
    <n v="325"/>
  </r>
  <r>
    <x v="59"/>
    <n v="2025"/>
    <x v="1"/>
    <x v="0"/>
    <s v="RX"/>
    <s v="IUDs Cu &amp; IUS &amp; IUB"/>
    <x v="59"/>
    <n v="464"/>
  </r>
  <r>
    <x v="59"/>
    <n v="2025"/>
    <x v="2"/>
    <x v="0"/>
    <s v="RX"/>
    <s v="IUDs Cu &amp; IUS &amp; IUB"/>
    <x v="59"/>
    <n v="805"/>
  </r>
  <r>
    <x v="59"/>
    <n v="2025"/>
    <x v="3"/>
    <x v="0"/>
    <s v="RX"/>
    <s v="IUDs Cu &amp; IUS &amp; IUB"/>
    <x v="59"/>
    <n v="473"/>
  </r>
  <r>
    <x v="59"/>
    <n v="2025"/>
    <x v="4"/>
    <x v="0"/>
    <s v="RX"/>
    <s v="IUDs Cu &amp; IUS &amp; IUB"/>
    <x v="59"/>
    <n v="449"/>
  </r>
  <r>
    <x v="59"/>
    <n v="2025"/>
    <x v="5"/>
    <x v="0"/>
    <s v="RX"/>
    <s v="IUDs Cu &amp; IUS &amp; IUB"/>
    <x v="59"/>
    <n v="524"/>
  </r>
  <r>
    <x v="59"/>
    <n v="2025"/>
    <x v="6"/>
    <x v="0"/>
    <s v="RX"/>
    <s v="IUDs Cu &amp; IUS &amp; IUB"/>
    <x v="59"/>
    <n v="524"/>
  </r>
  <r>
    <x v="59"/>
    <n v="2025"/>
    <x v="7"/>
    <x v="0"/>
    <s v="RX"/>
    <s v="IUDs Cu &amp; IUS &amp; IUB"/>
    <x v="59"/>
    <n v="589"/>
  </r>
  <r>
    <x v="59"/>
    <n v="2025"/>
    <x v="8"/>
    <x v="0"/>
    <s v="RX"/>
    <s v="IUDs Cu &amp; IUS &amp; IUB"/>
    <x v="59"/>
    <n v="642"/>
  </r>
  <r>
    <x v="59"/>
    <n v="2025"/>
    <x v="9"/>
    <x v="0"/>
    <s v="RX"/>
    <s v="IUDs Cu &amp; IUS &amp; IUB"/>
    <x v="59"/>
    <n v="642"/>
  </r>
  <r>
    <x v="59"/>
    <n v="2025"/>
    <x v="10"/>
    <x v="0"/>
    <s v="RX"/>
    <s v="IUDs Cu &amp; IUS &amp; IUB"/>
    <x v="59"/>
    <n v="642"/>
  </r>
  <r>
    <x v="59"/>
    <n v="2025"/>
    <x v="11"/>
    <x v="0"/>
    <s v="RX"/>
    <s v="IUDs Cu &amp; IUS &amp; IUB"/>
    <x v="59"/>
    <n v="610"/>
  </r>
  <r>
    <x v="60"/>
    <n v="2025"/>
    <x v="0"/>
    <x v="0"/>
    <s v="RX"/>
    <s v="IUDs Cu &amp; IUS &amp; IUB"/>
    <x v="60"/>
    <n v="1348"/>
  </r>
  <r>
    <x v="60"/>
    <n v="2025"/>
    <x v="1"/>
    <x v="0"/>
    <s v="RX"/>
    <s v="IUDs Cu &amp; IUS &amp; IUB"/>
    <x v="60"/>
    <n v="1754"/>
  </r>
  <r>
    <x v="60"/>
    <n v="2025"/>
    <x v="2"/>
    <x v="0"/>
    <s v="RX"/>
    <s v="IUDs Cu &amp; IUS &amp; IUB"/>
    <x v="60"/>
    <n v="2894"/>
  </r>
  <r>
    <x v="60"/>
    <n v="2025"/>
    <x v="3"/>
    <x v="0"/>
    <s v="RX"/>
    <s v="IUDs Cu &amp; IUS &amp; IUB"/>
    <x v="60"/>
    <n v="1719"/>
  </r>
  <r>
    <x v="60"/>
    <n v="2025"/>
    <x v="4"/>
    <x v="0"/>
    <s v="RX"/>
    <s v="IUDs Cu &amp; IUS &amp; IUB"/>
    <x v="60"/>
    <n v="3127"/>
  </r>
  <r>
    <x v="60"/>
    <n v="2025"/>
    <x v="5"/>
    <x v="0"/>
    <s v="RX"/>
    <s v="IUDs Cu &amp; IUS &amp; IUB"/>
    <x v="60"/>
    <n v="2862"/>
  </r>
  <r>
    <x v="60"/>
    <n v="2025"/>
    <x v="6"/>
    <x v="0"/>
    <s v="RX"/>
    <s v="IUDs Cu &amp; IUS &amp; IUB"/>
    <x v="60"/>
    <n v="2438"/>
  </r>
  <r>
    <x v="60"/>
    <n v="2025"/>
    <x v="7"/>
    <x v="0"/>
    <s v="RX"/>
    <s v="IUDs Cu &amp; IUS &amp; IUB"/>
    <x v="60"/>
    <n v="2417"/>
  </r>
  <r>
    <x v="60"/>
    <n v="2025"/>
    <x v="8"/>
    <x v="0"/>
    <s v="RX"/>
    <s v="IUDs Cu &amp; IUS &amp; IUB"/>
    <x v="60"/>
    <n v="2544"/>
  </r>
  <r>
    <x v="60"/>
    <n v="2025"/>
    <x v="9"/>
    <x v="0"/>
    <s v="RX"/>
    <s v="IUDs Cu &amp; IUS &amp; IUB"/>
    <x v="60"/>
    <n v="2226"/>
  </r>
  <r>
    <x v="60"/>
    <n v="2025"/>
    <x v="10"/>
    <x v="0"/>
    <s v="RX"/>
    <s v="IUDs Cu &amp; IUS &amp; IUB"/>
    <x v="60"/>
    <n v="2332"/>
  </r>
  <r>
    <x v="60"/>
    <n v="2025"/>
    <x v="11"/>
    <x v="0"/>
    <s v="RX"/>
    <s v="IUDs Cu &amp; IUS &amp; IUB"/>
    <x v="60"/>
    <n v="2756"/>
  </r>
  <r>
    <x v="61"/>
    <n v="2025"/>
    <x v="0"/>
    <x v="0"/>
    <s v="RX"/>
    <s v="IUDs Cu &amp; IUS &amp; IUB"/>
    <x v="61"/>
    <n v="395"/>
  </r>
  <r>
    <x v="61"/>
    <n v="2025"/>
    <x v="1"/>
    <x v="0"/>
    <s v="RX"/>
    <s v="IUDs Cu &amp; IUS &amp; IUB"/>
    <x v="61"/>
    <n v="875"/>
  </r>
  <r>
    <x v="61"/>
    <n v="2025"/>
    <x v="2"/>
    <x v="0"/>
    <s v="RX"/>
    <s v="IUDs Cu &amp; IUS &amp; IUB"/>
    <x v="61"/>
    <n v="1356"/>
  </r>
  <r>
    <x v="61"/>
    <n v="2025"/>
    <x v="3"/>
    <x v="0"/>
    <s v="RX"/>
    <s v="IUDs Cu &amp; IUS &amp; IUB"/>
    <x v="61"/>
    <n v="814"/>
  </r>
  <r>
    <x v="61"/>
    <n v="2025"/>
    <x v="4"/>
    <x v="0"/>
    <s v="RX"/>
    <s v="IUDs Cu &amp; IUS &amp; IUB"/>
    <x v="61"/>
    <n v="1484"/>
  </r>
  <r>
    <x v="61"/>
    <n v="2025"/>
    <x v="5"/>
    <x v="0"/>
    <s v="RX"/>
    <s v="IUDs Cu &amp; IUS &amp; IUB"/>
    <x v="61"/>
    <n v="1380"/>
  </r>
  <r>
    <x v="61"/>
    <n v="2025"/>
    <x v="6"/>
    <x v="0"/>
    <s v="RX"/>
    <s v="IUDs Cu &amp; IUS &amp; IUB"/>
    <x v="61"/>
    <n v="1272"/>
  </r>
  <r>
    <x v="61"/>
    <n v="2025"/>
    <x v="7"/>
    <x v="0"/>
    <s v="RX"/>
    <s v="IUDs Cu &amp; IUS &amp; IUB"/>
    <x v="61"/>
    <n v="1215"/>
  </r>
  <r>
    <x v="61"/>
    <n v="2025"/>
    <x v="8"/>
    <x v="0"/>
    <s v="RX"/>
    <s v="IUDs Cu &amp; IUS &amp; IUB"/>
    <x v="61"/>
    <n v="1378"/>
  </r>
  <r>
    <x v="61"/>
    <n v="2025"/>
    <x v="9"/>
    <x v="0"/>
    <s v="RX"/>
    <s v="IUDs Cu &amp; IUS &amp; IUB"/>
    <x v="61"/>
    <n v="1378"/>
  </r>
  <r>
    <x v="61"/>
    <n v="2025"/>
    <x v="10"/>
    <x v="0"/>
    <s v="RX"/>
    <s v="IUDs Cu &amp; IUS &amp; IUB"/>
    <x v="61"/>
    <n v="1378"/>
  </r>
  <r>
    <x v="61"/>
    <n v="2025"/>
    <x v="11"/>
    <x v="0"/>
    <s v="RX"/>
    <s v="IUDs Cu &amp; IUS &amp; IUB"/>
    <x v="61"/>
    <n v="1378"/>
  </r>
  <r>
    <x v="62"/>
    <n v="2025"/>
    <x v="0"/>
    <x v="0"/>
    <s v="RX"/>
    <s v="IUDs Cu &amp; IUS &amp; IUB"/>
    <x v="62"/>
    <n v="0"/>
  </r>
  <r>
    <x v="62"/>
    <n v="2025"/>
    <x v="1"/>
    <x v="0"/>
    <s v="RX"/>
    <s v="IUDs Cu &amp; IUS &amp; IUB"/>
    <x v="62"/>
    <n v="200"/>
  </r>
  <r>
    <x v="62"/>
    <n v="2025"/>
    <x v="2"/>
    <x v="0"/>
    <s v="RX"/>
    <s v="IUDs Cu &amp; IUS &amp; IUB"/>
    <x v="62"/>
    <n v="512"/>
  </r>
  <r>
    <x v="62"/>
    <n v="2025"/>
    <x v="3"/>
    <x v="0"/>
    <s v="RX"/>
    <s v="IUDs Cu &amp; IUS &amp; IUB"/>
    <x v="62"/>
    <n v="325"/>
  </r>
  <r>
    <x v="62"/>
    <n v="2025"/>
    <x v="4"/>
    <x v="0"/>
    <s v="RX"/>
    <s v="IUDs Cu &amp; IUS &amp; IUB"/>
    <x v="62"/>
    <n v="150"/>
  </r>
  <r>
    <x v="62"/>
    <n v="2025"/>
    <x v="5"/>
    <x v="0"/>
    <s v="RX"/>
    <s v="IUDs Cu &amp; IUS &amp; IUB"/>
    <x v="62"/>
    <n v="150"/>
  </r>
  <r>
    <x v="62"/>
    <n v="2025"/>
    <x v="6"/>
    <x v="0"/>
    <s v="RX"/>
    <s v="IUDs Cu &amp; IUS &amp; IUB"/>
    <x v="62"/>
    <n v="150"/>
  </r>
  <r>
    <x v="62"/>
    <n v="2025"/>
    <x v="7"/>
    <x v="0"/>
    <s v="RX"/>
    <s v="IUDs Cu &amp; IUS &amp; IUB"/>
    <x v="62"/>
    <n v="235"/>
  </r>
  <r>
    <x v="62"/>
    <n v="2025"/>
    <x v="8"/>
    <x v="0"/>
    <s v="RX"/>
    <s v="IUDs Cu &amp; IUS &amp; IUB"/>
    <x v="62"/>
    <n v="535"/>
  </r>
  <r>
    <x v="62"/>
    <n v="2025"/>
    <x v="9"/>
    <x v="0"/>
    <s v="RX"/>
    <s v="IUDs Cu &amp; IUS &amp; IUB"/>
    <x v="62"/>
    <n v="535"/>
  </r>
  <r>
    <x v="62"/>
    <n v="2025"/>
    <x v="10"/>
    <x v="0"/>
    <s v="RX"/>
    <s v="IUDs Cu &amp; IUS &amp; IUB"/>
    <x v="62"/>
    <n v="534"/>
  </r>
  <r>
    <x v="62"/>
    <n v="2025"/>
    <x v="11"/>
    <x v="0"/>
    <s v="RX"/>
    <s v="IUDs Cu &amp; IUS &amp; IUB"/>
    <x v="62"/>
    <n v="534"/>
  </r>
  <r>
    <x v="63"/>
    <n v="2025"/>
    <x v="0"/>
    <x v="0"/>
    <s v="RX"/>
    <s v="IUDs Cu &amp; IUS &amp; IUB"/>
    <x v="63"/>
    <n v="53"/>
  </r>
  <r>
    <x v="63"/>
    <n v="2025"/>
    <x v="1"/>
    <x v="0"/>
    <s v="RX"/>
    <s v="IUDs Cu &amp; IUS &amp; IUB"/>
    <x v="63"/>
    <n v="177"/>
  </r>
  <r>
    <x v="63"/>
    <n v="2025"/>
    <x v="2"/>
    <x v="0"/>
    <s v="RX"/>
    <s v="IUDs Cu &amp; IUS &amp; IUB"/>
    <x v="63"/>
    <n v="287"/>
  </r>
  <r>
    <x v="63"/>
    <n v="2025"/>
    <x v="3"/>
    <x v="0"/>
    <s v="RX"/>
    <s v="IUDs Cu &amp; IUS &amp; IUB"/>
    <x v="63"/>
    <n v="200"/>
  </r>
  <r>
    <x v="63"/>
    <n v="2025"/>
    <x v="4"/>
    <x v="0"/>
    <s v="RX"/>
    <s v="IUDs Cu &amp; IUS &amp; IUB"/>
    <x v="63"/>
    <n v="64"/>
  </r>
  <r>
    <x v="63"/>
    <n v="2025"/>
    <x v="5"/>
    <x v="0"/>
    <s v="RX"/>
    <s v="IUDs Cu &amp; IUS &amp; IUB"/>
    <x v="63"/>
    <n v="64"/>
  </r>
  <r>
    <x v="63"/>
    <n v="2025"/>
    <x v="6"/>
    <x v="0"/>
    <s v="RX"/>
    <s v="IUDs Cu &amp; IUS &amp; IUB"/>
    <x v="63"/>
    <n v="150"/>
  </r>
  <r>
    <x v="63"/>
    <n v="2025"/>
    <x v="7"/>
    <x v="0"/>
    <s v="RX"/>
    <s v="IUDs Cu &amp; IUS &amp; IUB"/>
    <x v="63"/>
    <n v="214"/>
  </r>
  <r>
    <x v="63"/>
    <n v="2025"/>
    <x v="8"/>
    <x v="0"/>
    <s v="RX"/>
    <s v="IUDs Cu &amp; IUS &amp; IUB"/>
    <x v="63"/>
    <n v="321"/>
  </r>
  <r>
    <x v="63"/>
    <n v="2025"/>
    <x v="9"/>
    <x v="0"/>
    <s v="RX"/>
    <s v="IUDs Cu &amp; IUS &amp; IUB"/>
    <x v="63"/>
    <n v="321"/>
  </r>
  <r>
    <x v="63"/>
    <n v="2025"/>
    <x v="10"/>
    <x v="0"/>
    <s v="RX"/>
    <s v="IUDs Cu &amp; IUS &amp; IUB"/>
    <x v="63"/>
    <n v="321"/>
  </r>
  <r>
    <x v="63"/>
    <n v="2025"/>
    <x v="11"/>
    <x v="0"/>
    <s v="RX"/>
    <s v="IUDs Cu &amp; IUS &amp; IUB"/>
    <x v="63"/>
    <n v="428"/>
  </r>
  <r>
    <x v="64"/>
    <n v="2025"/>
    <x v="0"/>
    <x v="0"/>
    <s v="RX"/>
    <s v="Hysterometer"/>
    <x v="64"/>
    <n v="2985"/>
  </r>
  <r>
    <x v="64"/>
    <n v="2025"/>
    <x v="1"/>
    <x v="0"/>
    <s v="RX"/>
    <s v="Hysterometer"/>
    <x v="64"/>
    <n v="3710"/>
  </r>
  <r>
    <x v="64"/>
    <n v="2025"/>
    <x v="2"/>
    <x v="0"/>
    <s v="RX"/>
    <s v="Hysterometer"/>
    <x v="64"/>
    <n v="5836"/>
  </r>
  <r>
    <x v="64"/>
    <n v="2025"/>
    <x v="3"/>
    <x v="0"/>
    <s v="RX"/>
    <s v="Hysterometer"/>
    <x v="64"/>
    <n v="1028"/>
  </r>
  <r>
    <x v="64"/>
    <n v="2025"/>
    <x v="4"/>
    <x v="0"/>
    <s v="RX"/>
    <s v="Hysterometer"/>
    <x v="64"/>
    <n v="8072"/>
  </r>
  <r>
    <x v="64"/>
    <n v="2025"/>
    <x v="5"/>
    <x v="0"/>
    <s v="RX"/>
    <s v="Hysterometer"/>
    <x v="64"/>
    <n v="8000"/>
  </r>
  <r>
    <x v="64"/>
    <n v="2025"/>
    <x v="6"/>
    <x v="0"/>
    <s v="RX"/>
    <s v="Hysterometer"/>
    <x v="64"/>
    <n v="7200"/>
  </r>
  <r>
    <x v="64"/>
    <n v="2025"/>
    <x v="7"/>
    <x v="0"/>
    <s v="RX"/>
    <s v="Hysterometer"/>
    <x v="64"/>
    <n v="7200"/>
  </r>
  <r>
    <x v="64"/>
    <n v="2025"/>
    <x v="8"/>
    <x v="0"/>
    <s v="RX"/>
    <s v="Hysterometer"/>
    <x v="64"/>
    <n v="7200"/>
  </r>
  <r>
    <x v="64"/>
    <n v="2025"/>
    <x v="9"/>
    <x v="0"/>
    <s v="RX"/>
    <s v="Hysterometer"/>
    <x v="64"/>
    <n v="7200"/>
  </r>
  <r>
    <x v="64"/>
    <n v="2025"/>
    <x v="10"/>
    <x v="0"/>
    <s v="RX"/>
    <s v="Hysterometer"/>
    <x v="64"/>
    <n v="7600"/>
  </r>
  <r>
    <x v="64"/>
    <n v="2025"/>
    <x v="11"/>
    <x v="0"/>
    <s v="RX"/>
    <s v="Hysterometer"/>
    <x v="64"/>
    <n v="7600"/>
  </r>
  <r>
    <x v="65"/>
    <n v="2025"/>
    <x v="0"/>
    <x v="0"/>
    <s v="RX"/>
    <s v="Injetable"/>
    <x v="65"/>
    <n v="300"/>
  </r>
  <r>
    <x v="65"/>
    <n v="2025"/>
    <x v="1"/>
    <x v="0"/>
    <s v="RX"/>
    <s v="Injetable"/>
    <x v="65"/>
    <n v="3000"/>
  </r>
  <r>
    <x v="65"/>
    <n v="2025"/>
    <x v="2"/>
    <x v="0"/>
    <s v="RX"/>
    <s v="Injetable"/>
    <x v="65"/>
    <n v="8700"/>
  </r>
  <r>
    <x v="65"/>
    <n v="2025"/>
    <x v="3"/>
    <x v="0"/>
    <s v="RX"/>
    <s v="Injetable"/>
    <x v="65"/>
    <n v="800"/>
  </r>
  <r>
    <x v="65"/>
    <n v="2025"/>
    <x v="4"/>
    <x v="0"/>
    <s v="RX"/>
    <s v="Injetable"/>
    <x v="65"/>
    <n v="1000"/>
  </r>
  <r>
    <x v="65"/>
    <n v="2025"/>
    <x v="5"/>
    <x v="0"/>
    <s v="RX"/>
    <s v="Injetable"/>
    <x v="65"/>
    <n v="1000"/>
  </r>
  <r>
    <x v="65"/>
    <n v="2025"/>
    <x v="6"/>
    <x v="0"/>
    <s v="RX"/>
    <s v="Injetable"/>
    <x v="65"/>
    <n v="1000"/>
  </r>
  <r>
    <x v="65"/>
    <n v="2025"/>
    <x v="7"/>
    <x v="0"/>
    <s v="RX"/>
    <s v="Injetable"/>
    <x v="65"/>
    <n v="1000"/>
  </r>
  <r>
    <x v="65"/>
    <n v="2025"/>
    <x v="8"/>
    <x v="0"/>
    <s v="RX"/>
    <s v="Injetable"/>
    <x v="65"/>
    <n v="1000"/>
  </r>
  <r>
    <x v="65"/>
    <n v="2025"/>
    <x v="9"/>
    <x v="0"/>
    <s v="RX"/>
    <s v="Injetable"/>
    <x v="65"/>
    <n v="1000"/>
  </r>
  <r>
    <x v="65"/>
    <n v="2025"/>
    <x v="10"/>
    <x v="0"/>
    <s v="RX"/>
    <s v="Injetable"/>
    <x v="65"/>
    <n v="1000"/>
  </r>
  <r>
    <x v="65"/>
    <n v="2025"/>
    <x v="11"/>
    <x v="0"/>
    <s v="RX"/>
    <s v="Injetable"/>
    <x v="65"/>
    <n v="1000"/>
  </r>
  <r>
    <x v="66"/>
    <n v="2025"/>
    <x v="0"/>
    <x v="0"/>
    <s v="RX"/>
    <s v="EC"/>
    <x v="66"/>
    <n v="25380"/>
  </r>
  <r>
    <x v="66"/>
    <n v="2025"/>
    <x v="1"/>
    <x v="0"/>
    <s v="RX"/>
    <s v="EC"/>
    <x v="66"/>
    <n v="56080"/>
  </r>
  <r>
    <x v="66"/>
    <n v="2025"/>
    <x v="2"/>
    <x v="0"/>
    <s v="RX"/>
    <s v="EC"/>
    <x v="66"/>
    <n v="32580"/>
  </r>
  <r>
    <x v="66"/>
    <n v="2025"/>
    <x v="3"/>
    <x v="0"/>
    <s v="RX"/>
    <s v="EC"/>
    <x v="66"/>
    <n v="361080"/>
  </r>
  <r>
    <x v="66"/>
    <n v="2025"/>
    <x v="4"/>
    <x v="0"/>
    <s v="RX"/>
    <s v="EC"/>
    <x v="66"/>
    <n v="20000"/>
  </r>
  <r>
    <x v="66"/>
    <n v="2025"/>
    <x v="5"/>
    <x v="0"/>
    <s v="RX"/>
    <s v="EC"/>
    <x v="66"/>
    <n v="110000"/>
  </r>
  <r>
    <x v="66"/>
    <n v="2025"/>
    <x v="6"/>
    <x v="0"/>
    <s v="RX"/>
    <s v="EC"/>
    <x v="66"/>
    <n v="120000"/>
  </r>
  <r>
    <x v="66"/>
    <n v="2025"/>
    <x v="7"/>
    <x v="0"/>
    <s v="RX"/>
    <s v="EC"/>
    <x v="66"/>
    <n v="120000"/>
  </r>
  <r>
    <x v="66"/>
    <n v="2025"/>
    <x v="8"/>
    <x v="0"/>
    <s v="RX"/>
    <s v="EC"/>
    <x v="66"/>
    <n v="120000"/>
  </r>
  <r>
    <x v="66"/>
    <n v="2025"/>
    <x v="9"/>
    <x v="0"/>
    <s v="RX"/>
    <s v="EC"/>
    <x v="66"/>
    <n v="120000"/>
  </r>
  <r>
    <x v="66"/>
    <n v="2025"/>
    <x v="10"/>
    <x v="0"/>
    <s v="RX"/>
    <s v="EC"/>
    <x v="66"/>
    <n v="100000"/>
  </r>
  <r>
    <x v="66"/>
    <n v="2025"/>
    <x v="11"/>
    <x v="0"/>
    <s v="RX"/>
    <s v="EC"/>
    <x v="66"/>
    <n v="150000"/>
  </r>
  <r>
    <x v="0"/>
    <n v="2024"/>
    <x v="0"/>
    <x v="1"/>
    <s v="Preservativo Masculino"/>
    <s v="Básico"/>
    <x v="0"/>
    <n v="0"/>
  </r>
  <r>
    <x v="0"/>
    <n v="2024"/>
    <x v="1"/>
    <x v="1"/>
    <s v="Preservativo Masculino"/>
    <s v="Básico"/>
    <x v="0"/>
    <n v="0"/>
  </r>
  <r>
    <x v="0"/>
    <n v="2024"/>
    <x v="2"/>
    <x v="1"/>
    <s v="Preservativo Masculino"/>
    <s v="Básico"/>
    <x v="0"/>
    <n v="0"/>
  </r>
  <r>
    <x v="0"/>
    <n v="2024"/>
    <x v="3"/>
    <x v="1"/>
    <s v="Preservativo Masculino"/>
    <s v="Básico"/>
    <x v="0"/>
    <n v="0"/>
  </r>
  <r>
    <x v="0"/>
    <n v="2024"/>
    <x v="4"/>
    <x v="1"/>
    <s v="Preservativo Masculino"/>
    <s v="Básico"/>
    <x v="0"/>
    <n v="0"/>
  </r>
  <r>
    <x v="0"/>
    <n v="2024"/>
    <x v="5"/>
    <x v="1"/>
    <s v="Preservativo Masculino"/>
    <s v="Básico"/>
    <x v="0"/>
    <n v="0"/>
  </r>
  <r>
    <x v="0"/>
    <n v="2024"/>
    <x v="6"/>
    <x v="1"/>
    <s v="Preservativo Masculino"/>
    <s v="Básico"/>
    <x v="0"/>
    <n v="0"/>
  </r>
  <r>
    <x v="0"/>
    <n v="2024"/>
    <x v="7"/>
    <x v="1"/>
    <s v="Preservativo Masculino"/>
    <s v="Básico"/>
    <x v="0"/>
    <n v="0"/>
  </r>
  <r>
    <x v="0"/>
    <n v="2024"/>
    <x v="8"/>
    <x v="1"/>
    <s v="Preservativo Masculino"/>
    <s v="Básico"/>
    <x v="0"/>
    <n v="14619"/>
  </r>
  <r>
    <x v="0"/>
    <n v="2024"/>
    <x v="9"/>
    <x v="1"/>
    <s v="Preservativo Masculino"/>
    <s v="Básico"/>
    <x v="0"/>
    <n v="16673"/>
  </r>
  <r>
    <x v="0"/>
    <n v="2024"/>
    <x v="10"/>
    <x v="1"/>
    <s v="Preservativo Masculino"/>
    <s v="Básico"/>
    <x v="0"/>
    <n v="7285"/>
  </r>
  <r>
    <x v="0"/>
    <n v="2024"/>
    <x v="11"/>
    <x v="1"/>
    <s v="Preservativo Masculino"/>
    <s v="Básico"/>
    <x v="0"/>
    <n v="478"/>
  </r>
  <r>
    <x v="1"/>
    <n v="2024"/>
    <x v="0"/>
    <x v="1"/>
    <s v="Preservativo Masculino"/>
    <s v="Básico"/>
    <x v="1"/>
    <n v="0"/>
  </r>
  <r>
    <x v="1"/>
    <n v="2024"/>
    <x v="1"/>
    <x v="1"/>
    <s v="Preservativo Masculino"/>
    <s v="Básico"/>
    <x v="1"/>
    <n v="0"/>
  </r>
  <r>
    <x v="1"/>
    <n v="2024"/>
    <x v="2"/>
    <x v="1"/>
    <s v="Preservativo Masculino"/>
    <s v="Básico"/>
    <x v="1"/>
    <n v="0"/>
  </r>
  <r>
    <x v="1"/>
    <n v="2024"/>
    <x v="3"/>
    <x v="1"/>
    <s v="Preservativo Masculino"/>
    <s v="Básico"/>
    <x v="1"/>
    <n v="0"/>
  </r>
  <r>
    <x v="1"/>
    <n v="2024"/>
    <x v="4"/>
    <x v="1"/>
    <s v="Preservativo Masculino"/>
    <s v="Básico"/>
    <x v="1"/>
    <n v="0"/>
  </r>
  <r>
    <x v="1"/>
    <n v="2024"/>
    <x v="5"/>
    <x v="1"/>
    <s v="Preservativo Masculino"/>
    <s v="Básico"/>
    <x v="1"/>
    <n v="0"/>
  </r>
  <r>
    <x v="1"/>
    <n v="2024"/>
    <x v="6"/>
    <x v="1"/>
    <s v="Preservativo Masculino"/>
    <s v="Básico"/>
    <x v="1"/>
    <n v="0"/>
  </r>
  <r>
    <x v="1"/>
    <n v="2024"/>
    <x v="7"/>
    <x v="1"/>
    <s v="Preservativo Masculino"/>
    <s v="Básico"/>
    <x v="1"/>
    <n v="0"/>
  </r>
  <r>
    <x v="1"/>
    <n v="2024"/>
    <x v="8"/>
    <x v="1"/>
    <s v="Preservativo Masculino"/>
    <s v="Básico"/>
    <x v="1"/>
    <n v="12592"/>
  </r>
  <r>
    <x v="1"/>
    <n v="2024"/>
    <x v="9"/>
    <x v="1"/>
    <s v="Preservativo Masculino"/>
    <s v="Básico"/>
    <x v="1"/>
    <n v="11854"/>
  </r>
  <r>
    <x v="1"/>
    <n v="2024"/>
    <x v="10"/>
    <x v="1"/>
    <s v="Preservativo Masculino"/>
    <s v="Básico"/>
    <x v="1"/>
    <n v="6727"/>
  </r>
  <r>
    <x v="1"/>
    <n v="2024"/>
    <x v="11"/>
    <x v="1"/>
    <s v="Preservativo Masculino"/>
    <s v="Básico"/>
    <x v="1"/>
    <n v="5995"/>
  </r>
  <r>
    <x v="2"/>
    <n v="2024"/>
    <x v="0"/>
    <x v="1"/>
    <s v="Preservativo Masculino"/>
    <s v="Básico"/>
    <x v="2"/>
    <n v="0"/>
  </r>
  <r>
    <x v="2"/>
    <n v="2024"/>
    <x v="1"/>
    <x v="1"/>
    <s v="Preservativo Masculino"/>
    <s v="Básico"/>
    <x v="2"/>
    <n v="0"/>
  </r>
  <r>
    <x v="2"/>
    <n v="2024"/>
    <x v="2"/>
    <x v="1"/>
    <s v="Preservativo Masculino"/>
    <s v="Básico"/>
    <x v="2"/>
    <n v="0"/>
  </r>
  <r>
    <x v="2"/>
    <n v="2024"/>
    <x v="3"/>
    <x v="1"/>
    <s v="Preservativo Masculino"/>
    <s v="Básico"/>
    <x v="2"/>
    <n v="0"/>
  </r>
  <r>
    <x v="2"/>
    <n v="2024"/>
    <x v="4"/>
    <x v="1"/>
    <s v="Preservativo Masculino"/>
    <s v="Básico"/>
    <x v="2"/>
    <n v="0"/>
  </r>
  <r>
    <x v="2"/>
    <n v="2024"/>
    <x v="5"/>
    <x v="1"/>
    <s v="Preservativo Masculino"/>
    <s v="Básico"/>
    <x v="2"/>
    <n v="0"/>
  </r>
  <r>
    <x v="2"/>
    <n v="2024"/>
    <x v="6"/>
    <x v="1"/>
    <s v="Preservativo Masculino"/>
    <s v="Básico"/>
    <x v="2"/>
    <n v="0"/>
  </r>
  <r>
    <x v="2"/>
    <n v="2024"/>
    <x v="7"/>
    <x v="1"/>
    <s v="Preservativo Masculino"/>
    <s v="Básico"/>
    <x v="2"/>
    <n v="0"/>
  </r>
  <r>
    <x v="2"/>
    <n v="2024"/>
    <x v="8"/>
    <x v="1"/>
    <s v="Preservativo Masculino"/>
    <s v="Básico"/>
    <x v="2"/>
    <n v="5201"/>
  </r>
  <r>
    <x v="2"/>
    <n v="2024"/>
    <x v="9"/>
    <x v="1"/>
    <s v="Preservativo Masculino"/>
    <s v="Básico"/>
    <x v="2"/>
    <n v="2790"/>
  </r>
  <r>
    <x v="2"/>
    <n v="2024"/>
    <x v="10"/>
    <x v="1"/>
    <s v="Preservativo Masculino"/>
    <s v="Básico"/>
    <x v="2"/>
    <n v="4753"/>
  </r>
  <r>
    <x v="2"/>
    <n v="2024"/>
    <x v="11"/>
    <x v="1"/>
    <s v="Preservativo Masculino"/>
    <s v="Básico"/>
    <x v="2"/>
    <n v="2894"/>
  </r>
  <r>
    <x v="3"/>
    <n v="2024"/>
    <x v="0"/>
    <x v="1"/>
    <s v="Preservativo Masculino"/>
    <s v="Cores e Sabores"/>
    <x v="3"/>
    <n v="0"/>
  </r>
  <r>
    <x v="3"/>
    <n v="2024"/>
    <x v="1"/>
    <x v="1"/>
    <s v="Preservativo Masculino"/>
    <s v="Cores e Sabores"/>
    <x v="3"/>
    <n v="0"/>
  </r>
  <r>
    <x v="3"/>
    <n v="2024"/>
    <x v="2"/>
    <x v="1"/>
    <s v="Preservativo Masculino"/>
    <s v="Cores e Sabores"/>
    <x v="3"/>
    <n v="0"/>
  </r>
  <r>
    <x v="3"/>
    <n v="2024"/>
    <x v="3"/>
    <x v="1"/>
    <s v="Preservativo Masculino"/>
    <s v="Cores e Sabores"/>
    <x v="3"/>
    <n v="0"/>
  </r>
  <r>
    <x v="3"/>
    <n v="2024"/>
    <x v="4"/>
    <x v="1"/>
    <s v="Preservativo Masculino"/>
    <s v="Cores e Sabores"/>
    <x v="3"/>
    <n v="0"/>
  </r>
  <r>
    <x v="3"/>
    <n v="2024"/>
    <x v="5"/>
    <x v="1"/>
    <s v="Preservativo Masculino"/>
    <s v="Cores e Sabores"/>
    <x v="3"/>
    <n v="0"/>
  </r>
  <r>
    <x v="3"/>
    <n v="2024"/>
    <x v="6"/>
    <x v="1"/>
    <s v="Preservativo Masculino"/>
    <s v="Cores e Sabores"/>
    <x v="3"/>
    <n v="0"/>
  </r>
  <r>
    <x v="3"/>
    <n v="2024"/>
    <x v="7"/>
    <x v="1"/>
    <s v="Preservativo Masculino"/>
    <s v="Cores e Sabores"/>
    <x v="3"/>
    <n v="0"/>
  </r>
  <r>
    <x v="3"/>
    <n v="2024"/>
    <x v="8"/>
    <x v="1"/>
    <s v="Preservativo Masculino"/>
    <s v="Cores e Sabores"/>
    <x v="3"/>
    <n v="3024"/>
  </r>
  <r>
    <x v="3"/>
    <n v="2024"/>
    <x v="9"/>
    <x v="1"/>
    <s v="Preservativo Masculino"/>
    <s v="Cores e Sabores"/>
    <x v="3"/>
    <n v="37"/>
  </r>
  <r>
    <x v="3"/>
    <n v="2024"/>
    <x v="10"/>
    <x v="1"/>
    <s v="Preservativo Masculino"/>
    <s v="Cores e Sabores"/>
    <x v="3"/>
    <n v="6025"/>
  </r>
  <r>
    <x v="3"/>
    <n v="2024"/>
    <x v="11"/>
    <x v="1"/>
    <s v="Preservativo Masculino"/>
    <s v="Cores e Sabores"/>
    <x v="3"/>
    <n v="5993"/>
  </r>
  <r>
    <x v="4"/>
    <n v="2024"/>
    <x v="0"/>
    <x v="1"/>
    <s v="Preservativo Masculino"/>
    <s v="Cores e Sabores"/>
    <x v="4"/>
    <n v="0"/>
  </r>
  <r>
    <x v="4"/>
    <n v="2024"/>
    <x v="1"/>
    <x v="1"/>
    <s v="Preservativo Masculino"/>
    <s v="Cores e Sabores"/>
    <x v="4"/>
    <n v="0"/>
  </r>
  <r>
    <x v="4"/>
    <n v="2024"/>
    <x v="2"/>
    <x v="1"/>
    <s v="Preservativo Masculino"/>
    <s v="Cores e Sabores"/>
    <x v="4"/>
    <n v="0"/>
  </r>
  <r>
    <x v="4"/>
    <n v="2024"/>
    <x v="3"/>
    <x v="1"/>
    <s v="Preservativo Masculino"/>
    <s v="Cores e Sabores"/>
    <x v="4"/>
    <n v="0"/>
  </r>
  <r>
    <x v="4"/>
    <n v="2024"/>
    <x v="4"/>
    <x v="1"/>
    <s v="Preservativo Masculino"/>
    <s v="Cores e Sabores"/>
    <x v="4"/>
    <n v="0"/>
  </r>
  <r>
    <x v="4"/>
    <n v="2024"/>
    <x v="5"/>
    <x v="1"/>
    <s v="Preservativo Masculino"/>
    <s v="Cores e Sabores"/>
    <x v="4"/>
    <n v="0"/>
  </r>
  <r>
    <x v="4"/>
    <n v="2024"/>
    <x v="6"/>
    <x v="1"/>
    <s v="Preservativo Masculino"/>
    <s v="Cores e Sabores"/>
    <x v="4"/>
    <n v="0"/>
  </r>
  <r>
    <x v="4"/>
    <n v="2024"/>
    <x v="7"/>
    <x v="1"/>
    <s v="Preservativo Masculino"/>
    <s v="Cores e Sabores"/>
    <x v="4"/>
    <n v="0"/>
  </r>
  <r>
    <x v="4"/>
    <n v="2024"/>
    <x v="8"/>
    <x v="1"/>
    <s v="Preservativo Masculino"/>
    <s v="Cores e Sabores"/>
    <x v="4"/>
    <n v="2039"/>
  </r>
  <r>
    <x v="4"/>
    <n v="2024"/>
    <x v="9"/>
    <x v="1"/>
    <s v="Preservativo Masculino"/>
    <s v="Cores e Sabores"/>
    <x v="4"/>
    <n v="45"/>
  </r>
  <r>
    <x v="4"/>
    <n v="2024"/>
    <x v="10"/>
    <x v="1"/>
    <s v="Preservativo Masculino"/>
    <s v="Cores e Sabores"/>
    <x v="4"/>
    <n v="4100"/>
  </r>
  <r>
    <x v="4"/>
    <n v="2024"/>
    <x v="11"/>
    <x v="1"/>
    <s v="Preservativo Masculino"/>
    <s v="Cores e Sabores"/>
    <x v="4"/>
    <n v="2277"/>
  </r>
  <r>
    <x v="5"/>
    <n v="2024"/>
    <x v="0"/>
    <x v="1"/>
    <s v="Preservativo Masculino"/>
    <s v="Cores e Sabores"/>
    <x v="5"/>
    <n v="0"/>
  </r>
  <r>
    <x v="5"/>
    <n v="2024"/>
    <x v="1"/>
    <x v="1"/>
    <s v="Preservativo Masculino"/>
    <s v="Cores e Sabores"/>
    <x v="5"/>
    <n v="0"/>
  </r>
  <r>
    <x v="5"/>
    <n v="2024"/>
    <x v="2"/>
    <x v="1"/>
    <s v="Preservativo Masculino"/>
    <s v="Cores e Sabores"/>
    <x v="5"/>
    <n v="0"/>
  </r>
  <r>
    <x v="5"/>
    <n v="2024"/>
    <x v="3"/>
    <x v="1"/>
    <s v="Preservativo Masculino"/>
    <s v="Cores e Sabores"/>
    <x v="5"/>
    <n v="0"/>
  </r>
  <r>
    <x v="5"/>
    <n v="2024"/>
    <x v="4"/>
    <x v="1"/>
    <s v="Preservativo Masculino"/>
    <s v="Cores e Sabores"/>
    <x v="5"/>
    <n v="0"/>
  </r>
  <r>
    <x v="5"/>
    <n v="2024"/>
    <x v="5"/>
    <x v="1"/>
    <s v="Preservativo Masculino"/>
    <s v="Cores e Sabores"/>
    <x v="5"/>
    <n v="0"/>
  </r>
  <r>
    <x v="5"/>
    <n v="2024"/>
    <x v="6"/>
    <x v="1"/>
    <s v="Preservativo Masculino"/>
    <s v="Cores e Sabores"/>
    <x v="5"/>
    <n v="0"/>
  </r>
  <r>
    <x v="5"/>
    <n v="2024"/>
    <x v="7"/>
    <x v="1"/>
    <s v="Preservativo Masculino"/>
    <s v="Cores e Sabores"/>
    <x v="5"/>
    <n v="0"/>
  </r>
  <r>
    <x v="5"/>
    <n v="2024"/>
    <x v="8"/>
    <x v="1"/>
    <s v="Preservativo Masculino"/>
    <s v="Cores e Sabores"/>
    <x v="5"/>
    <n v="2991"/>
  </r>
  <r>
    <x v="5"/>
    <n v="2024"/>
    <x v="9"/>
    <x v="1"/>
    <s v="Preservativo Masculino"/>
    <s v="Cores e Sabores"/>
    <x v="5"/>
    <n v="18"/>
  </r>
  <r>
    <x v="5"/>
    <n v="2024"/>
    <x v="10"/>
    <x v="1"/>
    <s v="Preservativo Masculino"/>
    <s v="Cores e Sabores"/>
    <x v="5"/>
    <n v="2982"/>
  </r>
  <r>
    <x v="5"/>
    <n v="2024"/>
    <x v="11"/>
    <x v="1"/>
    <s v="Preservativo Masculino"/>
    <s v="Cores e Sabores"/>
    <x v="5"/>
    <n v="3035"/>
  </r>
  <r>
    <x v="6"/>
    <n v="2024"/>
    <x v="0"/>
    <x v="1"/>
    <s v="Preservativo Masculino"/>
    <s v="Cores e Sabores"/>
    <x v="6"/>
    <n v="0"/>
  </r>
  <r>
    <x v="6"/>
    <n v="2024"/>
    <x v="1"/>
    <x v="1"/>
    <s v="Preservativo Masculino"/>
    <s v="Cores e Sabores"/>
    <x v="6"/>
    <n v="0"/>
  </r>
  <r>
    <x v="6"/>
    <n v="2024"/>
    <x v="2"/>
    <x v="1"/>
    <s v="Preservativo Masculino"/>
    <s v="Cores e Sabores"/>
    <x v="6"/>
    <n v="0"/>
  </r>
  <r>
    <x v="6"/>
    <n v="2024"/>
    <x v="3"/>
    <x v="1"/>
    <s v="Preservativo Masculino"/>
    <s v="Cores e Sabores"/>
    <x v="6"/>
    <n v="0"/>
  </r>
  <r>
    <x v="6"/>
    <n v="2024"/>
    <x v="4"/>
    <x v="1"/>
    <s v="Preservativo Masculino"/>
    <s v="Cores e Sabores"/>
    <x v="6"/>
    <n v="0"/>
  </r>
  <r>
    <x v="6"/>
    <n v="2024"/>
    <x v="5"/>
    <x v="1"/>
    <s v="Preservativo Masculino"/>
    <s v="Cores e Sabores"/>
    <x v="6"/>
    <n v="0"/>
  </r>
  <r>
    <x v="6"/>
    <n v="2024"/>
    <x v="6"/>
    <x v="1"/>
    <s v="Preservativo Masculino"/>
    <s v="Cores e Sabores"/>
    <x v="6"/>
    <n v="0"/>
  </r>
  <r>
    <x v="6"/>
    <n v="2024"/>
    <x v="7"/>
    <x v="1"/>
    <s v="Preservativo Masculino"/>
    <s v="Cores e Sabores"/>
    <x v="6"/>
    <n v="0"/>
  </r>
  <r>
    <x v="6"/>
    <n v="2024"/>
    <x v="8"/>
    <x v="1"/>
    <s v="Preservativo Masculino"/>
    <s v="Cores e Sabores"/>
    <x v="6"/>
    <n v="0"/>
  </r>
  <r>
    <x v="6"/>
    <n v="2024"/>
    <x v="9"/>
    <x v="1"/>
    <s v="Preservativo Masculino"/>
    <s v="Cores e Sabores"/>
    <x v="6"/>
    <n v="0"/>
  </r>
  <r>
    <x v="6"/>
    <n v="2024"/>
    <x v="10"/>
    <x v="1"/>
    <s v="Preservativo Masculino"/>
    <s v="Cores e Sabores"/>
    <x v="6"/>
    <n v="0"/>
  </r>
  <r>
    <x v="6"/>
    <n v="2024"/>
    <x v="11"/>
    <x v="1"/>
    <s v="Preservativo Masculino"/>
    <s v="Cores e Sabores"/>
    <x v="6"/>
    <n v="0"/>
  </r>
  <r>
    <x v="7"/>
    <n v="2024"/>
    <x v="0"/>
    <x v="1"/>
    <s v="Preservativo Masculino"/>
    <s v="Cores e Sabores"/>
    <x v="7"/>
    <n v="0"/>
  </r>
  <r>
    <x v="7"/>
    <n v="2024"/>
    <x v="1"/>
    <x v="1"/>
    <s v="Preservativo Masculino"/>
    <s v="Cores e Sabores"/>
    <x v="7"/>
    <n v="0"/>
  </r>
  <r>
    <x v="7"/>
    <n v="2024"/>
    <x v="2"/>
    <x v="1"/>
    <s v="Preservativo Masculino"/>
    <s v="Cores e Sabores"/>
    <x v="7"/>
    <n v="0"/>
  </r>
  <r>
    <x v="7"/>
    <n v="2024"/>
    <x v="3"/>
    <x v="1"/>
    <s v="Preservativo Masculino"/>
    <s v="Cores e Sabores"/>
    <x v="7"/>
    <n v="0"/>
  </r>
  <r>
    <x v="7"/>
    <n v="2024"/>
    <x v="4"/>
    <x v="1"/>
    <s v="Preservativo Masculino"/>
    <s v="Cores e Sabores"/>
    <x v="7"/>
    <n v="0"/>
  </r>
  <r>
    <x v="7"/>
    <n v="2024"/>
    <x v="5"/>
    <x v="1"/>
    <s v="Preservativo Masculino"/>
    <s v="Cores e Sabores"/>
    <x v="7"/>
    <n v="0"/>
  </r>
  <r>
    <x v="7"/>
    <n v="2024"/>
    <x v="6"/>
    <x v="1"/>
    <s v="Preservativo Masculino"/>
    <s v="Cores e Sabores"/>
    <x v="7"/>
    <n v="0"/>
  </r>
  <r>
    <x v="7"/>
    <n v="2024"/>
    <x v="7"/>
    <x v="1"/>
    <s v="Preservativo Masculino"/>
    <s v="Cores e Sabores"/>
    <x v="7"/>
    <n v="0"/>
  </r>
  <r>
    <x v="7"/>
    <n v="2024"/>
    <x v="8"/>
    <x v="1"/>
    <s v="Preservativo Masculino"/>
    <s v="Cores e Sabores"/>
    <x v="7"/>
    <n v="22"/>
  </r>
  <r>
    <x v="7"/>
    <n v="2024"/>
    <x v="9"/>
    <x v="1"/>
    <s v="Preservativo Masculino"/>
    <s v="Cores e Sabores"/>
    <x v="7"/>
    <n v="2478"/>
  </r>
  <r>
    <x v="7"/>
    <n v="2024"/>
    <x v="10"/>
    <x v="1"/>
    <s v="Preservativo Masculino"/>
    <s v="Cores e Sabores"/>
    <x v="7"/>
    <n v="2982"/>
  </r>
  <r>
    <x v="7"/>
    <n v="2024"/>
    <x v="11"/>
    <x v="1"/>
    <s v="Preservativo Masculino"/>
    <s v="Cores e Sabores"/>
    <x v="7"/>
    <n v="3328"/>
  </r>
  <r>
    <x v="8"/>
    <n v="2024"/>
    <x v="0"/>
    <x v="1"/>
    <s v="Preservativo Masculino"/>
    <s v="Cores e Sabores"/>
    <x v="8"/>
    <n v="0"/>
  </r>
  <r>
    <x v="8"/>
    <n v="2024"/>
    <x v="1"/>
    <x v="1"/>
    <s v="Preservativo Masculino"/>
    <s v="Cores e Sabores"/>
    <x v="8"/>
    <n v="0"/>
  </r>
  <r>
    <x v="8"/>
    <n v="2024"/>
    <x v="2"/>
    <x v="1"/>
    <s v="Preservativo Masculino"/>
    <s v="Cores e Sabores"/>
    <x v="8"/>
    <n v="0"/>
  </r>
  <r>
    <x v="8"/>
    <n v="2024"/>
    <x v="3"/>
    <x v="1"/>
    <s v="Preservativo Masculino"/>
    <s v="Cores e Sabores"/>
    <x v="8"/>
    <n v="0"/>
  </r>
  <r>
    <x v="8"/>
    <n v="2024"/>
    <x v="4"/>
    <x v="1"/>
    <s v="Preservativo Masculino"/>
    <s v="Cores e Sabores"/>
    <x v="8"/>
    <n v="0"/>
  </r>
  <r>
    <x v="8"/>
    <n v="2024"/>
    <x v="5"/>
    <x v="1"/>
    <s v="Preservativo Masculino"/>
    <s v="Cores e Sabores"/>
    <x v="8"/>
    <n v="0"/>
  </r>
  <r>
    <x v="8"/>
    <n v="2024"/>
    <x v="6"/>
    <x v="1"/>
    <s v="Preservativo Masculino"/>
    <s v="Cores e Sabores"/>
    <x v="8"/>
    <n v="0"/>
  </r>
  <r>
    <x v="8"/>
    <n v="2024"/>
    <x v="7"/>
    <x v="1"/>
    <s v="Preservativo Masculino"/>
    <s v="Cores e Sabores"/>
    <x v="8"/>
    <n v="0"/>
  </r>
  <r>
    <x v="8"/>
    <n v="2024"/>
    <x v="8"/>
    <x v="1"/>
    <s v="Preservativo Masculino"/>
    <s v="Cores e Sabores"/>
    <x v="8"/>
    <n v="1833"/>
  </r>
  <r>
    <x v="8"/>
    <n v="2024"/>
    <x v="9"/>
    <x v="1"/>
    <s v="Preservativo Masculino"/>
    <s v="Cores e Sabores"/>
    <x v="8"/>
    <n v="1893"/>
  </r>
  <r>
    <x v="8"/>
    <n v="2024"/>
    <x v="10"/>
    <x v="1"/>
    <s v="Preservativo Masculino"/>
    <s v="Cores e Sabores"/>
    <x v="8"/>
    <n v="1234"/>
  </r>
  <r>
    <x v="8"/>
    <n v="2024"/>
    <x v="11"/>
    <x v="1"/>
    <s v="Preservativo Masculino"/>
    <s v="Cores e Sabores"/>
    <x v="8"/>
    <n v="2268"/>
  </r>
  <r>
    <x v="9"/>
    <n v="2024"/>
    <x v="0"/>
    <x v="1"/>
    <s v="Preservativo Masculino"/>
    <s v="Cores e Sabores"/>
    <x v="9"/>
    <n v="0"/>
  </r>
  <r>
    <x v="9"/>
    <n v="2024"/>
    <x v="1"/>
    <x v="1"/>
    <s v="Preservativo Masculino"/>
    <s v="Cores e Sabores"/>
    <x v="9"/>
    <n v="0"/>
  </r>
  <r>
    <x v="9"/>
    <n v="2024"/>
    <x v="2"/>
    <x v="1"/>
    <s v="Preservativo Masculino"/>
    <s v="Cores e Sabores"/>
    <x v="9"/>
    <n v="0"/>
  </r>
  <r>
    <x v="9"/>
    <n v="2024"/>
    <x v="3"/>
    <x v="1"/>
    <s v="Preservativo Masculino"/>
    <s v="Cores e Sabores"/>
    <x v="9"/>
    <n v="0"/>
  </r>
  <r>
    <x v="9"/>
    <n v="2024"/>
    <x v="4"/>
    <x v="1"/>
    <s v="Preservativo Masculino"/>
    <s v="Cores e Sabores"/>
    <x v="9"/>
    <n v="0"/>
  </r>
  <r>
    <x v="9"/>
    <n v="2024"/>
    <x v="5"/>
    <x v="1"/>
    <s v="Preservativo Masculino"/>
    <s v="Cores e Sabores"/>
    <x v="9"/>
    <n v="0"/>
  </r>
  <r>
    <x v="9"/>
    <n v="2024"/>
    <x v="6"/>
    <x v="1"/>
    <s v="Preservativo Masculino"/>
    <s v="Cores e Sabores"/>
    <x v="9"/>
    <n v="0"/>
  </r>
  <r>
    <x v="9"/>
    <n v="2024"/>
    <x v="7"/>
    <x v="1"/>
    <s v="Preservativo Masculino"/>
    <s v="Cores e Sabores"/>
    <x v="9"/>
    <n v="0"/>
  </r>
  <r>
    <x v="9"/>
    <n v="2024"/>
    <x v="8"/>
    <x v="1"/>
    <s v="Preservativo Masculino"/>
    <s v="Cores e Sabores"/>
    <x v="9"/>
    <n v="3"/>
  </r>
  <r>
    <x v="9"/>
    <n v="2024"/>
    <x v="9"/>
    <x v="1"/>
    <s v="Preservativo Masculino"/>
    <s v="Cores e Sabores"/>
    <x v="9"/>
    <n v="2979"/>
  </r>
  <r>
    <x v="9"/>
    <n v="2024"/>
    <x v="10"/>
    <x v="1"/>
    <s v="Preservativo Masculino"/>
    <s v="Cores e Sabores"/>
    <x v="9"/>
    <n v="15"/>
  </r>
  <r>
    <x v="9"/>
    <n v="2024"/>
    <x v="11"/>
    <x v="1"/>
    <s v="Preservativo Masculino"/>
    <s v="Cores e Sabores"/>
    <x v="9"/>
    <n v="4432"/>
  </r>
  <r>
    <x v="10"/>
    <n v="2024"/>
    <x v="0"/>
    <x v="1"/>
    <s v="Preservativo Masculino"/>
    <s v="Cores e Sabores"/>
    <x v="10"/>
    <n v="0"/>
  </r>
  <r>
    <x v="10"/>
    <n v="2024"/>
    <x v="1"/>
    <x v="1"/>
    <s v="Preservativo Masculino"/>
    <s v="Cores e Sabores"/>
    <x v="10"/>
    <n v="0"/>
  </r>
  <r>
    <x v="10"/>
    <n v="2024"/>
    <x v="2"/>
    <x v="1"/>
    <s v="Preservativo Masculino"/>
    <s v="Cores e Sabores"/>
    <x v="10"/>
    <n v="0"/>
  </r>
  <r>
    <x v="10"/>
    <n v="2024"/>
    <x v="3"/>
    <x v="1"/>
    <s v="Preservativo Masculino"/>
    <s v="Cores e Sabores"/>
    <x v="10"/>
    <n v="0"/>
  </r>
  <r>
    <x v="10"/>
    <n v="2024"/>
    <x v="4"/>
    <x v="1"/>
    <s v="Preservativo Masculino"/>
    <s v="Cores e Sabores"/>
    <x v="10"/>
    <n v="0"/>
  </r>
  <r>
    <x v="10"/>
    <n v="2024"/>
    <x v="5"/>
    <x v="1"/>
    <s v="Preservativo Masculino"/>
    <s v="Cores e Sabores"/>
    <x v="10"/>
    <n v="0"/>
  </r>
  <r>
    <x v="10"/>
    <n v="2024"/>
    <x v="6"/>
    <x v="1"/>
    <s v="Preservativo Masculino"/>
    <s v="Cores e Sabores"/>
    <x v="10"/>
    <n v="0"/>
  </r>
  <r>
    <x v="10"/>
    <n v="2024"/>
    <x v="7"/>
    <x v="1"/>
    <s v="Preservativo Masculino"/>
    <s v="Cores e Sabores"/>
    <x v="10"/>
    <n v="0"/>
  </r>
  <r>
    <x v="10"/>
    <n v="2024"/>
    <x v="8"/>
    <x v="1"/>
    <s v="Preservativo Masculino"/>
    <s v="Cores e Sabores"/>
    <x v="10"/>
    <n v="2"/>
  </r>
  <r>
    <x v="10"/>
    <n v="2024"/>
    <x v="9"/>
    <x v="1"/>
    <s v="Preservativo Masculino"/>
    <s v="Cores e Sabores"/>
    <x v="10"/>
    <n v="0"/>
  </r>
  <r>
    <x v="10"/>
    <n v="2024"/>
    <x v="10"/>
    <x v="1"/>
    <s v="Preservativo Masculino"/>
    <s v="Cores e Sabores"/>
    <x v="10"/>
    <n v="0"/>
  </r>
  <r>
    <x v="10"/>
    <n v="2024"/>
    <x v="11"/>
    <x v="1"/>
    <s v="Preservativo Masculino"/>
    <s v="Cores e Sabores"/>
    <x v="10"/>
    <n v="2011"/>
  </r>
  <r>
    <x v="11"/>
    <n v="2024"/>
    <x v="0"/>
    <x v="1"/>
    <s v="Preservativo Masculino"/>
    <s v="Cores e Sabores"/>
    <x v="11"/>
    <n v="0"/>
  </r>
  <r>
    <x v="11"/>
    <n v="2024"/>
    <x v="1"/>
    <x v="1"/>
    <s v="Preservativo Masculino"/>
    <s v="Cores e Sabores"/>
    <x v="11"/>
    <n v="0"/>
  </r>
  <r>
    <x v="11"/>
    <n v="2024"/>
    <x v="2"/>
    <x v="1"/>
    <s v="Preservativo Masculino"/>
    <s v="Cores e Sabores"/>
    <x v="11"/>
    <n v="0"/>
  </r>
  <r>
    <x v="11"/>
    <n v="2024"/>
    <x v="3"/>
    <x v="1"/>
    <s v="Preservativo Masculino"/>
    <s v="Cores e Sabores"/>
    <x v="11"/>
    <n v="0"/>
  </r>
  <r>
    <x v="11"/>
    <n v="2024"/>
    <x v="4"/>
    <x v="1"/>
    <s v="Preservativo Masculino"/>
    <s v="Cores e Sabores"/>
    <x v="11"/>
    <n v="0"/>
  </r>
  <r>
    <x v="11"/>
    <n v="2024"/>
    <x v="5"/>
    <x v="1"/>
    <s v="Preservativo Masculino"/>
    <s v="Cores e Sabores"/>
    <x v="11"/>
    <n v="0"/>
  </r>
  <r>
    <x v="11"/>
    <n v="2024"/>
    <x v="6"/>
    <x v="1"/>
    <s v="Preservativo Masculino"/>
    <s v="Cores e Sabores"/>
    <x v="11"/>
    <n v="0"/>
  </r>
  <r>
    <x v="11"/>
    <n v="2024"/>
    <x v="7"/>
    <x v="1"/>
    <s v="Preservativo Masculino"/>
    <s v="Cores e Sabores"/>
    <x v="11"/>
    <n v="0"/>
  </r>
  <r>
    <x v="11"/>
    <n v="2024"/>
    <x v="8"/>
    <x v="1"/>
    <s v="Preservativo Masculino"/>
    <s v="Cores e Sabores"/>
    <x v="11"/>
    <n v="1822"/>
  </r>
  <r>
    <x v="11"/>
    <n v="2024"/>
    <x v="9"/>
    <x v="1"/>
    <s v="Preservativo Masculino"/>
    <s v="Cores e Sabores"/>
    <x v="11"/>
    <n v="2095"/>
  </r>
  <r>
    <x v="11"/>
    <n v="2024"/>
    <x v="10"/>
    <x v="1"/>
    <s v="Preservativo Masculino"/>
    <s v="Cores e Sabores"/>
    <x v="11"/>
    <n v="54"/>
  </r>
  <r>
    <x v="11"/>
    <n v="2024"/>
    <x v="11"/>
    <x v="1"/>
    <s v="Preservativo Masculino"/>
    <s v="Cores e Sabores"/>
    <x v="11"/>
    <n v="3"/>
  </r>
  <r>
    <x v="12"/>
    <n v="2024"/>
    <x v="0"/>
    <x v="1"/>
    <s v="Preservativo Masculino"/>
    <s v="Cores e Sabores"/>
    <x v="12"/>
    <n v="0"/>
  </r>
  <r>
    <x v="12"/>
    <n v="2024"/>
    <x v="1"/>
    <x v="1"/>
    <s v="Preservativo Masculino"/>
    <s v="Cores e Sabores"/>
    <x v="12"/>
    <n v="0"/>
  </r>
  <r>
    <x v="12"/>
    <n v="2024"/>
    <x v="2"/>
    <x v="1"/>
    <s v="Preservativo Masculino"/>
    <s v="Cores e Sabores"/>
    <x v="12"/>
    <n v="0"/>
  </r>
  <r>
    <x v="12"/>
    <n v="2024"/>
    <x v="3"/>
    <x v="1"/>
    <s v="Preservativo Masculino"/>
    <s v="Cores e Sabores"/>
    <x v="12"/>
    <n v="0"/>
  </r>
  <r>
    <x v="12"/>
    <n v="2024"/>
    <x v="4"/>
    <x v="1"/>
    <s v="Preservativo Masculino"/>
    <s v="Cores e Sabores"/>
    <x v="12"/>
    <n v="0"/>
  </r>
  <r>
    <x v="12"/>
    <n v="2024"/>
    <x v="5"/>
    <x v="1"/>
    <s v="Preservativo Masculino"/>
    <s v="Cores e Sabores"/>
    <x v="12"/>
    <n v="0"/>
  </r>
  <r>
    <x v="12"/>
    <n v="2024"/>
    <x v="6"/>
    <x v="1"/>
    <s v="Preservativo Masculino"/>
    <s v="Cores e Sabores"/>
    <x v="12"/>
    <n v="0"/>
  </r>
  <r>
    <x v="12"/>
    <n v="2024"/>
    <x v="7"/>
    <x v="1"/>
    <s v="Preservativo Masculino"/>
    <s v="Cores e Sabores"/>
    <x v="12"/>
    <n v="0"/>
  </r>
  <r>
    <x v="12"/>
    <n v="2024"/>
    <x v="8"/>
    <x v="1"/>
    <s v="Preservativo Masculino"/>
    <s v="Cores e Sabores"/>
    <x v="12"/>
    <n v="1096"/>
  </r>
  <r>
    <x v="12"/>
    <n v="2024"/>
    <x v="9"/>
    <x v="1"/>
    <s v="Preservativo Masculino"/>
    <s v="Cores e Sabores"/>
    <x v="12"/>
    <n v="7"/>
  </r>
  <r>
    <x v="12"/>
    <n v="2024"/>
    <x v="10"/>
    <x v="1"/>
    <s v="Preservativo Masculino"/>
    <s v="Cores e Sabores"/>
    <x v="12"/>
    <n v="3"/>
  </r>
  <r>
    <x v="12"/>
    <n v="2024"/>
    <x v="11"/>
    <x v="1"/>
    <s v="Preservativo Masculino"/>
    <s v="Cores e Sabores"/>
    <x v="12"/>
    <n v="17"/>
  </r>
  <r>
    <x v="13"/>
    <n v="2024"/>
    <x v="0"/>
    <x v="1"/>
    <s v="Preservativo Masculino"/>
    <s v="Cores e Sabores"/>
    <x v="13"/>
    <n v="0"/>
  </r>
  <r>
    <x v="13"/>
    <n v="2024"/>
    <x v="1"/>
    <x v="1"/>
    <s v="Preservativo Masculino"/>
    <s v="Cores e Sabores"/>
    <x v="13"/>
    <n v="0"/>
  </r>
  <r>
    <x v="13"/>
    <n v="2024"/>
    <x v="2"/>
    <x v="1"/>
    <s v="Preservativo Masculino"/>
    <s v="Cores e Sabores"/>
    <x v="13"/>
    <n v="0"/>
  </r>
  <r>
    <x v="13"/>
    <n v="2024"/>
    <x v="3"/>
    <x v="1"/>
    <s v="Preservativo Masculino"/>
    <s v="Cores e Sabores"/>
    <x v="13"/>
    <n v="0"/>
  </r>
  <r>
    <x v="13"/>
    <n v="2024"/>
    <x v="4"/>
    <x v="1"/>
    <s v="Preservativo Masculino"/>
    <s v="Cores e Sabores"/>
    <x v="13"/>
    <n v="0"/>
  </r>
  <r>
    <x v="13"/>
    <n v="2024"/>
    <x v="5"/>
    <x v="1"/>
    <s v="Preservativo Masculino"/>
    <s v="Cores e Sabores"/>
    <x v="13"/>
    <n v="0"/>
  </r>
  <r>
    <x v="13"/>
    <n v="2024"/>
    <x v="6"/>
    <x v="1"/>
    <s v="Preservativo Masculino"/>
    <s v="Cores e Sabores"/>
    <x v="13"/>
    <n v="0"/>
  </r>
  <r>
    <x v="13"/>
    <n v="2024"/>
    <x v="7"/>
    <x v="1"/>
    <s v="Preservativo Masculino"/>
    <s v="Cores e Sabores"/>
    <x v="13"/>
    <n v="0"/>
  </r>
  <r>
    <x v="13"/>
    <n v="2024"/>
    <x v="8"/>
    <x v="1"/>
    <s v="Preservativo Masculino"/>
    <s v="Cores e Sabores"/>
    <x v="13"/>
    <n v="2"/>
  </r>
  <r>
    <x v="13"/>
    <n v="2024"/>
    <x v="9"/>
    <x v="1"/>
    <s v="Preservativo Masculino"/>
    <s v="Cores e Sabores"/>
    <x v="13"/>
    <n v="0"/>
  </r>
  <r>
    <x v="13"/>
    <n v="2024"/>
    <x v="10"/>
    <x v="1"/>
    <s v="Preservativo Masculino"/>
    <s v="Cores e Sabores"/>
    <x v="13"/>
    <n v="2621"/>
  </r>
  <r>
    <x v="13"/>
    <n v="2024"/>
    <x v="11"/>
    <x v="1"/>
    <s v="Preservativo Masculino"/>
    <s v="Cores e Sabores"/>
    <x v="13"/>
    <n v="1256"/>
  </r>
  <r>
    <x v="14"/>
    <n v="2024"/>
    <x v="0"/>
    <x v="1"/>
    <s v="Preservativo Masculino"/>
    <s v="Cores e Sabores"/>
    <x v="14"/>
    <n v="0"/>
  </r>
  <r>
    <x v="14"/>
    <n v="2024"/>
    <x v="1"/>
    <x v="1"/>
    <s v="Preservativo Masculino"/>
    <s v="Cores e Sabores"/>
    <x v="14"/>
    <n v="0"/>
  </r>
  <r>
    <x v="14"/>
    <n v="2024"/>
    <x v="2"/>
    <x v="1"/>
    <s v="Preservativo Masculino"/>
    <s v="Cores e Sabores"/>
    <x v="14"/>
    <n v="0"/>
  </r>
  <r>
    <x v="14"/>
    <n v="2024"/>
    <x v="3"/>
    <x v="1"/>
    <s v="Preservativo Masculino"/>
    <s v="Cores e Sabores"/>
    <x v="14"/>
    <n v="0"/>
  </r>
  <r>
    <x v="14"/>
    <n v="2024"/>
    <x v="4"/>
    <x v="1"/>
    <s v="Preservativo Masculino"/>
    <s v="Cores e Sabores"/>
    <x v="14"/>
    <n v="0"/>
  </r>
  <r>
    <x v="14"/>
    <n v="2024"/>
    <x v="5"/>
    <x v="1"/>
    <s v="Preservativo Masculino"/>
    <s v="Cores e Sabores"/>
    <x v="14"/>
    <n v="0"/>
  </r>
  <r>
    <x v="14"/>
    <n v="2024"/>
    <x v="6"/>
    <x v="1"/>
    <s v="Preservativo Masculino"/>
    <s v="Cores e Sabores"/>
    <x v="14"/>
    <n v="0"/>
  </r>
  <r>
    <x v="14"/>
    <n v="2024"/>
    <x v="7"/>
    <x v="1"/>
    <s v="Preservativo Masculino"/>
    <s v="Cores e Sabores"/>
    <x v="14"/>
    <n v="0"/>
  </r>
  <r>
    <x v="14"/>
    <n v="2024"/>
    <x v="8"/>
    <x v="1"/>
    <s v="Preservativo Masculino"/>
    <s v="Cores e Sabores"/>
    <x v="14"/>
    <n v="1313"/>
  </r>
  <r>
    <x v="14"/>
    <n v="2024"/>
    <x v="9"/>
    <x v="1"/>
    <s v="Preservativo Masculino"/>
    <s v="Cores e Sabores"/>
    <x v="14"/>
    <n v="1319"/>
  </r>
  <r>
    <x v="14"/>
    <n v="2024"/>
    <x v="10"/>
    <x v="1"/>
    <s v="Preservativo Masculino"/>
    <s v="Cores e Sabores"/>
    <x v="14"/>
    <n v="1240"/>
  </r>
  <r>
    <x v="14"/>
    <n v="2024"/>
    <x v="11"/>
    <x v="1"/>
    <s v="Preservativo Masculino"/>
    <s v="Cores e Sabores"/>
    <x v="14"/>
    <n v="1009"/>
  </r>
  <r>
    <x v="15"/>
    <n v="2024"/>
    <x v="0"/>
    <x v="1"/>
    <s v="Preservativo Masculino"/>
    <s v="Performance"/>
    <x v="15"/>
    <n v="0"/>
  </r>
  <r>
    <x v="15"/>
    <n v="2024"/>
    <x v="1"/>
    <x v="1"/>
    <s v="Preservativo Masculino"/>
    <s v="Performance"/>
    <x v="15"/>
    <n v="0"/>
  </r>
  <r>
    <x v="15"/>
    <n v="2024"/>
    <x v="2"/>
    <x v="1"/>
    <s v="Preservativo Masculino"/>
    <s v="Performance"/>
    <x v="15"/>
    <n v="0"/>
  </r>
  <r>
    <x v="15"/>
    <n v="2024"/>
    <x v="3"/>
    <x v="1"/>
    <s v="Preservativo Masculino"/>
    <s v="Performance"/>
    <x v="15"/>
    <n v="0"/>
  </r>
  <r>
    <x v="15"/>
    <n v="2024"/>
    <x v="4"/>
    <x v="1"/>
    <s v="Preservativo Masculino"/>
    <s v="Performance"/>
    <x v="15"/>
    <n v="0"/>
  </r>
  <r>
    <x v="15"/>
    <n v="2024"/>
    <x v="5"/>
    <x v="1"/>
    <s v="Preservativo Masculino"/>
    <s v="Performance"/>
    <x v="15"/>
    <n v="0"/>
  </r>
  <r>
    <x v="15"/>
    <n v="2024"/>
    <x v="6"/>
    <x v="1"/>
    <s v="Preservativo Masculino"/>
    <s v="Performance"/>
    <x v="15"/>
    <n v="0"/>
  </r>
  <r>
    <x v="15"/>
    <n v="2024"/>
    <x v="7"/>
    <x v="1"/>
    <s v="Preservativo Masculino"/>
    <s v="Performance"/>
    <x v="15"/>
    <n v="0"/>
  </r>
  <r>
    <x v="15"/>
    <n v="2024"/>
    <x v="8"/>
    <x v="1"/>
    <s v="Preservativo Masculino"/>
    <s v="Performance"/>
    <x v="15"/>
    <n v="9863"/>
  </r>
  <r>
    <x v="15"/>
    <n v="2024"/>
    <x v="9"/>
    <x v="1"/>
    <s v="Preservativo Masculino"/>
    <s v="Performance"/>
    <x v="15"/>
    <n v="5762"/>
  </r>
  <r>
    <x v="15"/>
    <n v="2024"/>
    <x v="10"/>
    <x v="1"/>
    <s v="Preservativo Masculino"/>
    <s v="Performance"/>
    <x v="15"/>
    <n v="4683"/>
  </r>
  <r>
    <x v="15"/>
    <n v="2024"/>
    <x v="11"/>
    <x v="1"/>
    <s v="Preservativo Masculino"/>
    <s v="Performance"/>
    <x v="15"/>
    <n v="4561"/>
  </r>
  <r>
    <x v="16"/>
    <n v="2024"/>
    <x v="0"/>
    <x v="1"/>
    <s v="Preservativo Masculino"/>
    <s v="Performance"/>
    <x v="16"/>
    <n v="0"/>
  </r>
  <r>
    <x v="16"/>
    <n v="2024"/>
    <x v="1"/>
    <x v="1"/>
    <s v="Preservativo Masculino"/>
    <s v="Performance"/>
    <x v="16"/>
    <n v="0"/>
  </r>
  <r>
    <x v="16"/>
    <n v="2024"/>
    <x v="2"/>
    <x v="1"/>
    <s v="Preservativo Masculino"/>
    <s v="Performance"/>
    <x v="16"/>
    <n v="0"/>
  </r>
  <r>
    <x v="16"/>
    <n v="2024"/>
    <x v="3"/>
    <x v="1"/>
    <s v="Preservativo Masculino"/>
    <s v="Performance"/>
    <x v="16"/>
    <n v="0"/>
  </r>
  <r>
    <x v="16"/>
    <n v="2024"/>
    <x v="4"/>
    <x v="1"/>
    <s v="Preservativo Masculino"/>
    <s v="Performance"/>
    <x v="16"/>
    <n v="0"/>
  </r>
  <r>
    <x v="16"/>
    <n v="2024"/>
    <x v="5"/>
    <x v="1"/>
    <s v="Preservativo Masculino"/>
    <s v="Performance"/>
    <x v="16"/>
    <n v="0"/>
  </r>
  <r>
    <x v="16"/>
    <n v="2024"/>
    <x v="6"/>
    <x v="1"/>
    <s v="Preservativo Masculino"/>
    <s v="Performance"/>
    <x v="16"/>
    <n v="0"/>
  </r>
  <r>
    <x v="16"/>
    <n v="2024"/>
    <x v="7"/>
    <x v="1"/>
    <s v="Preservativo Masculino"/>
    <s v="Performance"/>
    <x v="16"/>
    <n v="0"/>
  </r>
  <r>
    <x v="16"/>
    <n v="2024"/>
    <x v="8"/>
    <x v="1"/>
    <s v="Preservativo Masculino"/>
    <s v="Performance"/>
    <x v="16"/>
    <n v="5"/>
  </r>
  <r>
    <x v="16"/>
    <n v="2024"/>
    <x v="9"/>
    <x v="1"/>
    <s v="Preservativo Masculino"/>
    <s v="Performance"/>
    <x v="16"/>
    <n v="2"/>
  </r>
  <r>
    <x v="16"/>
    <n v="2024"/>
    <x v="10"/>
    <x v="1"/>
    <s v="Preservativo Masculino"/>
    <s v="Performance"/>
    <x v="16"/>
    <n v="2974"/>
  </r>
  <r>
    <x v="16"/>
    <n v="2024"/>
    <x v="11"/>
    <x v="1"/>
    <s v="Preservativo Masculino"/>
    <s v="Performance"/>
    <x v="16"/>
    <n v="3961"/>
  </r>
  <r>
    <x v="17"/>
    <n v="2024"/>
    <x v="0"/>
    <x v="1"/>
    <s v="Preservativo Masculino"/>
    <s v="Performance"/>
    <x v="17"/>
    <n v="0"/>
  </r>
  <r>
    <x v="17"/>
    <n v="2024"/>
    <x v="1"/>
    <x v="1"/>
    <s v="Preservativo Masculino"/>
    <s v="Performance"/>
    <x v="17"/>
    <n v="0"/>
  </r>
  <r>
    <x v="17"/>
    <n v="2024"/>
    <x v="2"/>
    <x v="1"/>
    <s v="Preservativo Masculino"/>
    <s v="Performance"/>
    <x v="17"/>
    <n v="0"/>
  </r>
  <r>
    <x v="17"/>
    <n v="2024"/>
    <x v="3"/>
    <x v="1"/>
    <s v="Preservativo Masculino"/>
    <s v="Performance"/>
    <x v="17"/>
    <n v="0"/>
  </r>
  <r>
    <x v="17"/>
    <n v="2024"/>
    <x v="4"/>
    <x v="1"/>
    <s v="Preservativo Masculino"/>
    <s v="Performance"/>
    <x v="17"/>
    <n v="0"/>
  </r>
  <r>
    <x v="17"/>
    <n v="2024"/>
    <x v="5"/>
    <x v="1"/>
    <s v="Preservativo Masculino"/>
    <s v="Performance"/>
    <x v="17"/>
    <n v="0"/>
  </r>
  <r>
    <x v="17"/>
    <n v="2024"/>
    <x v="6"/>
    <x v="1"/>
    <s v="Preservativo Masculino"/>
    <s v="Performance"/>
    <x v="17"/>
    <n v="0"/>
  </r>
  <r>
    <x v="17"/>
    <n v="2024"/>
    <x v="7"/>
    <x v="1"/>
    <s v="Preservativo Masculino"/>
    <s v="Performance"/>
    <x v="17"/>
    <n v="0"/>
  </r>
  <r>
    <x v="17"/>
    <n v="2024"/>
    <x v="8"/>
    <x v="1"/>
    <s v="Preservativo Masculino"/>
    <s v="Performance"/>
    <x v="17"/>
    <n v="175"/>
  </r>
  <r>
    <x v="17"/>
    <n v="2024"/>
    <x v="9"/>
    <x v="1"/>
    <s v="Preservativo Masculino"/>
    <s v="Performance"/>
    <x v="17"/>
    <n v="14"/>
  </r>
  <r>
    <x v="17"/>
    <n v="2024"/>
    <x v="10"/>
    <x v="1"/>
    <s v="Preservativo Masculino"/>
    <s v="Performance"/>
    <x v="17"/>
    <n v="8"/>
  </r>
  <r>
    <x v="17"/>
    <n v="2024"/>
    <x v="11"/>
    <x v="1"/>
    <s v="Preservativo Masculino"/>
    <s v="Performance"/>
    <x v="17"/>
    <n v="5372"/>
  </r>
  <r>
    <x v="18"/>
    <n v="2024"/>
    <x v="0"/>
    <x v="1"/>
    <s v="Preservativo Masculino"/>
    <s v="Performance"/>
    <x v="18"/>
    <n v="0"/>
  </r>
  <r>
    <x v="18"/>
    <n v="2024"/>
    <x v="1"/>
    <x v="1"/>
    <s v="Preservativo Masculino"/>
    <s v="Performance"/>
    <x v="18"/>
    <n v="0"/>
  </r>
  <r>
    <x v="18"/>
    <n v="2024"/>
    <x v="2"/>
    <x v="1"/>
    <s v="Preservativo Masculino"/>
    <s v="Performance"/>
    <x v="18"/>
    <n v="0"/>
  </r>
  <r>
    <x v="18"/>
    <n v="2024"/>
    <x v="3"/>
    <x v="1"/>
    <s v="Preservativo Masculino"/>
    <s v="Performance"/>
    <x v="18"/>
    <n v="0"/>
  </r>
  <r>
    <x v="18"/>
    <n v="2024"/>
    <x v="4"/>
    <x v="1"/>
    <s v="Preservativo Masculino"/>
    <s v="Performance"/>
    <x v="18"/>
    <n v="0"/>
  </r>
  <r>
    <x v="18"/>
    <n v="2024"/>
    <x v="5"/>
    <x v="1"/>
    <s v="Preservativo Masculino"/>
    <s v="Performance"/>
    <x v="18"/>
    <n v="0"/>
  </r>
  <r>
    <x v="18"/>
    <n v="2024"/>
    <x v="6"/>
    <x v="1"/>
    <s v="Preservativo Masculino"/>
    <s v="Performance"/>
    <x v="18"/>
    <n v="0"/>
  </r>
  <r>
    <x v="18"/>
    <n v="2024"/>
    <x v="7"/>
    <x v="1"/>
    <s v="Preservativo Masculino"/>
    <s v="Performance"/>
    <x v="18"/>
    <n v="0"/>
  </r>
  <r>
    <x v="18"/>
    <n v="2024"/>
    <x v="8"/>
    <x v="1"/>
    <s v="Preservativo Masculino"/>
    <s v="Performance"/>
    <x v="18"/>
    <n v="1"/>
  </r>
  <r>
    <x v="18"/>
    <n v="2024"/>
    <x v="9"/>
    <x v="1"/>
    <s v="Preservativo Masculino"/>
    <s v="Performance"/>
    <x v="18"/>
    <n v="39"/>
  </r>
  <r>
    <x v="18"/>
    <n v="2024"/>
    <x v="10"/>
    <x v="1"/>
    <s v="Preservativo Masculino"/>
    <s v="Performance"/>
    <x v="18"/>
    <n v="2"/>
  </r>
  <r>
    <x v="18"/>
    <n v="2024"/>
    <x v="11"/>
    <x v="1"/>
    <s v="Preservativo Masculino"/>
    <s v="Performance"/>
    <x v="18"/>
    <n v="2930"/>
  </r>
  <r>
    <x v="19"/>
    <n v="2024"/>
    <x v="0"/>
    <x v="1"/>
    <s v="Preservativo Masculino"/>
    <s v="Performance"/>
    <x v="19"/>
    <n v="0"/>
  </r>
  <r>
    <x v="19"/>
    <n v="2024"/>
    <x v="1"/>
    <x v="1"/>
    <s v="Preservativo Masculino"/>
    <s v="Performance"/>
    <x v="19"/>
    <n v="0"/>
  </r>
  <r>
    <x v="19"/>
    <n v="2024"/>
    <x v="2"/>
    <x v="1"/>
    <s v="Preservativo Masculino"/>
    <s v="Performance"/>
    <x v="19"/>
    <n v="0"/>
  </r>
  <r>
    <x v="19"/>
    <n v="2024"/>
    <x v="3"/>
    <x v="1"/>
    <s v="Preservativo Masculino"/>
    <s v="Performance"/>
    <x v="19"/>
    <n v="0"/>
  </r>
  <r>
    <x v="19"/>
    <n v="2024"/>
    <x v="4"/>
    <x v="1"/>
    <s v="Preservativo Masculino"/>
    <s v="Performance"/>
    <x v="19"/>
    <n v="0"/>
  </r>
  <r>
    <x v="19"/>
    <n v="2024"/>
    <x v="5"/>
    <x v="1"/>
    <s v="Preservativo Masculino"/>
    <s v="Performance"/>
    <x v="19"/>
    <n v="0"/>
  </r>
  <r>
    <x v="19"/>
    <n v="2024"/>
    <x v="6"/>
    <x v="1"/>
    <s v="Preservativo Masculino"/>
    <s v="Performance"/>
    <x v="19"/>
    <n v="0"/>
  </r>
  <r>
    <x v="19"/>
    <n v="2024"/>
    <x v="7"/>
    <x v="1"/>
    <s v="Preservativo Masculino"/>
    <s v="Performance"/>
    <x v="19"/>
    <n v="0"/>
  </r>
  <r>
    <x v="19"/>
    <n v="2024"/>
    <x v="8"/>
    <x v="1"/>
    <s v="Preservativo Masculino"/>
    <s v="Performance"/>
    <x v="19"/>
    <n v="2133"/>
  </r>
  <r>
    <x v="19"/>
    <n v="2024"/>
    <x v="9"/>
    <x v="1"/>
    <s v="Preservativo Masculino"/>
    <s v="Performance"/>
    <x v="19"/>
    <n v="2110"/>
  </r>
  <r>
    <x v="19"/>
    <n v="2024"/>
    <x v="10"/>
    <x v="1"/>
    <s v="Preservativo Masculino"/>
    <s v="Performance"/>
    <x v="19"/>
    <n v="3544"/>
  </r>
  <r>
    <x v="19"/>
    <n v="2024"/>
    <x v="11"/>
    <x v="1"/>
    <s v="Preservativo Masculino"/>
    <s v="Performance"/>
    <x v="19"/>
    <n v="3453"/>
  </r>
  <r>
    <x v="20"/>
    <n v="2024"/>
    <x v="0"/>
    <x v="1"/>
    <s v="Preservativo Masculino"/>
    <s v="Performance"/>
    <x v="20"/>
    <n v="0"/>
  </r>
  <r>
    <x v="20"/>
    <n v="2024"/>
    <x v="1"/>
    <x v="1"/>
    <s v="Preservativo Masculino"/>
    <s v="Performance"/>
    <x v="20"/>
    <n v="0"/>
  </r>
  <r>
    <x v="20"/>
    <n v="2024"/>
    <x v="2"/>
    <x v="1"/>
    <s v="Preservativo Masculino"/>
    <s v="Performance"/>
    <x v="20"/>
    <n v="0"/>
  </r>
  <r>
    <x v="20"/>
    <n v="2024"/>
    <x v="3"/>
    <x v="1"/>
    <s v="Preservativo Masculino"/>
    <s v="Performance"/>
    <x v="20"/>
    <n v="0"/>
  </r>
  <r>
    <x v="20"/>
    <n v="2024"/>
    <x v="4"/>
    <x v="1"/>
    <s v="Preservativo Masculino"/>
    <s v="Performance"/>
    <x v="20"/>
    <n v="0"/>
  </r>
  <r>
    <x v="20"/>
    <n v="2024"/>
    <x v="5"/>
    <x v="1"/>
    <s v="Preservativo Masculino"/>
    <s v="Performance"/>
    <x v="20"/>
    <n v="0"/>
  </r>
  <r>
    <x v="20"/>
    <n v="2024"/>
    <x v="6"/>
    <x v="1"/>
    <s v="Preservativo Masculino"/>
    <s v="Performance"/>
    <x v="20"/>
    <n v="0"/>
  </r>
  <r>
    <x v="20"/>
    <n v="2024"/>
    <x v="7"/>
    <x v="1"/>
    <s v="Preservativo Masculino"/>
    <s v="Performance"/>
    <x v="20"/>
    <n v="0"/>
  </r>
  <r>
    <x v="20"/>
    <n v="2024"/>
    <x v="8"/>
    <x v="1"/>
    <s v="Preservativo Masculino"/>
    <s v="Performance"/>
    <x v="20"/>
    <n v="3458"/>
  </r>
  <r>
    <x v="20"/>
    <n v="2024"/>
    <x v="9"/>
    <x v="1"/>
    <s v="Preservativo Masculino"/>
    <s v="Performance"/>
    <x v="20"/>
    <n v="3820"/>
  </r>
  <r>
    <x v="20"/>
    <n v="2024"/>
    <x v="10"/>
    <x v="1"/>
    <s v="Preservativo Masculino"/>
    <s v="Performance"/>
    <x v="20"/>
    <n v="3062"/>
  </r>
  <r>
    <x v="20"/>
    <n v="2024"/>
    <x v="11"/>
    <x v="1"/>
    <s v="Preservativo Masculino"/>
    <s v="Performance"/>
    <x v="20"/>
    <n v="3275"/>
  </r>
  <r>
    <x v="21"/>
    <n v="2024"/>
    <x v="0"/>
    <x v="1"/>
    <s v="Preservativo Masculino"/>
    <s v="Performance"/>
    <x v="21"/>
    <n v="0"/>
  </r>
  <r>
    <x v="21"/>
    <n v="2024"/>
    <x v="1"/>
    <x v="1"/>
    <s v="Preservativo Masculino"/>
    <s v="Performance"/>
    <x v="21"/>
    <n v="0"/>
  </r>
  <r>
    <x v="21"/>
    <n v="2024"/>
    <x v="2"/>
    <x v="1"/>
    <s v="Preservativo Masculino"/>
    <s v="Performance"/>
    <x v="21"/>
    <n v="0"/>
  </r>
  <r>
    <x v="21"/>
    <n v="2024"/>
    <x v="3"/>
    <x v="1"/>
    <s v="Preservativo Masculino"/>
    <s v="Performance"/>
    <x v="21"/>
    <n v="0"/>
  </r>
  <r>
    <x v="21"/>
    <n v="2024"/>
    <x v="4"/>
    <x v="1"/>
    <s v="Preservativo Masculino"/>
    <s v="Performance"/>
    <x v="21"/>
    <n v="0"/>
  </r>
  <r>
    <x v="21"/>
    <n v="2024"/>
    <x v="5"/>
    <x v="1"/>
    <s v="Preservativo Masculino"/>
    <s v="Performance"/>
    <x v="21"/>
    <n v="0"/>
  </r>
  <r>
    <x v="21"/>
    <n v="2024"/>
    <x v="6"/>
    <x v="1"/>
    <s v="Preservativo Masculino"/>
    <s v="Performance"/>
    <x v="21"/>
    <n v="0"/>
  </r>
  <r>
    <x v="21"/>
    <n v="2024"/>
    <x v="7"/>
    <x v="1"/>
    <s v="Preservativo Masculino"/>
    <s v="Performance"/>
    <x v="21"/>
    <n v="0"/>
  </r>
  <r>
    <x v="21"/>
    <n v="2024"/>
    <x v="8"/>
    <x v="1"/>
    <s v="Preservativo Masculino"/>
    <s v="Performance"/>
    <x v="21"/>
    <n v="2"/>
  </r>
  <r>
    <x v="21"/>
    <n v="2024"/>
    <x v="9"/>
    <x v="1"/>
    <s v="Preservativo Masculino"/>
    <s v="Performance"/>
    <x v="21"/>
    <n v="0"/>
  </r>
  <r>
    <x v="21"/>
    <n v="2024"/>
    <x v="10"/>
    <x v="1"/>
    <s v="Preservativo Masculino"/>
    <s v="Performance"/>
    <x v="21"/>
    <n v="0"/>
  </r>
  <r>
    <x v="21"/>
    <n v="2024"/>
    <x v="11"/>
    <x v="1"/>
    <s v="Preservativo Masculino"/>
    <s v="Performance"/>
    <x v="21"/>
    <n v="1259"/>
  </r>
  <r>
    <x v="22"/>
    <n v="2024"/>
    <x v="0"/>
    <x v="1"/>
    <s v="Preservativo Masculino"/>
    <s v="Cores e Sabores"/>
    <x v="22"/>
    <n v="0"/>
  </r>
  <r>
    <x v="22"/>
    <n v="2024"/>
    <x v="1"/>
    <x v="1"/>
    <s v="Preservativo Masculino"/>
    <s v="Cores e Sabores"/>
    <x v="22"/>
    <n v="0"/>
  </r>
  <r>
    <x v="22"/>
    <n v="2024"/>
    <x v="2"/>
    <x v="1"/>
    <s v="Preservativo Masculino"/>
    <s v="Cores e Sabores"/>
    <x v="22"/>
    <n v="0"/>
  </r>
  <r>
    <x v="22"/>
    <n v="2024"/>
    <x v="3"/>
    <x v="1"/>
    <s v="Preservativo Masculino"/>
    <s v="Cores e Sabores"/>
    <x v="22"/>
    <n v="0"/>
  </r>
  <r>
    <x v="22"/>
    <n v="2024"/>
    <x v="4"/>
    <x v="1"/>
    <s v="Preservativo Masculino"/>
    <s v="Cores e Sabores"/>
    <x v="22"/>
    <n v="0"/>
  </r>
  <r>
    <x v="22"/>
    <n v="2024"/>
    <x v="5"/>
    <x v="1"/>
    <s v="Preservativo Masculino"/>
    <s v="Cores e Sabores"/>
    <x v="22"/>
    <n v="0"/>
  </r>
  <r>
    <x v="22"/>
    <n v="2024"/>
    <x v="6"/>
    <x v="1"/>
    <s v="Preservativo Masculino"/>
    <s v="Cores e Sabores"/>
    <x v="22"/>
    <n v="0"/>
  </r>
  <r>
    <x v="22"/>
    <n v="2024"/>
    <x v="7"/>
    <x v="1"/>
    <s v="Preservativo Masculino"/>
    <s v="Cores e Sabores"/>
    <x v="22"/>
    <n v="0"/>
  </r>
  <r>
    <x v="22"/>
    <n v="2024"/>
    <x v="8"/>
    <x v="1"/>
    <s v="Preservativo Masculino"/>
    <s v="Cores e Sabores"/>
    <x v="22"/>
    <n v="0"/>
  </r>
  <r>
    <x v="22"/>
    <n v="2024"/>
    <x v="9"/>
    <x v="1"/>
    <s v="Preservativo Masculino"/>
    <s v="Cores e Sabores"/>
    <x v="22"/>
    <n v="0"/>
  </r>
  <r>
    <x v="22"/>
    <n v="2024"/>
    <x v="10"/>
    <x v="1"/>
    <s v="Preservativo Masculino"/>
    <s v="Cores e Sabores"/>
    <x v="22"/>
    <n v="0"/>
  </r>
  <r>
    <x v="22"/>
    <n v="2024"/>
    <x v="11"/>
    <x v="1"/>
    <s v="Preservativo Masculino"/>
    <s v="Cores e Sabores"/>
    <x v="22"/>
    <n v="0"/>
  </r>
  <r>
    <x v="23"/>
    <n v="2024"/>
    <x v="0"/>
    <x v="1"/>
    <s v="Preservativo Masculino"/>
    <s v="Performance"/>
    <x v="23"/>
    <n v="0"/>
  </r>
  <r>
    <x v="23"/>
    <n v="2024"/>
    <x v="1"/>
    <x v="1"/>
    <s v="Preservativo Masculino"/>
    <s v="Performance"/>
    <x v="23"/>
    <n v="0"/>
  </r>
  <r>
    <x v="23"/>
    <n v="2024"/>
    <x v="2"/>
    <x v="1"/>
    <s v="Preservativo Masculino"/>
    <s v="Performance"/>
    <x v="23"/>
    <n v="0"/>
  </r>
  <r>
    <x v="23"/>
    <n v="2024"/>
    <x v="3"/>
    <x v="1"/>
    <s v="Preservativo Masculino"/>
    <s v="Performance"/>
    <x v="23"/>
    <n v="0"/>
  </r>
  <r>
    <x v="23"/>
    <n v="2024"/>
    <x v="4"/>
    <x v="1"/>
    <s v="Preservativo Masculino"/>
    <s v="Performance"/>
    <x v="23"/>
    <n v="0"/>
  </r>
  <r>
    <x v="23"/>
    <n v="2024"/>
    <x v="5"/>
    <x v="1"/>
    <s v="Preservativo Masculino"/>
    <s v="Performance"/>
    <x v="23"/>
    <n v="0"/>
  </r>
  <r>
    <x v="23"/>
    <n v="2024"/>
    <x v="6"/>
    <x v="1"/>
    <s v="Preservativo Masculino"/>
    <s v="Performance"/>
    <x v="23"/>
    <n v="0"/>
  </r>
  <r>
    <x v="23"/>
    <n v="2024"/>
    <x v="7"/>
    <x v="1"/>
    <s v="Preservativo Masculino"/>
    <s v="Performance"/>
    <x v="23"/>
    <n v="0"/>
  </r>
  <r>
    <x v="23"/>
    <n v="2024"/>
    <x v="8"/>
    <x v="1"/>
    <s v="Preservativo Masculino"/>
    <s v="Performance"/>
    <x v="23"/>
    <n v="4"/>
  </r>
  <r>
    <x v="23"/>
    <n v="2024"/>
    <x v="9"/>
    <x v="1"/>
    <s v="Preservativo Masculino"/>
    <s v="Performance"/>
    <x v="23"/>
    <n v="0"/>
  </r>
  <r>
    <x v="23"/>
    <n v="2024"/>
    <x v="10"/>
    <x v="1"/>
    <s v="Preservativo Masculino"/>
    <s v="Performance"/>
    <x v="23"/>
    <n v="4"/>
  </r>
  <r>
    <x v="23"/>
    <n v="2024"/>
    <x v="11"/>
    <x v="1"/>
    <s v="Preservativo Masculino"/>
    <s v="Performance"/>
    <x v="23"/>
    <n v="0"/>
  </r>
  <r>
    <x v="24"/>
    <n v="2024"/>
    <x v="0"/>
    <x v="1"/>
    <s v="Preservativo Masculino"/>
    <s v="Performance"/>
    <x v="24"/>
    <n v="0"/>
  </r>
  <r>
    <x v="24"/>
    <n v="2024"/>
    <x v="1"/>
    <x v="1"/>
    <s v="Preservativo Masculino"/>
    <s v="Performance"/>
    <x v="24"/>
    <n v="0"/>
  </r>
  <r>
    <x v="24"/>
    <n v="2024"/>
    <x v="2"/>
    <x v="1"/>
    <s v="Preservativo Masculino"/>
    <s v="Performance"/>
    <x v="24"/>
    <n v="0"/>
  </r>
  <r>
    <x v="24"/>
    <n v="2024"/>
    <x v="3"/>
    <x v="1"/>
    <s v="Preservativo Masculino"/>
    <s v="Performance"/>
    <x v="24"/>
    <n v="0"/>
  </r>
  <r>
    <x v="24"/>
    <n v="2024"/>
    <x v="4"/>
    <x v="1"/>
    <s v="Preservativo Masculino"/>
    <s v="Performance"/>
    <x v="24"/>
    <n v="0"/>
  </r>
  <r>
    <x v="24"/>
    <n v="2024"/>
    <x v="5"/>
    <x v="1"/>
    <s v="Preservativo Masculino"/>
    <s v="Performance"/>
    <x v="24"/>
    <n v="0"/>
  </r>
  <r>
    <x v="24"/>
    <n v="2024"/>
    <x v="6"/>
    <x v="1"/>
    <s v="Preservativo Masculino"/>
    <s v="Performance"/>
    <x v="24"/>
    <n v="0"/>
  </r>
  <r>
    <x v="24"/>
    <n v="2024"/>
    <x v="7"/>
    <x v="1"/>
    <s v="Preservativo Masculino"/>
    <s v="Performance"/>
    <x v="24"/>
    <n v="0"/>
  </r>
  <r>
    <x v="24"/>
    <n v="2024"/>
    <x v="8"/>
    <x v="1"/>
    <s v="Preservativo Masculino"/>
    <s v="Performance"/>
    <x v="24"/>
    <n v="0"/>
  </r>
  <r>
    <x v="24"/>
    <n v="2024"/>
    <x v="9"/>
    <x v="1"/>
    <s v="Preservativo Masculino"/>
    <s v="Performance"/>
    <x v="24"/>
    <n v="760"/>
  </r>
  <r>
    <x v="24"/>
    <n v="2024"/>
    <x v="10"/>
    <x v="1"/>
    <s v="Preservativo Masculino"/>
    <s v="Performance"/>
    <x v="24"/>
    <n v="769"/>
  </r>
  <r>
    <x v="24"/>
    <n v="2024"/>
    <x v="11"/>
    <x v="1"/>
    <s v="Preservativo Masculino"/>
    <s v="Performance"/>
    <x v="24"/>
    <n v="408"/>
  </r>
  <r>
    <x v="25"/>
    <n v="2024"/>
    <x v="0"/>
    <x v="1"/>
    <s v="Preservativo Masculino"/>
    <s v="Performance"/>
    <x v="25"/>
    <n v="0"/>
  </r>
  <r>
    <x v="25"/>
    <n v="2024"/>
    <x v="1"/>
    <x v="1"/>
    <s v="Preservativo Masculino"/>
    <s v="Performance"/>
    <x v="25"/>
    <n v="0"/>
  </r>
  <r>
    <x v="25"/>
    <n v="2024"/>
    <x v="2"/>
    <x v="1"/>
    <s v="Preservativo Masculino"/>
    <s v="Performance"/>
    <x v="25"/>
    <n v="0"/>
  </r>
  <r>
    <x v="25"/>
    <n v="2024"/>
    <x v="3"/>
    <x v="1"/>
    <s v="Preservativo Masculino"/>
    <s v="Performance"/>
    <x v="25"/>
    <n v="0"/>
  </r>
  <r>
    <x v="25"/>
    <n v="2024"/>
    <x v="4"/>
    <x v="1"/>
    <s v="Preservativo Masculino"/>
    <s v="Performance"/>
    <x v="25"/>
    <n v="0"/>
  </r>
  <r>
    <x v="25"/>
    <n v="2024"/>
    <x v="5"/>
    <x v="1"/>
    <s v="Preservativo Masculino"/>
    <s v="Performance"/>
    <x v="25"/>
    <n v="0"/>
  </r>
  <r>
    <x v="25"/>
    <n v="2024"/>
    <x v="6"/>
    <x v="1"/>
    <s v="Preservativo Masculino"/>
    <s v="Performance"/>
    <x v="25"/>
    <n v="0"/>
  </r>
  <r>
    <x v="25"/>
    <n v="2024"/>
    <x v="7"/>
    <x v="1"/>
    <s v="Preservativo Masculino"/>
    <s v="Performance"/>
    <x v="25"/>
    <n v="0"/>
  </r>
  <r>
    <x v="25"/>
    <n v="2024"/>
    <x v="8"/>
    <x v="1"/>
    <s v="Preservativo Masculino"/>
    <s v="Performance"/>
    <x v="25"/>
    <n v="0"/>
  </r>
  <r>
    <x v="25"/>
    <n v="2024"/>
    <x v="9"/>
    <x v="1"/>
    <s v="Preservativo Masculino"/>
    <s v="Performance"/>
    <x v="25"/>
    <n v="0"/>
  </r>
  <r>
    <x v="25"/>
    <n v="2024"/>
    <x v="10"/>
    <x v="1"/>
    <s v="Preservativo Masculino"/>
    <s v="Performance"/>
    <x v="25"/>
    <n v="0"/>
  </r>
  <r>
    <x v="25"/>
    <n v="2024"/>
    <x v="11"/>
    <x v="1"/>
    <s v="Preservativo Masculino"/>
    <s v="Performance"/>
    <x v="25"/>
    <n v="632"/>
  </r>
  <r>
    <x v="26"/>
    <n v="2024"/>
    <x v="0"/>
    <x v="1"/>
    <s v="Preservativo Masculino"/>
    <s v="Low Price "/>
    <x v="26"/>
    <n v="0"/>
  </r>
  <r>
    <x v="26"/>
    <n v="2024"/>
    <x v="1"/>
    <x v="1"/>
    <s v="Preservativo Masculino"/>
    <s v="Low Price "/>
    <x v="26"/>
    <n v="0"/>
  </r>
  <r>
    <x v="26"/>
    <n v="2024"/>
    <x v="2"/>
    <x v="1"/>
    <s v="Preservativo Masculino"/>
    <s v="Low Price "/>
    <x v="26"/>
    <n v="0"/>
  </r>
  <r>
    <x v="26"/>
    <n v="2024"/>
    <x v="3"/>
    <x v="1"/>
    <s v="Preservativo Masculino"/>
    <s v="Low Price "/>
    <x v="26"/>
    <n v="0"/>
  </r>
  <r>
    <x v="26"/>
    <n v="2024"/>
    <x v="4"/>
    <x v="1"/>
    <s v="Preservativo Masculino"/>
    <s v="Low Price "/>
    <x v="26"/>
    <n v="0"/>
  </r>
  <r>
    <x v="26"/>
    <n v="2024"/>
    <x v="5"/>
    <x v="1"/>
    <s v="Preservativo Masculino"/>
    <s v="Low Price "/>
    <x v="26"/>
    <n v="0"/>
  </r>
  <r>
    <x v="26"/>
    <n v="2024"/>
    <x v="6"/>
    <x v="1"/>
    <s v="Preservativo Masculino"/>
    <s v="Low Price "/>
    <x v="26"/>
    <n v="0"/>
  </r>
  <r>
    <x v="26"/>
    <n v="2024"/>
    <x v="7"/>
    <x v="1"/>
    <s v="Preservativo Masculino"/>
    <s v="Low Price "/>
    <x v="26"/>
    <n v="0"/>
  </r>
  <r>
    <x v="26"/>
    <n v="2024"/>
    <x v="8"/>
    <x v="1"/>
    <s v="Preservativo Masculino"/>
    <s v="Low Price "/>
    <x v="26"/>
    <n v="0"/>
  </r>
  <r>
    <x v="26"/>
    <n v="2024"/>
    <x v="9"/>
    <x v="1"/>
    <s v="Preservativo Masculino"/>
    <s v="Low Price "/>
    <x v="26"/>
    <n v="0"/>
  </r>
  <r>
    <x v="26"/>
    <n v="2024"/>
    <x v="10"/>
    <x v="1"/>
    <s v="Preservativo Masculino"/>
    <s v="Low Price "/>
    <x v="26"/>
    <n v="0"/>
  </r>
  <r>
    <x v="26"/>
    <n v="2024"/>
    <x v="11"/>
    <x v="1"/>
    <s v="Preservativo Masculino"/>
    <s v="Low Price "/>
    <x v="26"/>
    <n v="2898"/>
  </r>
  <r>
    <x v="27"/>
    <n v="2024"/>
    <x v="0"/>
    <x v="1"/>
    <s v="Preservativo Masculino"/>
    <s v="Low Price "/>
    <x v="27"/>
    <n v="0"/>
  </r>
  <r>
    <x v="27"/>
    <n v="2024"/>
    <x v="1"/>
    <x v="1"/>
    <s v="Preservativo Masculino"/>
    <s v="Low Price "/>
    <x v="27"/>
    <n v="0"/>
  </r>
  <r>
    <x v="27"/>
    <n v="2024"/>
    <x v="2"/>
    <x v="1"/>
    <s v="Preservativo Masculino"/>
    <s v="Low Price "/>
    <x v="27"/>
    <n v="0"/>
  </r>
  <r>
    <x v="27"/>
    <n v="2024"/>
    <x v="3"/>
    <x v="1"/>
    <s v="Preservativo Masculino"/>
    <s v="Low Price "/>
    <x v="27"/>
    <n v="0"/>
  </r>
  <r>
    <x v="27"/>
    <n v="2024"/>
    <x v="4"/>
    <x v="1"/>
    <s v="Preservativo Masculino"/>
    <s v="Low Price "/>
    <x v="27"/>
    <n v="0"/>
  </r>
  <r>
    <x v="27"/>
    <n v="2024"/>
    <x v="5"/>
    <x v="1"/>
    <s v="Preservativo Masculino"/>
    <s v="Low Price "/>
    <x v="27"/>
    <n v="0"/>
  </r>
  <r>
    <x v="27"/>
    <n v="2024"/>
    <x v="6"/>
    <x v="1"/>
    <s v="Preservativo Masculino"/>
    <s v="Low Price "/>
    <x v="27"/>
    <n v="0"/>
  </r>
  <r>
    <x v="27"/>
    <n v="2024"/>
    <x v="7"/>
    <x v="1"/>
    <s v="Preservativo Masculino"/>
    <s v="Low Price "/>
    <x v="27"/>
    <n v="0"/>
  </r>
  <r>
    <x v="27"/>
    <n v="2024"/>
    <x v="8"/>
    <x v="1"/>
    <s v="Preservativo Masculino"/>
    <s v="Low Price "/>
    <x v="27"/>
    <n v="0"/>
  </r>
  <r>
    <x v="27"/>
    <n v="2024"/>
    <x v="9"/>
    <x v="1"/>
    <s v="Preservativo Masculino"/>
    <s v="Low Price "/>
    <x v="27"/>
    <n v="0"/>
  </r>
  <r>
    <x v="27"/>
    <n v="2024"/>
    <x v="10"/>
    <x v="1"/>
    <s v="Preservativo Masculino"/>
    <s v="Low Price "/>
    <x v="27"/>
    <n v="1986"/>
  </r>
  <r>
    <x v="27"/>
    <n v="2024"/>
    <x v="11"/>
    <x v="1"/>
    <s v="Preservativo Masculino"/>
    <s v="Low Price "/>
    <x v="27"/>
    <n v="976"/>
  </r>
  <r>
    <x v="28"/>
    <n v="2024"/>
    <x v="0"/>
    <x v="1"/>
    <s v="Preservativo Masculino"/>
    <s v="Low Price "/>
    <x v="28"/>
    <n v="0"/>
  </r>
  <r>
    <x v="28"/>
    <n v="2024"/>
    <x v="1"/>
    <x v="1"/>
    <s v="Preservativo Masculino"/>
    <s v="Low Price "/>
    <x v="28"/>
    <n v="0"/>
  </r>
  <r>
    <x v="28"/>
    <n v="2024"/>
    <x v="2"/>
    <x v="1"/>
    <s v="Preservativo Masculino"/>
    <s v="Low Price "/>
    <x v="28"/>
    <n v="0"/>
  </r>
  <r>
    <x v="28"/>
    <n v="2024"/>
    <x v="3"/>
    <x v="1"/>
    <s v="Preservativo Masculino"/>
    <s v="Low Price "/>
    <x v="28"/>
    <n v="0"/>
  </r>
  <r>
    <x v="28"/>
    <n v="2024"/>
    <x v="4"/>
    <x v="1"/>
    <s v="Preservativo Masculino"/>
    <s v="Low Price "/>
    <x v="28"/>
    <n v="0"/>
  </r>
  <r>
    <x v="28"/>
    <n v="2024"/>
    <x v="5"/>
    <x v="1"/>
    <s v="Preservativo Masculino"/>
    <s v="Low Price "/>
    <x v="28"/>
    <n v="0"/>
  </r>
  <r>
    <x v="28"/>
    <n v="2024"/>
    <x v="6"/>
    <x v="1"/>
    <s v="Preservativo Masculino"/>
    <s v="Low Price "/>
    <x v="28"/>
    <n v="0"/>
  </r>
  <r>
    <x v="28"/>
    <n v="2024"/>
    <x v="7"/>
    <x v="1"/>
    <s v="Preservativo Masculino"/>
    <s v="Low Price "/>
    <x v="28"/>
    <n v="0"/>
  </r>
  <r>
    <x v="28"/>
    <n v="2024"/>
    <x v="8"/>
    <x v="1"/>
    <s v="Preservativo Masculino"/>
    <s v="Low Price "/>
    <x v="28"/>
    <n v="0"/>
  </r>
  <r>
    <x v="28"/>
    <n v="2024"/>
    <x v="9"/>
    <x v="1"/>
    <s v="Preservativo Masculino"/>
    <s v="Low Price "/>
    <x v="28"/>
    <n v="0"/>
  </r>
  <r>
    <x v="28"/>
    <n v="2024"/>
    <x v="10"/>
    <x v="1"/>
    <s v="Preservativo Masculino"/>
    <s v="Low Price "/>
    <x v="28"/>
    <n v="0"/>
  </r>
  <r>
    <x v="28"/>
    <n v="2024"/>
    <x v="11"/>
    <x v="1"/>
    <s v="Preservativo Masculino"/>
    <s v="Low Price "/>
    <x v="28"/>
    <n v="3753"/>
  </r>
  <r>
    <x v="29"/>
    <n v="2024"/>
    <x v="0"/>
    <x v="1"/>
    <s v="Preservativo Masculino"/>
    <s v="Low Price "/>
    <x v="29"/>
    <n v="0"/>
  </r>
  <r>
    <x v="29"/>
    <n v="2024"/>
    <x v="1"/>
    <x v="1"/>
    <s v="Preservativo Masculino"/>
    <s v="Low Price "/>
    <x v="29"/>
    <n v="0"/>
  </r>
  <r>
    <x v="29"/>
    <n v="2024"/>
    <x v="2"/>
    <x v="1"/>
    <s v="Preservativo Masculino"/>
    <s v="Low Price "/>
    <x v="29"/>
    <n v="0"/>
  </r>
  <r>
    <x v="29"/>
    <n v="2024"/>
    <x v="3"/>
    <x v="1"/>
    <s v="Preservativo Masculino"/>
    <s v="Low Price "/>
    <x v="29"/>
    <n v="0"/>
  </r>
  <r>
    <x v="29"/>
    <n v="2024"/>
    <x v="4"/>
    <x v="1"/>
    <s v="Preservativo Masculino"/>
    <s v="Low Price "/>
    <x v="29"/>
    <n v="0"/>
  </r>
  <r>
    <x v="29"/>
    <n v="2024"/>
    <x v="5"/>
    <x v="1"/>
    <s v="Preservativo Masculino"/>
    <s v="Low Price "/>
    <x v="29"/>
    <n v="0"/>
  </r>
  <r>
    <x v="29"/>
    <n v="2024"/>
    <x v="6"/>
    <x v="1"/>
    <s v="Preservativo Masculino"/>
    <s v="Low Price "/>
    <x v="29"/>
    <n v="0"/>
  </r>
  <r>
    <x v="29"/>
    <n v="2024"/>
    <x v="7"/>
    <x v="1"/>
    <s v="Preservativo Masculino"/>
    <s v="Low Price "/>
    <x v="29"/>
    <n v="0"/>
  </r>
  <r>
    <x v="29"/>
    <n v="2024"/>
    <x v="8"/>
    <x v="1"/>
    <s v="Preservativo Masculino"/>
    <s v="Low Price "/>
    <x v="29"/>
    <n v="1353"/>
  </r>
  <r>
    <x v="29"/>
    <n v="2024"/>
    <x v="9"/>
    <x v="1"/>
    <s v="Preservativo Masculino"/>
    <s v="Low Price "/>
    <x v="29"/>
    <n v="78"/>
  </r>
  <r>
    <x v="29"/>
    <n v="2024"/>
    <x v="10"/>
    <x v="1"/>
    <s v="Preservativo Masculino"/>
    <s v="Low Price "/>
    <x v="29"/>
    <n v="1987"/>
  </r>
  <r>
    <x v="29"/>
    <n v="2024"/>
    <x v="11"/>
    <x v="1"/>
    <s v="Preservativo Masculino"/>
    <s v="Low Price "/>
    <x v="29"/>
    <n v="2123"/>
  </r>
  <r>
    <x v="30"/>
    <n v="2024"/>
    <x v="0"/>
    <x v="1"/>
    <s v="Preservativo Masculino"/>
    <s v="Básico"/>
    <x v="30"/>
    <n v="0"/>
  </r>
  <r>
    <x v="30"/>
    <n v="2024"/>
    <x v="1"/>
    <x v="1"/>
    <s v="Preservativo Masculino"/>
    <s v="Básico"/>
    <x v="30"/>
    <n v="0"/>
  </r>
  <r>
    <x v="30"/>
    <n v="2024"/>
    <x v="2"/>
    <x v="1"/>
    <s v="Preservativo Masculino"/>
    <s v="Básico"/>
    <x v="30"/>
    <n v="0"/>
  </r>
  <r>
    <x v="30"/>
    <n v="2024"/>
    <x v="3"/>
    <x v="1"/>
    <s v="Preservativo Masculino"/>
    <s v="Básico"/>
    <x v="30"/>
    <n v="0"/>
  </r>
  <r>
    <x v="30"/>
    <n v="2024"/>
    <x v="4"/>
    <x v="1"/>
    <s v="Preservativo Masculino"/>
    <s v="Básico"/>
    <x v="30"/>
    <n v="0"/>
  </r>
  <r>
    <x v="30"/>
    <n v="2024"/>
    <x v="5"/>
    <x v="1"/>
    <s v="Preservativo Masculino"/>
    <s v="Básico"/>
    <x v="30"/>
    <n v="0"/>
  </r>
  <r>
    <x v="30"/>
    <n v="2024"/>
    <x v="6"/>
    <x v="1"/>
    <s v="Preservativo Masculino"/>
    <s v="Básico"/>
    <x v="30"/>
    <n v="0"/>
  </r>
  <r>
    <x v="30"/>
    <n v="2024"/>
    <x v="7"/>
    <x v="1"/>
    <s v="Preservativo Masculino"/>
    <s v="Básico"/>
    <x v="30"/>
    <n v="0"/>
  </r>
  <r>
    <x v="30"/>
    <n v="2024"/>
    <x v="8"/>
    <x v="1"/>
    <s v="Preservativo Masculino"/>
    <s v="Básico"/>
    <x v="30"/>
    <n v="4045"/>
  </r>
  <r>
    <x v="30"/>
    <n v="2024"/>
    <x v="9"/>
    <x v="1"/>
    <s v="Preservativo Masculino"/>
    <s v="Básico"/>
    <x v="30"/>
    <n v="1998"/>
  </r>
  <r>
    <x v="30"/>
    <n v="2024"/>
    <x v="10"/>
    <x v="1"/>
    <s v="Preservativo Masculino"/>
    <s v="Básico"/>
    <x v="30"/>
    <n v="1067"/>
  </r>
  <r>
    <x v="30"/>
    <n v="2024"/>
    <x v="11"/>
    <x v="1"/>
    <s v="Preservativo Masculino"/>
    <s v="Básico"/>
    <x v="30"/>
    <n v="2903"/>
  </r>
  <r>
    <x v="31"/>
    <n v="2024"/>
    <x v="0"/>
    <x v="1"/>
    <s v="Preservativo Masculino"/>
    <s v="Básico"/>
    <x v="31"/>
    <n v="0"/>
  </r>
  <r>
    <x v="31"/>
    <n v="2024"/>
    <x v="1"/>
    <x v="1"/>
    <s v="Preservativo Masculino"/>
    <s v="Básico"/>
    <x v="31"/>
    <n v="0"/>
  </r>
  <r>
    <x v="31"/>
    <n v="2024"/>
    <x v="2"/>
    <x v="1"/>
    <s v="Preservativo Masculino"/>
    <s v="Básico"/>
    <x v="31"/>
    <n v="0"/>
  </r>
  <r>
    <x v="31"/>
    <n v="2024"/>
    <x v="3"/>
    <x v="1"/>
    <s v="Preservativo Masculino"/>
    <s v="Básico"/>
    <x v="31"/>
    <n v="0"/>
  </r>
  <r>
    <x v="31"/>
    <n v="2024"/>
    <x v="4"/>
    <x v="1"/>
    <s v="Preservativo Masculino"/>
    <s v="Básico"/>
    <x v="31"/>
    <n v="0"/>
  </r>
  <r>
    <x v="31"/>
    <n v="2024"/>
    <x v="5"/>
    <x v="1"/>
    <s v="Preservativo Masculino"/>
    <s v="Básico"/>
    <x v="31"/>
    <n v="0"/>
  </r>
  <r>
    <x v="31"/>
    <n v="2024"/>
    <x v="6"/>
    <x v="1"/>
    <s v="Preservativo Masculino"/>
    <s v="Básico"/>
    <x v="31"/>
    <n v="0"/>
  </r>
  <r>
    <x v="31"/>
    <n v="2024"/>
    <x v="7"/>
    <x v="1"/>
    <s v="Preservativo Masculino"/>
    <s v="Básico"/>
    <x v="31"/>
    <n v="0"/>
  </r>
  <r>
    <x v="31"/>
    <n v="2024"/>
    <x v="8"/>
    <x v="1"/>
    <s v="Preservativo Masculino"/>
    <s v="Básico"/>
    <x v="31"/>
    <n v="4875"/>
  </r>
  <r>
    <x v="31"/>
    <n v="2024"/>
    <x v="9"/>
    <x v="1"/>
    <s v="Preservativo Masculino"/>
    <s v="Básico"/>
    <x v="31"/>
    <n v="4407"/>
  </r>
  <r>
    <x v="31"/>
    <n v="2024"/>
    <x v="10"/>
    <x v="1"/>
    <s v="Preservativo Masculino"/>
    <s v="Básico"/>
    <x v="31"/>
    <n v="5020"/>
  </r>
  <r>
    <x v="31"/>
    <n v="2024"/>
    <x v="11"/>
    <x v="1"/>
    <s v="Preservativo Masculino"/>
    <s v="Básico"/>
    <x v="31"/>
    <n v="5127"/>
  </r>
  <r>
    <x v="32"/>
    <n v="2024"/>
    <x v="0"/>
    <x v="1"/>
    <s v="Preservativo Masculino"/>
    <s v="Básico"/>
    <x v="32"/>
    <n v="0"/>
  </r>
  <r>
    <x v="32"/>
    <n v="2024"/>
    <x v="1"/>
    <x v="1"/>
    <s v="Preservativo Masculino"/>
    <s v="Básico"/>
    <x v="32"/>
    <n v="0"/>
  </r>
  <r>
    <x v="32"/>
    <n v="2024"/>
    <x v="2"/>
    <x v="1"/>
    <s v="Preservativo Masculino"/>
    <s v="Básico"/>
    <x v="32"/>
    <n v="0"/>
  </r>
  <r>
    <x v="32"/>
    <n v="2024"/>
    <x v="3"/>
    <x v="1"/>
    <s v="Preservativo Masculino"/>
    <s v="Básico"/>
    <x v="32"/>
    <n v="0"/>
  </r>
  <r>
    <x v="32"/>
    <n v="2024"/>
    <x v="4"/>
    <x v="1"/>
    <s v="Preservativo Masculino"/>
    <s v="Básico"/>
    <x v="32"/>
    <n v="0"/>
  </r>
  <r>
    <x v="32"/>
    <n v="2024"/>
    <x v="5"/>
    <x v="1"/>
    <s v="Preservativo Masculino"/>
    <s v="Básico"/>
    <x v="32"/>
    <n v="0"/>
  </r>
  <r>
    <x v="32"/>
    <n v="2024"/>
    <x v="6"/>
    <x v="1"/>
    <s v="Preservativo Masculino"/>
    <s v="Básico"/>
    <x v="32"/>
    <n v="0"/>
  </r>
  <r>
    <x v="32"/>
    <n v="2024"/>
    <x v="7"/>
    <x v="1"/>
    <s v="Preservativo Masculino"/>
    <s v="Básico"/>
    <x v="32"/>
    <n v="0"/>
  </r>
  <r>
    <x v="32"/>
    <n v="2024"/>
    <x v="8"/>
    <x v="1"/>
    <s v="Preservativo Masculino"/>
    <s v="Básico"/>
    <x v="32"/>
    <n v="5590"/>
  </r>
  <r>
    <x v="32"/>
    <n v="2024"/>
    <x v="9"/>
    <x v="1"/>
    <s v="Preservativo Masculino"/>
    <s v="Básico"/>
    <x v="32"/>
    <n v="3589"/>
  </r>
  <r>
    <x v="32"/>
    <n v="2024"/>
    <x v="10"/>
    <x v="1"/>
    <s v="Preservativo Masculino"/>
    <s v="Básico"/>
    <x v="32"/>
    <n v="2821"/>
  </r>
  <r>
    <x v="32"/>
    <n v="2024"/>
    <x v="11"/>
    <x v="1"/>
    <s v="Preservativo Masculino"/>
    <s v="Básico"/>
    <x v="32"/>
    <n v="4044"/>
  </r>
  <r>
    <x v="33"/>
    <n v="2024"/>
    <x v="0"/>
    <x v="1"/>
    <s v="Preservativo Masculino"/>
    <s v="Performance"/>
    <x v="33"/>
    <n v="0"/>
  </r>
  <r>
    <x v="33"/>
    <n v="2024"/>
    <x v="1"/>
    <x v="1"/>
    <s v="Preservativo Masculino"/>
    <s v="Performance"/>
    <x v="33"/>
    <n v="0"/>
  </r>
  <r>
    <x v="33"/>
    <n v="2024"/>
    <x v="2"/>
    <x v="1"/>
    <s v="Preservativo Masculino"/>
    <s v="Performance"/>
    <x v="33"/>
    <n v="0"/>
  </r>
  <r>
    <x v="33"/>
    <n v="2024"/>
    <x v="3"/>
    <x v="1"/>
    <s v="Preservativo Masculino"/>
    <s v="Performance"/>
    <x v="33"/>
    <n v="0"/>
  </r>
  <r>
    <x v="33"/>
    <n v="2024"/>
    <x v="4"/>
    <x v="1"/>
    <s v="Preservativo Masculino"/>
    <s v="Performance"/>
    <x v="33"/>
    <n v="0"/>
  </r>
  <r>
    <x v="33"/>
    <n v="2024"/>
    <x v="5"/>
    <x v="1"/>
    <s v="Preservativo Masculino"/>
    <s v="Performance"/>
    <x v="33"/>
    <n v="0"/>
  </r>
  <r>
    <x v="33"/>
    <n v="2024"/>
    <x v="6"/>
    <x v="1"/>
    <s v="Preservativo Masculino"/>
    <s v="Performance"/>
    <x v="33"/>
    <n v="0"/>
  </r>
  <r>
    <x v="33"/>
    <n v="2024"/>
    <x v="7"/>
    <x v="1"/>
    <s v="Preservativo Masculino"/>
    <s v="Performance"/>
    <x v="33"/>
    <n v="0"/>
  </r>
  <r>
    <x v="33"/>
    <n v="2024"/>
    <x v="8"/>
    <x v="1"/>
    <s v="Preservativo Masculino"/>
    <s v="Performance"/>
    <x v="33"/>
    <n v="2095"/>
  </r>
  <r>
    <x v="33"/>
    <n v="2024"/>
    <x v="9"/>
    <x v="1"/>
    <s v="Preservativo Masculino"/>
    <s v="Performance"/>
    <x v="33"/>
    <n v="1096"/>
  </r>
  <r>
    <x v="33"/>
    <n v="2024"/>
    <x v="10"/>
    <x v="1"/>
    <s v="Preservativo Masculino"/>
    <s v="Performance"/>
    <x v="33"/>
    <n v="13"/>
  </r>
  <r>
    <x v="33"/>
    <n v="2024"/>
    <x v="11"/>
    <x v="1"/>
    <s v="Preservativo Masculino"/>
    <s v="Performance"/>
    <x v="33"/>
    <n v="12"/>
  </r>
  <r>
    <x v="34"/>
    <n v="2024"/>
    <x v="0"/>
    <x v="1"/>
    <s v="Preservativo Masculino"/>
    <s v="Performance"/>
    <x v="34"/>
    <n v="0"/>
  </r>
  <r>
    <x v="34"/>
    <n v="2024"/>
    <x v="1"/>
    <x v="1"/>
    <s v="Preservativo Masculino"/>
    <s v="Performance"/>
    <x v="34"/>
    <n v="0"/>
  </r>
  <r>
    <x v="34"/>
    <n v="2024"/>
    <x v="2"/>
    <x v="1"/>
    <s v="Preservativo Masculino"/>
    <s v="Performance"/>
    <x v="34"/>
    <n v="0"/>
  </r>
  <r>
    <x v="34"/>
    <n v="2024"/>
    <x v="3"/>
    <x v="1"/>
    <s v="Preservativo Masculino"/>
    <s v="Performance"/>
    <x v="34"/>
    <n v="0"/>
  </r>
  <r>
    <x v="34"/>
    <n v="2024"/>
    <x v="4"/>
    <x v="1"/>
    <s v="Preservativo Masculino"/>
    <s v="Performance"/>
    <x v="34"/>
    <n v="0"/>
  </r>
  <r>
    <x v="34"/>
    <n v="2024"/>
    <x v="5"/>
    <x v="1"/>
    <s v="Preservativo Masculino"/>
    <s v="Performance"/>
    <x v="34"/>
    <n v="0"/>
  </r>
  <r>
    <x v="34"/>
    <n v="2024"/>
    <x v="6"/>
    <x v="1"/>
    <s v="Preservativo Masculino"/>
    <s v="Performance"/>
    <x v="34"/>
    <n v="0"/>
  </r>
  <r>
    <x v="34"/>
    <n v="2024"/>
    <x v="7"/>
    <x v="1"/>
    <s v="Preservativo Masculino"/>
    <s v="Performance"/>
    <x v="34"/>
    <n v="0"/>
  </r>
  <r>
    <x v="34"/>
    <n v="2024"/>
    <x v="8"/>
    <x v="1"/>
    <s v="Preservativo Masculino"/>
    <s v="Performance"/>
    <x v="34"/>
    <n v="2875"/>
  </r>
  <r>
    <x v="34"/>
    <n v="2024"/>
    <x v="9"/>
    <x v="1"/>
    <s v="Preservativo Masculino"/>
    <s v="Performance"/>
    <x v="34"/>
    <n v="2345"/>
  </r>
  <r>
    <x v="34"/>
    <n v="2024"/>
    <x v="10"/>
    <x v="1"/>
    <s v="Preservativo Masculino"/>
    <s v="Performance"/>
    <x v="34"/>
    <n v="2060"/>
  </r>
  <r>
    <x v="34"/>
    <n v="2024"/>
    <x v="11"/>
    <x v="1"/>
    <s v="Preservativo Masculino"/>
    <s v="Performance"/>
    <x v="34"/>
    <n v="2024"/>
  </r>
  <r>
    <x v="35"/>
    <n v="2024"/>
    <x v="0"/>
    <x v="1"/>
    <s v="Preservativo Masculino"/>
    <s v="Performance"/>
    <x v="35"/>
    <n v="0"/>
  </r>
  <r>
    <x v="35"/>
    <n v="2024"/>
    <x v="1"/>
    <x v="1"/>
    <s v="Preservativo Masculino"/>
    <s v="Performance"/>
    <x v="35"/>
    <n v="0"/>
  </r>
  <r>
    <x v="35"/>
    <n v="2024"/>
    <x v="2"/>
    <x v="1"/>
    <s v="Preservativo Masculino"/>
    <s v="Performance"/>
    <x v="35"/>
    <n v="0"/>
  </r>
  <r>
    <x v="35"/>
    <n v="2024"/>
    <x v="3"/>
    <x v="1"/>
    <s v="Preservativo Masculino"/>
    <s v="Performance"/>
    <x v="35"/>
    <n v="0"/>
  </r>
  <r>
    <x v="35"/>
    <n v="2024"/>
    <x v="4"/>
    <x v="1"/>
    <s v="Preservativo Masculino"/>
    <s v="Performance"/>
    <x v="35"/>
    <n v="0"/>
  </r>
  <r>
    <x v="35"/>
    <n v="2024"/>
    <x v="5"/>
    <x v="1"/>
    <s v="Preservativo Masculino"/>
    <s v="Performance"/>
    <x v="35"/>
    <n v="0"/>
  </r>
  <r>
    <x v="35"/>
    <n v="2024"/>
    <x v="6"/>
    <x v="1"/>
    <s v="Preservativo Masculino"/>
    <s v="Performance"/>
    <x v="35"/>
    <n v="0"/>
  </r>
  <r>
    <x v="35"/>
    <n v="2024"/>
    <x v="7"/>
    <x v="1"/>
    <s v="Preservativo Masculino"/>
    <s v="Performance"/>
    <x v="35"/>
    <n v="0"/>
  </r>
  <r>
    <x v="35"/>
    <n v="2024"/>
    <x v="8"/>
    <x v="1"/>
    <s v="Preservativo Masculino"/>
    <s v="Performance"/>
    <x v="35"/>
    <n v="1231"/>
  </r>
  <r>
    <x v="35"/>
    <n v="2024"/>
    <x v="9"/>
    <x v="1"/>
    <s v="Preservativo Masculino"/>
    <s v="Performance"/>
    <x v="35"/>
    <n v="1318"/>
  </r>
  <r>
    <x v="35"/>
    <n v="2024"/>
    <x v="10"/>
    <x v="1"/>
    <s v="Preservativo Masculino"/>
    <s v="Performance"/>
    <x v="35"/>
    <n v="895"/>
  </r>
  <r>
    <x v="35"/>
    <n v="2024"/>
    <x v="11"/>
    <x v="1"/>
    <s v="Preservativo Masculino"/>
    <s v="Performance"/>
    <x v="35"/>
    <n v="724"/>
  </r>
  <r>
    <x v="36"/>
    <n v="2024"/>
    <x v="0"/>
    <x v="1"/>
    <s v="Preservativo Masculino"/>
    <s v="Performance"/>
    <x v="36"/>
    <n v="0"/>
  </r>
  <r>
    <x v="36"/>
    <n v="2024"/>
    <x v="1"/>
    <x v="1"/>
    <s v="Preservativo Masculino"/>
    <s v="Performance"/>
    <x v="36"/>
    <n v="0"/>
  </r>
  <r>
    <x v="36"/>
    <n v="2024"/>
    <x v="2"/>
    <x v="1"/>
    <s v="Preservativo Masculino"/>
    <s v="Performance"/>
    <x v="36"/>
    <n v="0"/>
  </r>
  <r>
    <x v="36"/>
    <n v="2024"/>
    <x v="3"/>
    <x v="1"/>
    <s v="Preservativo Masculino"/>
    <s v="Performance"/>
    <x v="36"/>
    <n v="0"/>
  </r>
  <r>
    <x v="36"/>
    <n v="2024"/>
    <x v="4"/>
    <x v="1"/>
    <s v="Preservativo Masculino"/>
    <s v="Performance"/>
    <x v="36"/>
    <n v="0"/>
  </r>
  <r>
    <x v="36"/>
    <n v="2024"/>
    <x v="5"/>
    <x v="1"/>
    <s v="Preservativo Masculino"/>
    <s v="Performance"/>
    <x v="36"/>
    <n v="0"/>
  </r>
  <r>
    <x v="36"/>
    <n v="2024"/>
    <x v="6"/>
    <x v="1"/>
    <s v="Preservativo Masculino"/>
    <s v="Performance"/>
    <x v="36"/>
    <n v="0"/>
  </r>
  <r>
    <x v="36"/>
    <n v="2024"/>
    <x v="7"/>
    <x v="1"/>
    <s v="Preservativo Masculino"/>
    <s v="Performance"/>
    <x v="36"/>
    <n v="0"/>
  </r>
  <r>
    <x v="36"/>
    <n v="2024"/>
    <x v="8"/>
    <x v="1"/>
    <s v="Preservativo Masculino"/>
    <s v="Performance"/>
    <x v="36"/>
    <n v="856"/>
  </r>
  <r>
    <x v="36"/>
    <n v="2024"/>
    <x v="9"/>
    <x v="1"/>
    <s v="Preservativo Masculino"/>
    <s v="Performance"/>
    <x v="36"/>
    <n v="1516"/>
  </r>
  <r>
    <x v="36"/>
    <n v="2024"/>
    <x v="10"/>
    <x v="1"/>
    <s v="Preservativo Masculino"/>
    <s v="Performance"/>
    <x v="36"/>
    <n v="127"/>
  </r>
  <r>
    <x v="36"/>
    <n v="2024"/>
    <x v="11"/>
    <x v="1"/>
    <s v="Preservativo Masculino"/>
    <s v="Performance"/>
    <x v="36"/>
    <n v="0"/>
  </r>
  <r>
    <x v="37"/>
    <n v="2024"/>
    <x v="0"/>
    <x v="1"/>
    <s v="Preservativo Masculino"/>
    <s v="Performance"/>
    <x v="37"/>
    <n v="0"/>
  </r>
  <r>
    <x v="37"/>
    <n v="2024"/>
    <x v="1"/>
    <x v="1"/>
    <s v="Preservativo Masculino"/>
    <s v="Performance"/>
    <x v="37"/>
    <n v="0"/>
  </r>
  <r>
    <x v="37"/>
    <n v="2024"/>
    <x v="2"/>
    <x v="1"/>
    <s v="Preservativo Masculino"/>
    <s v="Performance"/>
    <x v="37"/>
    <n v="0"/>
  </r>
  <r>
    <x v="37"/>
    <n v="2024"/>
    <x v="3"/>
    <x v="1"/>
    <s v="Preservativo Masculino"/>
    <s v="Performance"/>
    <x v="37"/>
    <n v="0"/>
  </r>
  <r>
    <x v="37"/>
    <n v="2024"/>
    <x v="4"/>
    <x v="1"/>
    <s v="Preservativo Masculino"/>
    <s v="Performance"/>
    <x v="37"/>
    <n v="0"/>
  </r>
  <r>
    <x v="37"/>
    <n v="2024"/>
    <x v="5"/>
    <x v="1"/>
    <s v="Preservativo Masculino"/>
    <s v="Performance"/>
    <x v="37"/>
    <n v="0"/>
  </r>
  <r>
    <x v="37"/>
    <n v="2024"/>
    <x v="6"/>
    <x v="1"/>
    <s v="Preservativo Masculino"/>
    <s v="Performance"/>
    <x v="37"/>
    <n v="0"/>
  </r>
  <r>
    <x v="37"/>
    <n v="2024"/>
    <x v="7"/>
    <x v="1"/>
    <s v="Preservativo Masculino"/>
    <s v="Performance"/>
    <x v="37"/>
    <n v="0"/>
  </r>
  <r>
    <x v="37"/>
    <n v="2024"/>
    <x v="8"/>
    <x v="1"/>
    <s v="Preservativo Masculino"/>
    <s v="Performance"/>
    <x v="37"/>
    <n v="871"/>
  </r>
  <r>
    <x v="37"/>
    <n v="2024"/>
    <x v="9"/>
    <x v="1"/>
    <s v="Preservativo Masculino"/>
    <s v="Performance"/>
    <x v="37"/>
    <n v="13"/>
  </r>
  <r>
    <x v="37"/>
    <n v="2024"/>
    <x v="10"/>
    <x v="1"/>
    <s v="Preservativo Masculino"/>
    <s v="Performance"/>
    <x v="37"/>
    <n v="2"/>
  </r>
  <r>
    <x v="37"/>
    <n v="2024"/>
    <x v="11"/>
    <x v="1"/>
    <s v="Preservativo Masculino"/>
    <s v="Performance"/>
    <x v="37"/>
    <n v="1034"/>
  </r>
  <r>
    <x v="38"/>
    <n v="2024"/>
    <x v="0"/>
    <x v="1"/>
    <s v="Preservativo Masculino"/>
    <s v="Performance"/>
    <x v="38"/>
    <n v="0"/>
  </r>
  <r>
    <x v="38"/>
    <n v="2024"/>
    <x v="1"/>
    <x v="1"/>
    <s v="Preservativo Masculino"/>
    <s v="Performance"/>
    <x v="38"/>
    <n v="0"/>
  </r>
  <r>
    <x v="38"/>
    <n v="2024"/>
    <x v="2"/>
    <x v="1"/>
    <s v="Preservativo Masculino"/>
    <s v="Performance"/>
    <x v="38"/>
    <n v="0"/>
  </r>
  <r>
    <x v="38"/>
    <n v="2024"/>
    <x v="3"/>
    <x v="1"/>
    <s v="Preservativo Masculino"/>
    <s v="Performance"/>
    <x v="38"/>
    <n v="0"/>
  </r>
  <r>
    <x v="38"/>
    <n v="2024"/>
    <x v="4"/>
    <x v="1"/>
    <s v="Preservativo Masculino"/>
    <s v="Performance"/>
    <x v="38"/>
    <n v="0"/>
  </r>
  <r>
    <x v="38"/>
    <n v="2024"/>
    <x v="5"/>
    <x v="1"/>
    <s v="Preservativo Masculino"/>
    <s v="Performance"/>
    <x v="38"/>
    <n v="0"/>
  </r>
  <r>
    <x v="38"/>
    <n v="2024"/>
    <x v="6"/>
    <x v="1"/>
    <s v="Preservativo Masculino"/>
    <s v="Performance"/>
    <x v="38"/>
    <n v="0"/>
  </r>
  <r>
    <x v="38"/>
    <n v="2024"/>
    <x v="7"/>
    <x v="1"/>
    <s v="Preservativo Masculino"/>
    <s v="Performance"/>
    <x v="38"/>
    <n v="0"/>
  </r>
  <r>
    <x v="38"/>
    <n v="2024"/>
    <x v="8"/>
    <x v="1"/>
    <s v="Preservativo Masculino"/>
    <s v="Performance"/>
    <x v="38"/>
    <n v="541"/>
  </r>
  <r>
    <x v="38"/>
    <n v="2024"/>
    <x v="9"/>
    <x v="1"/>
    <s v="Preservativo Masculino"/>
    <s v="Performance"/>
    <x v="38"/>
    <n v="481"/>
  </r>
  <r>
    <x v="38"/>
    <n v="2024"/>
    <x v="10"/>
    <x v="1"/>
    <s v="Preservativo Masculino"/>
    <s v="Performance"/>
    <x v="38"/>
    <n v="217"/>
  </r>
  <r>
    <x v="38"/>
    <n v="2024"/>
    <x v="11"/>
    <x v="1"/>
    <s v="Preservativo Masculino"/>
    <s v="Performance"/>
    <x v="38"/>
    <n v="277"/>
  </r>
  <r>
    <x v="39"/>
    <n v="2024"/>
    <x v="0"/>
    <x v="1"/>
    <s v="Preservativo Masculino"/>
    <s v="Performance"/>
    <x v="39"/>
    <n v="0"/>
  </r>
  <r>
    <x v="39"/>
    <n v="2024"/>
    <x v="1"/>
    <x v="1"/>
    <s v="Preservativo Masculino"/>
    <s v="Performance"/>
    <x v="39"/>
    <n v="0"/>
  </r>
  <r>
    <x v="39"/>
    <n v="2024"/>
    <x v="2"/>
    <x v="1"/>
    <s v="Preservativo Masculino"/>
    <s v="Performance"/>
    <x v="39"/>
    <n v="0"/>
  </r>
  <r>
    <x v="39"/>
    <n v="2024"/>
    <x v="3"/>
    <x v="1"/>
    <s v="Preservativo Masculino"/>
    <s v="Performance"/>
    <x v="39"/>
    <n v="0"/>
  </r>
  <r>
    <x v="39"/>
    <n v="2024"/>
    <x v="4"/>
    <x v="1"/>
    <s v="Preservativo Masculino"/>
    <s v="Performance"/>
    <x v="39"/>
    <n v="0"/>
  </r>
  <r>
    <x v="39"/>
    <n v="2024"/>
    <x v="5"/>
    <x v="1"/>
    <s v="Preservativo Masculino"/>
    <s v="Performance"/>
    <x v="39"/>
    <n v="0"/>
  </r>
  <r>
    <x v="39"/>
    <n v="2024"/>
    <x v="6"/>
    <x v="1"/>
    <s v="Preservativo Masculino"/>
    <s v="Performance"/>
    <x v="39"/>
    <n v="0"/>
  </r>
  <r>
    <x v="39"/>
    <n v="2024"/>
    <x v="7"/>
    <x v="1"/>
    <s v="Preservativo Masculino"/>
    <s v="Performance"/>
    <x v="39"/>
    <n v="0"/>
  </r>
  <r>
    <x v="39"/>
    <n v="2024"/>
    <x v="8"/>
    <x v="1"/>
    <s v="Preservativo Masculino"/>
    <s v="Performance"/>
    <x v="39"/>
    <n v="481"/>
  </r>
  <r>
    <x v="39"/>
    <n v="2024"/>
    <x v="9"/>
    <x v="1"/>
    <s v="Preservativo Masculino"/>
    <s v="Performance"/>
    <x v="39"/>
    <n v="772"/>
  </r>
  <r>
    <x v="39"/>
    <n v="2024"/>
    <x v="10"/>
    <x v="1"/>
    <s v="Preservativo Masculino"/>
    <s v="Performance"/>
    <x v="39"/>
    <n v="418"/>
  </r>
  <r>
    <x v="39"/>
    <n v="2024"/>
    <x v="11"/>
    <x v="1"/>
    <s v="Preservativo Masculino"/>
    <s v="Performance"/>
    <x v="39"/>
    <n v="72"/>
  </r>
  <r>
    <x v="40"/>
    <n v="2024"/>
    <x v="0"/>
    <x v="1"/>
    <s v="Gel Lubrificante"/>
    <s v="Lub 100G"/>
    <x v="40"/>
    <n v="0"/>
  </r>
  <r>
    <x v="40"/>
    <n v="2024"/>
    <x v="1"/>
    <x v="1"/>
    <s v="Gel Lubrificante"/>
    <s v="Lub 100G"/>
    <x v="40"/>
    <n v="0"/>
  </r>
  <r>
    <x v="40"/>
    <n v="2024"/>
    <x v="2"/>
    <x v="1"/>
    <s v="Gel Lubrificante"/>
    <s v="Lub 100G"/>
    <x v="40"/>
    <n v="0"/>
  </r>
  <r>
    <x v="40"/>
    <n v="2024"/>
    <x v="3"/>
    <x v="1"/>
    <s v="Gel Lubrificante"/>
    <s v="Lub 100G"/>
    <x v="40"/>
    <n v="0"/>
  </r>
  <r>
    <x v="40"/>
    <n v="2024"/>
    <x v="4"/>
    <x v="1"/>
    <s v="Gel Lubrificante"/>
    <s v="Lub 100G"/>
    <x v="40"/>
    <n v="0"/>
  </r>
  <r>
    <x v="40"/>
    <n v="2024"/>
    <x v="5"/>
    <x v="1"/>
    <s v="Gel Lubrificante"/>
    <s v="Lub 100G"/>
    <x v="40"/>
    <n v="0"/>
  </r>
  <r>
    <x v="40"/>
    <n v="2024"/>
    <x v="6"/>
    <x v="1"/>
    <s v="Gel Lubrificante"/>
    <s v="Lub 100G"/>
    <x v="40"/>
    <n v="0"/>
  </r>
  <r>
    <x v="40"/>
    <n v="2024"/>
    <x v="7"/>
    <x v="1"/>
    <s v="Gel Lubrificante"/>
    <s v="Lub 100G"/>
    <x v="40"/>
    <n v="0"/>
  </r>
  <r>
    <x v="40"/>
    <n v="2024"/>
    <x v="8"/>
    <x v="1"/>
    <s v="Gel Lubrificante"/>
    <s v="Lub 100G"/>
    <x v="40"/>
    <n v="0"/>
  </r>
  <r>
    <x v="40"/>
    <n v="2024"/>
    <x v="9"/>
    <x v="1"/>
    <s v="Gel Lubrificante"/>
    <s v="Lub 100G"/>
    <x v="40"/>
    <n v="0"/>
  </r>
  <r>
    <x v="40"/>
    <n v="2024"/>
    <x v="10"/>
    <x v="1"/>
    <s v="Gel Lubrificante"/>
    <s v="Lub 100G"/>
    <x v="40"/>
    <n v="0"/>
  </r>
  <r>
    <x v="40"/>
    <n v="2024"/>
    <x v="11"/>
    <x v="1"/>
    <s v="Gel Lubrificante"/>
    <s v="Lub 100G"/>
    <x v="40"/>
    <n v="0"/>
  </r>
  <r>
    <x v="41"/>
    <n v="2024"/>
    <x v="0"/>
    <x v="1"/>
    <s v="Gel Lubrificante"/>
    <s v="Lub 100G"/>
    <x v="41"/>
    <n v="0"/>
  </r>
  <r>
    <x v="41"/>
    <n v="2024"/>
    <x v="1"/>
    <x v="1"/>
    <s v="Gel Lubrificante"/>
    <s v="Lub 100G"/>
    <x v="41"/>
    <n v="0"/>
  </r>
  <r>
    <x v="41"/>
    <n v="2024"/>
    <x v="2"/>
    <x v="1"/>
    <s v="Gel Lubrificante"/>
    <s v="Lub 100G"/>
    <x v="41"/>
    <n v="0"/>
  </r>
  <r>
    <x v="41"/>
    <n v="2024"/>
    <x v="3"/>
    <x v="1"/>
    <s v="Gel Lubrificante"/>
    <s v="Lub 100G"/>
    <x v="41"/>
    <n v="0"/>
  </r>
  <r>
    <x v="41"/>
    <n v="2024"/>
    <x v="4"/>
    <x v="1"/>
    <s v="Gel Lubrificante"/>
    <s v="Lub 100G"/>
    <x v="41"/>
    <n v="0"/>
  </r>
  <r>
    <x v="41"/>
    <n v="2024"/>
    <x v="5"/>
    <x v="1"/>
    <s v="Gel Lubrificante"/>
    <s v="Lub 100G"/>
    <x v="41"/>
    <n v="0"/>
  </r>
  <r>
    <x v="41"/>
    <n v="2024"/>
    <x v="6"/>
    <x v="1"/>
    <s v="Gel Lubrificante"/>
    <s v="Lub 100G"/>
    <x v="41"/>
    <n v="0"/>
  </r>
  <r>
    <x v="41"/>
    <n v="2024"/>
    <x v="7"/>
    <x v="1"/>
    <s v="Gel Lubrificante"/>
    <s v="Lub 100G"/>
    <x v="41"/>
    <n v="0"/>
  </r>
  <r>
    <x v="41"/>
    <n v="2024"/>
    <x v="8"/>
    <x v="1"/>
    <s v="Gel Lubrificante"/>
    <s v="Lub 100G"/>
    <x v="41"/>
    <n v="0"/>
  </r>
  <r>
    <x v="41"/>
    <n v="2024"/>
    <x v="9"/>
    <x v="1"/>
    <s v="Gel Lubrificante"/>
    <s v="Lub 100G"/>
    <x v="41"/>
    <n v="0"/>
  </r>
  <r>
    <x v="41"/>
    <n v="2024"/>
    <x v="10"/>
    <x v="1"/>
    <s v="Gel Lubrificante"/>
    <s v="Lub 100G"/>
    <x v="41"/>
    <n v="0"/>
  </r>
  <r>
    <x v="41"/>
    <n v="2024"/>
    <x v="11"/>
    <x v="1"/>
    <s v="Gel Lubrificante"/>
    <s v="Lub 100G"/>
    <x v="41"/>
    <n v="0"/>
  </r>
  <r>
    <x v="42"/>
    <n v="2024"/>
    <x v="0"/>
    <x v="1"/>
    <s v="Gel Lubrificante"/>
    <s v="Lub 100G"/>
    <x v="42"/>
    <n v="0"/>
  </r>
  <r>
    <x v="42"/>
    <n v="2024"/>
    <x v="1"/>
    <x v="1"/>
    <s v="Gel Lubrificante"/>
    <s v="Lub 100G"/>
    <x v="42"/>
    <n v="0"/>
  </r>
  <r>
    <x v="42"/>
    <n v="2024"/>
    <x v="2"/>
    <x v="1"/>
    <s v="Gel Lubrificante"/>
    <s v="Lub 100G"/>
    <x v="42"/>
    <n v="0"/>
  </r>
  <r>
    <x v="42"/>
    <n v="2024"/>
    <x v="3"/>
    <x v="1"/>
    <s v="Gel Lubrificante"/>
    <s v="Lub 100G"/>
    <x v="42"/>
    <n v="0"/>
  </r>
  <r>
    <x v="42"/>
    <n v="2024"/>
    <x v="4"/>
    <x v="1"/>
    <s v="Gel Lubrificante"/>
    <s v="Lub 100G"/>
    <x v="42"/>
    <n v="0"/>
  </r>
  <r>
    <x v="42"/>
    <n v="2024"/>
    <x v="5"/>
    <x v="1"/>
    <s v="Gel Lubrificante"/>
    <s v="Lub 100G"/>
    <x v="42"/>
    <n v="0"/>
  </r>
  <r>
    <x v="42"/>
    <n v="2024"/>
    <x v="6"/>
    <x v="1"/>
    <s v="Gel Lubrificante"/>
    <s v="Lub 100G"/>
    <x v="42"/>
    <n v="0"/>
  </r>
  <r>
    <x v="42"/>
    <n v="2024"/>
    <x v="7"/>
    <x v="1"/>
    <s v="Gel Lubrificante"/>
    <s v="Lub 100G"/>
    <x v="42"/>
    <n v="0"/>
  </r>
  <r>
    <x v="42"/>
    <n v="2024"/>
    <x v="8"/>
    <x v="1"/>
    <s v="Gel Lubrificante"/>
    <s v="Lub 100G"/>
    <x v="42"/>
    <n v="0"/>
  </r>
  <r>
    <x v="42"/>
    <n v="2024"/>
    <x v="9"/>
    <x v="1"/>
    <s v="Gel Lubrificante"/>
    <s v="Lub 100G"/>
    <x v="42"/>
    <n v="0"/>
  </r>
  <r>
    <x v="42"/>
    <n v="2024"/>
    <x v="10"/>
    <x v="1"/>
    <s v="Gel Lubrificante"/>
    <s v="Lub 100G"/>
    <x v="42"/>
    <n v="0"/>
  </r>
  <r>
    <x v="42"/>
    <n v="2024"/>
    <x v="11"/>
    <x v="1"/>
    <s v="Gel Lubrificante"/>
    <s v="Lub 100G"/>
    <x v="42"/>
    <n v="0"/>
  </r>
  <r>
    <x v="43"/>
    <n v="2024"/>
    <x v="0"/>
    <x v="1"/>
    <s v="Gel Lubrificante"/>
    <s v="Lub 100G"/>
    <x v="43"/>
    <n v="0"/>
  </r>
  <r>
    <x v="43"/>
    <n v="2024"/>
    <x v="1"/>
    <x v="1"/>
    <s v="Gel Lubrificante"/>
    <s v="Lub 100G"/>
    <x v="43"/>
    <n v="0"/>
  </r>
  <r>
    <x v="43"/>
    <n v="2024"/>
    <x v="2"/>
    <x v="1"/>
    <s v="Gel Lubrificante"/>
    <s v="Lub 100G"/>
    <x v="43"/>
    <n v="0"/>
  </r>
  <r>
    <x v="43"/>
    <n v="2024"/>
    <x v="3"/>
    <x v="1"/>
    <s v="Gel Lubrificante"/>
    <s v="Lub 100G"/>
    <x v="43"/>
    <n v="0"/>
  </r>
  <r>
    <x v="43"/>
    <n v="2024"/>
    <x v="4"/>
    <x v="1"/>
    <s v="Gel Lubrificante"/>
    <s v="Lub 100G"/>
    <x v="43"/>
    <n v="0"/>
  </r>
  <r>
    <x v="43"/>
    <n v="2024"/>
    <x v="5"/>
    <x v="1"/>
    <s v="Gel Lubrificante"/>
    <s v="Lub 100G"/>
    <x v="43"/>
    <n v="0"/>
  </r>
  <r>
    <x v="43"/>
    <n v="2024"/>
    <x v="6"/>
    <x v="1"/>
    <s v="Gel Lubrificante"/>
    <s v="Lub 100G"/>
    <x v="43"/>
    <n v="0"/>
  </r>
  <r>
    <x v="43"/>
    <n v="2024"/>
    <x v="7"/>
    <x v="1"/>
    <s v="Gel Lubrificante"/>
    <s v="Lub 100G"/>
    <x v="43"/>
    <n v="0"/>
  </r>
  <r>
    <x v="43"/>
    <n v="2024"/>
    <x v="8"/>
    <x v="1"/>
    <s v="Gel Lubrificante"/>
    <s v="Lub 100G"/>
    <x v="43"/>
    <n v="0"/>
  </r>
  <r>
    <x v="43"/>
    <n v="2024"/>
    <x v="9"/>
    <x v="1"/>
    <s v="Gel Lubrificante"/>
    <s v="Lub 100G"/>
    <x v="43"/>
    <n v="0"/>
  </r>
  <r>
    <x v="43"/>
    <n v="2024"/>
    <x v="10"/>
    <x v="1"/>
    <s v="Gel Lubrificante"/>
    <s v="Lub 100G"/>
    <x v="43"/>
    <n v="0"/>
  </r>
  <r>
    <x v="43"/>
    <n v="2024"/>
    <x v="11"/>
    <x v="1"/>
    <s v="Gel Lubrificante"/>
    <s v="Lub 100G"/>
    <x v="43"/>
    <n v="0"/>
  </r>
  <r>
    <x v="44"/>
    <n v="2024"/>
    <x v="0"/>
    <x v="1"/>
    <s v="Gel Lubrificante"/>
    <s v="Lub 60G"/>
    <x v="44"/>
    <n v="0"/>
  </r>
  <r>
    <x v="44"/>
    <n v="2024"/>
    <x v="1"/>
    <x v="1"/>
    <s v="Gel Lubrificante"/>
    <s v="Lub 60G"/>
    <x v="44"/>
    <n v="0"/>
  </r>
  <r>
    <x v="44"/>
    <n v="2024"/>
    <x v="2"/>
    <x v="1"/>
    <s v="Gel Lubrificante"/>
    <s v="Lub 60G"/>
    <x v="44"/>
    <n v="0"/>
  </r>
  <r>
    <x v="44"/>
    <n v="2024"/>
    <x v="3"/>
    <x v="1"/>
    <s v="Gel Lubrificante"/>
    <s v="Lub 60G"/>
    <x v="44"/>
    <n v="0"/>
  </r>
  <r>
    <x v="44"/>
    <n v="2024"/>
    <x v="4"/>
    <x v="1"/>
    <s v="Gel Lubrificante"/>
    <s v="Lub 60G"/>
    <x v="44"/>
    <n v="0"/>
  </r>
  <r>
    <x v="44"/>
    <n v="2024"/>
    <x v="5"/>
    <x v="1"/>
    <s v="Gel Lubrificante"/>
    <s v="Lub 60G"/>
    <x v="44"/>
    <n v="0"/>
  </r>
  <r>
    <x v="44"/>
    <n v="2024"/>
    <x v="6"/>
    <x v="1"/>
    <s v="Gel Lubrificante"/>
    <s v="Lub 60G"/>
    <x v="44"/>
    <n v="0"/>
  </r>
  <r>
    <x v="44"/>
    <n v="2024"/>
    <x v="7"/>
    <x v="1"/>
    <s v="Gel Lubrificante"/>
    <s v="Lub 60G"/>
    <x v="44"/>
    <n v="0"/>
  </r>
  <r>
    <x v="44"/>
    <n v="2024"/>
    <x v="8"/>
    <x v="1"/>
    <s v="Gel Lubrificante"/>
    <s v="Lub 60G"/>
    <x v="44"/>
    <n v="0"/>
  </r>
  <r>
    <x v="44"/>
    <n v="2024"/>
    <x v="9"/>
    <x v="1"/>
    <s v="Gel Lubrificante"/>
    <s v="Lub 60G"/>
    <x v="44"/>
    <n v="0"/>
  </r>
  <r>
    <x v="44"/>
    <n v="2024"/>
    <x v="10"/>
    <x v="1"/>
    <s v="Gel Lubrificante"/>
    <s v="Lub 60G"/>
    <x v="44"/>
    <n v="0"/>
  </r>
  <r>
    <x v="44"/>
    <n v="2024"/>
    <x v="11"/>
    <x v="1"/>
    <s v="Gel Lubrificante"/>
    <s v="Lub 60G"/>
    <x v="44"/>
    <n v="0"/>
  </r>
  <r>
    <x v="45"/>
    <n v="2024"/>
    <x v="0"/>
    <x v="1"/>
    <s v="Intima"/>
    <s v="Wipes &amp; Softcup"/>
    <x v="45"/>
    <n v="0"/>
  </r>
  <r>
    <x v="45"/>
    <n v="2024"/>
    <x v="1"/>
    <x v="1"/>
    <s v="Intima"/>
    <s v="Wipes &amp; Softcup"/>
    <x v="45"/>
    <n v="0"/>
  </r>
  <r>
    <x v="45"/>
    <n v="2024"/>
    <x v="2"/>
    <x v="1"/>
    <s v="Intima"/>
    <s v="Wipes &amp; Softcup"/>
    <x v="45"/>
    <n v="0"/>
  </r>
  <r>
    <x v="45"/>
    <n v="2024"/>
    <x v="3"/>
    <x v="1"/>
    <s v="Intima"/>
    <s v="Wipes &amp; Softcup"/>
    <x v="45"/>
    <n v="0"/>
  </r>
  <r>
    <x v="45"/>
    <n v="2024"/>
    <x v="4"/>
    <x v="1"/>
    <s v="Intima"/>
    <s v="Wipes &amp; Softcup"/>
    <x v="45"/>
    <n v="0"/>
  </r>
  <r>
    <x v="45"/>
    <n v="2024"/>
    <x v="5"/>
    <x v="1"/>
    <s v="Intima"/>
    <s v="Wipes &amp; Softcup"/>
    <x v="45"/>
    <n v="0"/>
  </r>
  <r>
    <x v="45"/>
    <n v="2024"/>
    <x v="6"/>
    <x v="1"/>
    <s v="Intima"/>
    <s v="Wipes &amp; Softcup"/>
    <x v="45"/>
    <n v="0"/>
  </r>
  <r>
    <x v="45"/>
    <n v="2024"/>
    <x v="7"/>
    <x v="1"/>
    <s v="Intima"/>
    <s v="Wipes &amp; Softcup"/>
    <x v="45"/>
    <n v="0"/>
  </r>
  <r>
    <x v="45"/>
    <n v="2024"/>
    <x v="8"/>
    <x v="1"/>
    <s v="Intima"/>
    <s v="Wipes &amp; Softcup"/>
    <x v="45"/>
    <n v="884"/>
  </r>
  <r>
    <x v="45"/>
    <n v="2024"/>
    <x v="9"/>
    <x v="1"/>
    <s v="Intima"/>
    <s v="Wipes &amp; Softcup"/>
    <x v="45"/>
    <n v="596"/>
  </r>
  <r>
    <x v="45"/>
    <n v="2024"/>
    <x v="10"/>
    <x v="1"/>
    <s v="Intima"/>
    <s v="Wipes &amp; Softcup"/>
    <x v="45"/>
    <n v="620"/>
  </r>
  <r>
    <x v="45"/>
    <n v="2024"/>
    <x v="11"/>
    <x v="1"/>
    <s v="Intima"/>
    <s v="Wipes &amp; Softcup"/>
    <x v="45"/>
    <n v="993"/>
  </r>
  <r>
    <x v="46"/>
    <n v="2024"/>
    <x v="0"/>
    <x v="1"/>
    <s v="Intima"/>
    <s v="Wipes &amp; Softcup"/>
    <x v="46"/>
    <n v="0"/>
  </r>
  <r>
    <x v="46"/>
    <n v="2024"/>
    <x v="1"/>
    <x v="1"/>
    <s v="Intima"/>
    <s v="Wipes &amp; Softcup"/>
    <x v="46"/>
    <n v="0"/>
  </r>
  <r>
    <x v="46"/>
    <n v="2024"/>
    <x v="2"/>
    <x v="1"/>
    <s v="Intima"/>
    <s v="Wipes &amp; Softcup"/>
    <x v="46"/>
    <n v="0"/>
  </r>
  <r>
    <x v="46"/>
    <n v="2024"/>
    <x v="3"/>
    <x v="1"/>
    <s v="Intima"/>
    <s v="Wipes &amp; Softcup"/>
    <x v="46"/>
    <n v="0"/>
  </r>
  <r>
    <x v="46"/>
    <n v="2024"/>
    <x v="4"/>
    <x v="1"/>
    <s v="Intima"/>
    <s v="Wipes &amp; Softcup"/>
    <x v="46"/>
    <n v="0"/>
  </r>
  <r>
    <x v="46"/>
    <n v="2024"/>
    <x v="5"/>
    <x v="1"/>
    <s v="Intima"/>
    <s v="Wipes &amp; Softcup"/>
    <x v="46"/>
    <n v="0"/>
  </r>
  <r>
    <x v="46"/>
    <n v="2024"/>
    <x v="6"/>
    <x v="1"/>
    <s v="Intima"/>
    <s v="Wipes &amp; Softcup"/>
    <x v="46"/>
    <n v="0"/>
  </r>
  <r>
    <x v="46"/>
    <n v="2024"/>
    <x v="7"/>
    <x v="1"/>
    <s v="Intima"/>
    <s v="Wipes &amp; Softcup"/>
    <x v="46"/>
    <n v="0"/>
  </r>
  <r>
    <x v="46"/>
    <n v="2024"/>
    <x v="8"/>
    <x v="1"/>
    <s v="Intima"/>
    <s v="Wipes &amp; Softcup"/>
    <x v="46"/>
    <n v="0"/>
  </r>
  <r>
    <x v="46"/>
    <n v="2024"/>
    <x v="9"/>
    <x v="1"/>
    <s v="Intima"/>
    <s v="Wipes &amp; Softcup"/>
    <x v="46"/>
    <n v="0"/>
  </r>
  <r>
    <x v="46"/>
    <n v="2024"/>
    <x v="10"/>
    <x v="1"/>
    <s v="Intima"/>
    <s v="Wipes &amp; Softcup"/>
    <x v="46"/>
    <n v="0"/>
  </r>
  <r>
    <x v="46"/>
    <n v="2024"/>
    <x v="11"/>
    <x v="1"/>
    <s v="Intima"/>
    <s v="Wipes &amp; Softcup"/>
    <x v="46"/>
    <n v="0"/>
  </r>
  <r>
    <x v="47"/>
    <n v="2024"/>
    <x v="0"/>
    <x v="1"/>
    <s v="RX"/>
    <s v="Aspirators"/>
    <x v="47"/>
    <n v="0"/>
  </r>
  <r>
    <x v="47"/>
    <n v="2024"/>
    <x v="1"/>
    <x v="1"/>
    <s v="RX"/>
    <s v="Aspirators"/>
    <x v="47"/>
    <n v="0"/>
  </r>
  <r>
    <x v="47"/>
    <n v="2024"/>
    <x v="2"/>
    <x v="1"/>
    <s v="RX"/>
    <s v="Aspirators"/>
    <x v="47"/>
    <n v="0"/>
  </r>
  <r>
    <x v="47"/>
    <n v="2024"/>
    <x v="3"/>
    <x v="1"/>
    <s v="RX"/>
    <s v="Aspirators"/>
    <x v="47"/>
    <n v="0"/>
  </r>
  <r>
    <x v="47"/>
    <n v="2024"/>
    <x v="4"/>
    <x v="1"/>
    <s v="RX"/>
    <s v="Aspirators"/>
    <x v="47"/>
    <n v="0"/>
  </r>
  <r>
    <x v="47"/>
    <n v="2024"/>
    <x v="5"/>
    <x v="1"/>
    <s v="RX"/>
    <s v="Aspirators"/>
    <x v="47"/>
    <n v="0"/>
  </r>
  <r>
    <x v="47"/>
    <n v="2024"/>
    <x v="6"/>
    <x v="1"/>
    <s v="RX"/>
    <s v="Aspirators"/>
    <x v="47"/>
    <n v="0"/>
  </r>
  <r>
    <x v="47"/>
    <n v="2024"/>
    <x v="7"/>
    <x v="1"/>
    <s v="RX"/>
    <s v="Aspirators"/>
    <x v="47"/>
    <n v="0"/>
  </r>
  <r>
    <x v="47"/>
    <n v="2024"/>
    <x v="8"/>
    <x v="1"/>
    <s v="RX"/>
    <s v="Aspirators"/>
    <x v="47"/>
    <n v="316"/>
  </r>
  <r>
    <x v="47"/>
    <n v="2024"/>
    <x v="9"/>
    <x v="1"/>
    <s v="RX"/>
    <s v="Aspirators"/>
    <x v="47"/>
    <n v="1117"/>
  </r>
  <r>
    <x v="47"/>
    <n v="2024"/>
    <x v="10"/>
    <x v="1"/>
    <s v="RX"/>
    <s v="Aspirators"/>
    <x v="47"/>
    <n v="624"/>
  </r>
  <r>
    <x v="47"/>
    <n v="2024"/>
    <x v="11"/>
    <x v="1"/>
    <s v="RX"/>
    <s v="Aspirators"/>
    <x v="47"/>
    <n v="796"/>
  </r>
  <r>
    <x v="48"/>
    <n v="2024"/>
    <x v="0"/>
    <x v="1"/>
    <s v="RX"/>
    <s v="Aspirators"/>
    <x v="48"/>
    <n v="0"/>
  </r>
  <r>
    <x v="48"/>
    <n v="2024"/>
    <x v="1"/>
    <x v="1"/>
    <s v="RX"/>
    <s v="Aspirators"/>
    <x v="48"/>
    <n v="0"/>
  </r>
  <r>
    <x v="48"/>
    <n v="2024"/>
    <x v="2"/>
    <x v="1"/>
    <s v="RX"/>
    <s v="Aspirators"/>
    <x v="48"/>
    <n v="0"/>
  </r>
  <r>
    <x v="48"/>
    <n v="2024"/>
    <x v="3"/>
    <x v="1"/>
    <s v="RX"/>
    <s v="Aspirators"/>
    <x v="48"/>
    <n v="0"/>
  </r>
  <r>
    <x v="48"/>
    <n v="2024"/>
    <x v="4"/>
    <x v="1"/>
    <s v="RX"/>
    <s v="Aspirators"/>
    <x v="48"/>
    <n v="0"/>
  </r>
  <r>
    <x v="48"/>
    <n v="2024"/>
    <x v="5"/>
    <x v="1"/>
    <s v="RX"/>
    <s v="Aspirators"/>
    <x v="48"/>
    <n v="0"/>
  </r>
  <r>
    <x v="48"/>
    <n v="2024"/>
    <x v="6"/>
    <x v="1"/>
    <s v="RX"/>
    <s v="Aspirators"/>
    <x v="48"/>
    <n v="0"/>
  </r>
  <r>
    <x v="48"/>
    <n v="2024"/>
    <x v="7"/>
    <x v="1"/>
    <s v="RX"/>
    <s v="Aspirators"/>
    <x v="48"/>
    <n v="0"/>
  </r>
  <r>
    <x v="48"/>
    <n v="2024"/>
    <x v="8"/>
    <x v="1"/>
    <s v="RX"/>
    <s v="Aspirators"/>
    <x v="48"/>
    <n v="150"/>
  </r>
  <r>
    <x v="48"/>
    <n v="2024"/>
    <x v="9"/>
    <x v="1"/>
    <s v="RX"/>
    <s v="Aspirators"/>
    <x v="48"/>
    <n v="540"/>
  </r>
  <r>
    <x v="48"/>
    <n v="2024"/>
    <x v="10"/>
    <x v="1"/>
    <s v="RX"/>
    <s v="Aspirators"/>
    <x v="48"/>
    <n v="269"/>
  </r>
  <r>
    <x v="48"/>
    <n v="2024"/>
    <x v="11"/>
    <x v="1"/>
    <s v="RX"/>
    <s v="Aspirators"/>
    <x v="48"/>
    <n v="86"/>
  </r>
  <r>
    <x v="49"/>
    <n v="2024"/>
    <x v="0"/>
    <x v="1"/>
    <s v="RX"/>
    <s v="Cannulae"/>
    <x v="49"/>
    <n v="0"/>
  </r>
  <r>
    <x v="49"/>
    <n v="2024"/>
    <x v="1"/>
    <x v="1"/>
    <s v="RX"/>
    <s v="Cannulae"/>
    <x v="49"/>
    <n v="0"/>
  </r>
  <r>
    <x v="49"/>
    <n v="2024"/>
    <x v="2"/>
    <x v="1"/>
    <s v="RX"/>
    <s v="Cannulae"/>
    <x v="49"/>
    <n v="0"/>
  </r>
  <r>
    <x v="49"/>
    <n v="2024"/>
    <x v="3"/>
    <x v="1"/>
    <s v="RX"/>
    <s v="Cannulae"/>
    <x v="49"/>
    <n v="0"/>
  </r>
  <r>
    <x v="49"/>
    <n v="2024"/>
    <x v="4"/>
    <x v="1"/>
    <s v="RX"/>
    <s v="Cannulae"/>
    <x v="49"/>
    <n v="0"/>
  </r>
  <r>
    <x v="49"/>
    <n v="2024"/>
    <x v="5"/>
    <x v="1"/>
    <s v="RX"/>
    <s v="Cannulae"/>
    <x v="49"/>
    <n v="0"/>
  </r>
  <r>
    <x v="49"/>
    <n v="2024"/>
    <x v="6"/>
    <x v="1"/>
    <s v="RX"/>
    <s v="Cannulae"/>
    <x v="49"/>
    <n v="0"/>
  </r>
  <r>
    <x v="49"/>
    <n v="2024"/>
    <x v="7"/>
    <x v="1"/>
    <s v="RX"/>
    <s v="Cannulae"/>
    <x v="49"/>
    <n v="0"/>
  </r>
  <r>
    <x v="49"/>
    <n v="2024"/>
    <x v="8"/>
    <x v="1"/>
    <s v="RX"/>
    <s v="Cannulae"/>
    <x v="49"/>
    <n v="220"/>
  </r>
  <r>
    <x v="49"/>
    <n v="2024"/>
    <x v="9"/>
    <x v="1"/>
    <s v="RX"/>
    <s v="Cannulae"/>
    <x v="49"/>
    <n v="452"/>
  </r>
  <r>
    <x v="49"/>
    <n v="2024"/>
    <x v="10"/>
    <x v="1"/>
    <s v="RX"/>
    <s v="Cannulae"/>
    <x v="49"/>
    <n v="430"/>
  </r>
  <r>
    <x v="49"/>
    <n v="2024"/>
    <x v="11"/>
    <x v="1"/>
    <s v="RX"/>
    <s v="Cannulae"/>
    <x v="49"/>
    <n v="302"/>
  </r>
  <r>
    <x v="50"/>
    <n v="2024"/>
    <x v="0"/>
    <x v="1"/>
    <s v="RX"/>
    <s v="Cannulae"/>
    <x v="50"/>
    <n v="0"/>
  </r>
  <r>
    <x v="50"/>
    <n v="2024"/>
    <x v="1"/>
    <x v="1"/>
    <s v="RX"/>
    <s v="Cannulae"/>
    <x v="50"/>
    <n v="0"/>
  </r>
  <r>
    <x v="50"/>
    <n v="2024"/>
    <x v="2"/>
    <x v="1"/>
    <s v="RX"/>
    <s v="Cannulae"/>
    <x v="50"/>
    <n v="0"/>
  </r>
  <r>
    <x v="50"/>
    <n v="2024"/>
    <x v="3"/>
    <x v="1"/>
    <s v="RX"/>
    <s v="Cannulae"/>
    <x v="50"/>
    <n v="0"/>
  </r>
  <r>
    <x v="50"/>
    <n v="2024"/>
    <x v="4"/>
    <x v="1"/>
    <s v="RX"/>
    <s v="Cannulae"/>
    <x v="50"/>
    <n v="0"/>
  </r>
  <r>
    <x v="50"/>
    <n v="2024"/>
    <x v="5"/>
    <x v="1"/>
    <s v="RX"/>
    <s v="Cannulae"/>
    <x v="50"/>
    <n v="0"/>
  </r>
  <r>
    <x v="50"/>
    <n v="2024"/>
    <x v="6"/>
    <x v="1"/>
    <s v="RX"/>
    <s v="Cannulae"/>
    <x v="50"/>
    <n v="0"/>
  </r>
  <r>
    <x v="50"/>
    <n v="2024"/>
    <x v="7"/>
    <x v="1"/>
    <s v="RX"/>
    <s v="Cannulae"/>
    <x v="50"/>
    <n v="0"/>
  </r>
  <r>
    <x v="50"/>
    <n v="2024"/>
    <x v="8"/>
    <x v="1"/>
    <s v="RX"/>
    <s v="Cannulae"/>
    <x v="50"/>
    <n v="577"/>
  </r>
  <r>
    <x v="50"/>
    <n v="2024"/>
    <x v="9"/>
    <x v="1"/>
    <s v="RX"/>
    <s v="Cannulae"/>
    <x v="50"/>
    <n v="422"/>
  </r>
  <r>
    <x v="50"/>
    <n v="2024"/>
    <x v="10"/>
    <x v="1"/>
    <s v="RX"/>
    <s v="Cannulae"/>
    <x v="50"/>
    <n v="465"/>
  </r>
  <r>
    <x v="50"/>
    <n v="2024"/>
    <x v="11"/>
    <x v="1"/>
    <s v="RX"/>
    <s v="Cannulae"/>
    <x v="50"/>
    <n v="465"/>
  </r>
  <r>
    <x v="51"/>
    <n v="2024"/>
    <x v="0"/>
    <x v="1"/>
    <s v="RX"/>
    <s v="Cannulae"/>
    <x v="51"/>
    <n v="0"/>
  </r>
  <r>
    <x v="51"/>
    <n v="2024"/>
    <x v="1"/>
    <x v="1"/>
    <s v="RX"/>
    <s v="Cannulae"/>
    <x v="51"/>
    <n v="0"/>
  </r>
  <r>
    <x v="51"/>
    <n v="2024"/>
    <x v="2"/>
    <x v="1"/>
    <s v="RX"/>
    <s v="Cannulae"/>
    <x v="51"/>
    <n v="0"/>
  </r>
  <r>
    <x v="51"/>
    <n v="2024"/>
    <x v="3"/>
    <x v="1"/>
    <s v="RX"/>
    <s v="Cannulae"/>
    <x v="51"/>
    <n v="0"/>
  </r>
  <r>
    <x v="51"/>
    <n v="2024"/>
    <x v="4"/>
    <x v="1"/>
    <s v="RX"/>
    <s v="Cannulae"/>
    <x v="51"/>
    <n v="0"/>
  </r>
  <r>
    <x v="51"/>
    <n v="2024"/>
    <x v="5"/>
    <x v="1"/>
    <s v="RX"/>
    <s v="Cannulae"/>
    <x v="51"/>
    <n v="0"/>
  </r>
  <r>
    <x v="51"/>
    <n v="2024"/>
    <x v="6"/>
    <x v="1"/>
    <s v="RX"/>
    <s v="Cannulae"/>
    <x v="51"/>
    <n v="0"/>
  </r>
  <r>
    <x v="51"/>
    <n v="2024"/>
    <x v="7"/>
    <x v="1"/>
    <s v="RX"/>
    <s v="Cannulae"/>
    <x v="51"/>
    <n v="0"/>
  </r>
  <r>
    <x v="51"/>
    <n v="2024"/>
    <x v="8"/>
    <x v="1"/>
    <s v="RX"/>
    <s v="Cannulae"/>
    <x v="51"/>
    <n v="471"/>
  </r>
  <r>
    <x v="51"/>
    <n v="2024"/>
    <x v="9"/>
    <x v="1"/>
    <s v="RX"/>
    <s v="Cannulae"/>
    <x v="51"/>
    <n v="633"/>
  </r>
  <r>
    <x v="51"/>
    <n v="2024"/>
    <x v="10"/>
    <x v="1"/>
    <s v="RX"/>
    <s v="Cannulae"/>
    <x v="51"/>
    <n v="671"/>
  </r>
  <r>
    <x v="51"/>
    <n v="2024"/>
    <x v="11"/>
    <x v="1"/>
    <s v="RX"/>
    <s v="Cannulae"/>
    <x v="51"/>
    <n v="490"/>
  </r>
  <r>
    <x v="52"/>
    <n v="2024"/>
    <x v="0"/>
    <x v="1"/>
    <s v="RX"/>
    <s v="Cannulae"/>
    <x v="52"/>
    <n v="0"/>
  </r>
  <r>
    <x v="52"/>
    <n v="2024"/>
    <x v="1"/>
    <x v="1"/>
    <s v="RX"/>
    <s v="Cannulae"/>
    <x v="52"/>
    <n v="0"/>
  </r>
  <r>
    <x v="52"/>
    <n v="2024"/>
    <x v="2"/>
    <x v="1"/>
    <s v="RX"/>
    <s v="Cannulae"/>
    <x v="52"/>
    <n v="0"/>
  </r>
  <r>
    <x v="52"/>
    <n v="2024"/>
    <x v="3"/>
    <x v="1"/>
    <s v="RX"/>
    <s v="Cannulae"/>
    <x v="52"/>
    <n v="0"/>
  </r>
  <r>
    <x v="52"/>
    <n v="2024"/>
    <x v="4"/>
    <x v="1"/>
    <s v="RX"/>
    <s v="Cannulae"/>
    <x v="52"/>
    <n v="0"/>
  </r>
  <r>
    <x v="52"/>
    <n v="2024"/>
    <x v="5"/>
    <x v="1"/>
    <s v="RX"/>
    <s v="Cannulae"/>
    <x v="52"/>
    <n v="0"/>
  </r>
  <r>
    <x v="52"/>
    <n v="2024"/>
    <x v="6"/>
    <x v="1"/>
    <s v="RX"/>
    <s v="Cannulae"/>
    <x v="52"/>
    <n v="0"/>
  </r>
  <r>
    <x v="52"/>
    <n v="2024"/>
    <x v="7"/>
    <x v="1"/>
    <s v="RX"/>
    <s v="Cannulae"/>
    <x v="52"/>
    <n v="0"/>
  </r>
  <r>
    <x v="52"/>
    <n v="2024"/>
    <x v="8"/>
    <x v="1"/>
    <s v="RX"/>
    <s v="Cannulae"/>
    <x v="52"/>
    <n v="671"/>
  </r>
  <r>
    <x v="52"/>
    <n v="2024"/>
    <x v="9"/>
    <x v="1"/>
    <s v="RX"/>
    <s v="Cannulae"/>
    <x v="52"/>
    <n v="1191"/>
  </r>
  <r>
    <x v="52"/>
    <n v="2024"/>
    <x v="10"/>
    <x v="1"/>
    <s v="RX"/>
    <s v="Cannulae"/>
    <x v="52"/>
    <n v="629"/>
  </r>
  <r>
    <x v="52"/>
    <n v="2024"/>
    <x v="11"/>
    <x v="1"/>
    <s v="RX"/>
    <s v="Cannulae"/>
    <x v="52"/>
    <n v="856"/>
  </r>
  <r>
    <x v="53"/>
    <n v="2024"/>
    <x v="0"/>
    <x v="1"/>
    <s v="RX"/>
    <s v="Cannulae"/>
    <x v="53"/>
    <n v="0"/>
  </r>
  <r>
    <x v="53"/>
    <n v="2024"/>
    <x v="1"/>
    <x v="1"/>
    <s v="RX"/>
    <s v="Cannulae"/>
    <x v="53"/>
    <n v="0"/>
  </r>
  <r>
    <x v="53"/>
    <n v="2024"/>
    <x v="2"/>
    <x v="1"/>
    <s v="RX"/>
    <s v="Cannulae"/>
    <x v="53"/>
    <n v="0"/>
  </r>
  <r>
    <x v="53"/>
    <n v="2024"/>
    <x v="3"/>
    <x v="1"/>
    <s v="RX"/>
    <s v="Cannulae"/>
    <x v="53"/>
    <n v="0"/>
  </r>
  <r>
    <x v="53"/>
    <n v="2024"/>
    <x v="4"/>
    <x v="1"/>
    <s v="RX"/>
    <s v="Cannulae"/>
    <x v="53"/>
    <n v="0"/>
  </r>
  <r>
    <x v="53"/>
    <n v="2024"/>
    <x v="5"/>
    <x v="1"/>
    <s v="RX"/>
    <s v="Cannulae"/>
    <x v="53"/>
    <n v="0"/>
  </r>
  <r>
    <x v="53"/>
    <n v="2024"/>
    <x v="6"/>
    <x v="1"/>
    <s v="RX"/>
    <s v="Cannulae"/>
    <x v="53"/>
    <n v="0"/>
  </r>
  <r>
    <x v="53"/>
    <n v="2024"/>
    <x v="7"/>
    <x v="1"/>
    <s v="RX"/>
    <s v="Cannulae"/>
    <x v="53"/>
    <n v="0"/>
  </r>
  <r>
    <x v="53"/>
    <n v="2024"/>
    <x v="8"/>
    <x v="1"/>
    <s v="RX"/>
    <s v="Cannulae"/>
    <x v="53"/>
    <n v="768"/>
  </r>
  <r>
    <x v="53"/>
    <n v="2024"/>
    <x v="9"/>
    <x v="1"/>
    <s v="RX"/>
    <s v="Cannulae"/>
    <x v="53"/>
    <n v="716"/>
  </r>
  <r>
    <x v="53"/>
    <n v="2024"/>
    <x v="10"/>
    <x v="1"/>
    <s v="RX"/>
    <s v="Cannulae"/>
    <x v="53"/>
    <n v="509"/>
  </r>
  <r>
    <x v="53"/>
    <n v="2024"/>
    <x v="11"/>
    <x v="1"/>
    <s v="RX"/>
    <s v="Cannulae"/>
    <x v="53"/>
    <n v="611"/>
  </r>
  <r>
    <x v="54"/>
    <n v="2024"/>
    <x v="0"/>
    <x v="1"/>
    <s v="RX"/>
    <s v="Cannulae"/>
    <x v="54"/>
    <n v="0"/>
  </r>
  <r>
    <x v="54"/>
    <n v="2024"/>
    <x v="1"/>
    <x v="1"/>
    <s v="RX"/>
    <s v="Cannulae"/>
    <x v="54"/>
    <n v="0"/>
  </r>
  <r>
    <x v="54"/>
    <n v="2024"/>
    <x v="2"/>
    <x v="1"/>
    <s v="RX"/>
    <s v="Cannulae"/>
    <x v="54"/>
    <n v="0"/>
  </r>
  <r>
    <x v="54"/>
    <n v="2024"/>
    <x v="3"/>
    <x v="1"/>
    <s v="RX"/>
    <s v="Cannulae"/>
    <x v="54"/>
    <n v="0"/>
  </r>
  <r>
    <x v="54"/>
    <n v="2024"/>
    <x v="4"/>
    <x v="1"/>
    <s v="RX"/>
    <s v="Cannulae"/>
    <x v="54"/>
    <n v="0"/>
  </r>
  <r>
    <x v="54"/>
    <n v="2024"/>
    <x v="5"/>
    <x v="1"/>
    <s v="RX"/>
    <s v="Cannulae"/>
    <x v="54"/>
    <n v="0"/>
  </r>
  <r>
    <x v="54"/>
    <n v="2024"/>
    <x v="6"/>
    <x v="1"/>
    <s v="RX"/>
    <s v="Cannulae"/>
    <x v="54"/>
    <n v="0"/>
  </r>
  <r>
    <x v="54"/>
    <n v="2024"/>
    <x v="7"/>
    <x v="1"/>
    <s v="RX"/>
    <s v="Cannulae"/>
    <x v="54"/>
    <n v="0"/>
  </r>
  <r>
    <x v="54"/>
    <n v="2024"/>
    <x v="8"/>
    <x v="1"/>
    <s v="RX"/>
    <s v="Cannulae"/>
    <x v="54"/>
    <n v="672"/>
  </r>
  <r>
    <x v="54"/>
    <n v="2024"/>
    <x v="9"/>
    <x v="1"/>
    <s v="RX"/>
    <s v="Cannulae"/>
    <x v="54"/>
    <n v="470"/>
  </r>
  <r>
    <x v="54"/>
    <n v="2024"/>
    <x v="10"/>
    <x v="1"/>
    <s v="RX"/>
    <s v="Cannulae"/>
    <x v="54"/>
    <n v="483"/>
  </r>
  <r>
    <x v="54"/>
    <n v="2024"/>
    <x v="11"/>
    <x v="1"/>
    <s v="RX"/>
    <s v="Cannulae"/>
    <x v="54"/>
    <n v="341"/>
  </r>
  <r>
    <x v="55"/>
    <n v="2024"/>
    <x v="0"/>
    <x v="1"/>
    <s v="RX"/>
    <s v="Cannulae"/>
    <x v="55"/>
    <n v="0"/>
  </r>
  <r>
    <x v="55"/>
    <n v="2024"/>
    <x v="1"/>
    <x v="1"/>
    <s v="RX"/>
    <s v="Cannulae"/>
    <x v="55"/>
    <n v="0"/>
  </r>
  <r>
    <x v="55"/>
    <n v="2024"/>
    <x v="2"/>
    <x v="1"/>
    <s v="RX"/>
    <s v="Cannulae"/>
    <x v="55"/>
    <n v="0"/>
  </r>
  <r>
    <x v="55"/>
    <n v="2024"/>
    <x v="3"/>
    <x v="1"/>
    <s v="RX"/>
    <s v="Cannulae"/>
    <x v="55"/>
    <n v="0"/>
  </r>
  <r>
    <x v="55"/>
    <n v="2024"/>
    <x v="4"/>
    <x v="1"/>
    <s v="RX"/>
    <s v="Cannulae"/>
    <x v="55"/>
    <n v="0"/>
  </r>
  <r>
    <x v="55"/>
    <n v="2024"/>
    <x v="5"/>
    <x v="1"/>
    <s v="RX"/>
    <s v="Cannulae"/>
    <x v="55"/>
    <n v="0"/>
  </r>
  <r>
    <x v="55"/>
    <n v="2024"/>
    <x v="6"/>
    <x v="1"/>
    <s v="RX"/>
    <s v="Cannulae"/>
    <x v="55"/>
    <n v="0"/>
  </r>
  <r>
    <x v="55"/>
    <n v="2024"/>
    <x v="7"/>
    <x v="1"/>
    <s v="RX"/>
    <s v="Cannulae"/>
    <x v="55"/>
    <n v="0"/>
  </r>
  <r>
    <x v="55"/>
    <n v="2024"/>
    <x v="8"/>
    <x v="1"/>
    <s v="RX"/>
    <s v="Cannulae"/>
    <x v="55"/>
    <n v="313"/>
  </r>
  <r>
    <x v="55"/>
    <n v="2024"/>
    <x v="9"/>
    <x v="1"/>
    <s v="RX"/>
    <s v="Cannulae"/>
    <x v="55"/>
    <n v="305"/>
  </r>
  <r>
    <x v="55"/>
    <n v="2024"/>
    <x v="10"/>
    <x v="1"/>
    <s v="RX"/>
    <s v="Cannulae"/>
    <x v="55"/>
    <n v="513"/>
  </r>
  <r>
    <x v="55"/>
    <n v="2024"/>
    <x v="11"/>
    <x v="1"/>
    <s v="RX"/>
    <s v="Cannulae"/>
    <x v="55"/>
    <n v="344"/>
  </r>
  <r>
    <x v="56"/>
    <n v="2024"/>
    <x v="0"/>
    <x v="1"/>
    <s v="RX"/>
    <s v="Cannulae"/>
    <x v="56"/>
    <n v="0"/>
  </r>
  <r>
    <x v="56"/>
    <n v="2024"/>
    <x v="1"/>
    <x v="1"/>
    <s v="RX"/>
    <s v="Cannulae"/>
    <x v="56"/>
    <n v="0"/>
  </r>
  <r>
    <x v="56"/>
    <n v="2024"/>
    <x v="2"/>
    <x v="1"/>
    <s v="RX"/>
    <s v="Cannulae"/>
    <x v="56"/>
    <n v="0"/>
  </r>
  <r>
    <x v="56"/>
    <n v="2024"/>
    <x v="3"/>
    <x v="1"/>
    <s v="RX"/>
    <s v="Cannulae"/>
    <x v="56"/>
    <n v="0"/>
  </r>
  <r>
    <x v="56"/>
    <n v="2024"/>
    <x v="4"/>
    <x v="1"/>
    <s v="RX"/>
    <s v="Cannulae"/>
    <x v="56"/>
    <n v="0"/>
  </r>
  <r>
    <x v="56"/>
    <n v="2024"/>
    <x v="5"/>
    <x v="1"/>
    <s v="RX"/>
    <s v="Cannulae"/>
    <x v="56"/>
    <n v="0"/>
  </r>
  <r>
    <x v="56"/>
    <n v="2024"/>
    <x v="6"/>
    <x v="1"/>
    <s v="RX"/>
    <s v="Cannulae"/>
    <x v="56"/>
    <n v="0"/>
  </r>
  <r>
    <x v="56"/>
    <n v="2024"/>
    <x v="7"/>
    <x v="1"/>
    <s v="RX"/>
    <s v="Cannulae"/>
    <x v="56"/>
    <n v="0"/>
  </r>
  <r>
    <x v="56"/>
    <n v="2024"/>
    <x v="8"/>
    <x v="1"/>
    <s v="RX"/>
    <s v="Cannulae"/>
    <x v="56"/>
    <n v="528"/>
  </r>
  <r>
    <x v="56"/>
    <n v="2024"/>
    <x v="9"/>
    <x v="1"/>
    <s v="RX"/>
    <s v="Cannulae"/>
    <x v="56"/>
    <n v="88"/>
  </r>
  <r>
    <x v="56"/>
    <n v="2024"/>
    <x v="10"/>
    <x v="1"/>
    <s v="RX"/>
    <s v="Cannulae"/>
    <x v="56"/>
    <n v="205"/>
  </r>
  <r>
    <x v="56"/>
    <n v="2024"/>
    <x v="11"/>
    <x v="1"/>
    <s v="RX"/>
    <s v="Cannulae"/>
    <x v="56"/>
    <n v="336"/>
  </r>
  <r>
    <x v="57"/>
    <n v="2024"/>
    <x v="0"/>
    <x v="1"/>
    <s v="RX"/>
    <s v="Dilators"/>
    <x v="57"/>
    <n v="0"/>
  </r>
  <r>
    <x v="57"/>
    <n v="2024"/>
    <x v="1"/>
    <x v="1"/>
    <s v="RX"/>
    <s v="Dilators"/>
    <x v="57"/>
    <n v="0"/>
  </r>
  <r>
    <x v="57"/>
    <n v="2024"/>
    <x v="2"/>
    <x v="1"/>
    <s v="RX"/>
    <s v="Dilators"/>
    <x v="57"/>
    <n v="0"/>
  </r>
  <r>
    <x v="57"/>
    <n v="2024"/>
    <x v="3"/>
    <x v="1"/>
    <s v="RX"/>
    <s v="Dilators"/>
    <x v="57"/>
    <n v="0"/>
  </r>
  <r>
    <x v="57"/>
    <n v="2024"/>
    <x v="4"/>
    <x v="1"/>
    <s v="RX"/>
    <s v="Dilators"/>
    <x v="57"/>
    <n v="0"/>
  </r>
  <r>
    <x v="57"/>
    <n v="2024"/>
    <x v="5"/>
    <x v="1"/>
    <s v="RX"/>
    <s v="Dilators"/>
    <x v="57"/>
    <n v="0"/>
  </r>
  <r>
    <x v="57"/>
    <n v="2024"/>
    <x v="6"/>
    <x v="1"/>
    <s v="RX"/>
    <s v="Dilators"/>
    <x v="57"/>
    <n v="0"/>
  </r>
  <r>
    <x v="57"/>
    <n v="2024"/>
    <x v="7"/>
    <x v="1"/>
    <s v="RX"/>
    <s v="Dilators"/>
    <x v="57"/>
    <n v="0"/>
  </r>
  <r>
    <x v="57"/>
    <n v="2024"/>
    <x v="8"/>
    <x v="1"/>
    <s v="RX"/>
    <s v="Dilators"/>
    <x v="57"/>
    <n v="3588"/>
  </r>
  <r>
    <x v="57"/>
    <n v="2024"/>
    <x v="9"/>
    <x v="1"/>
    <s v="RX"/>
    <s v="Dilators"/>
    <x v="57"/>
    <n v="3318"/>
  </r>
  <r>
    <x v="57"/>
    <n v="2024"/>
    <x v="10"/>
    <x v="1"/>
    <s v="RX"/>
    <s v="Dilators"/>
    <x v="57"/>
    <n v="6180"/>
  </r>
  <r>
    <x v="57"/>
    <n v="2024"/>
    <x v="11"/>
    <x v="1"/>
    <s v="RX"/>
    <s v="Dilators"/>
    <x v="57"/>
    <n v="1923"/>
  </r>
  <r>
    <x v="58"/>
    <n v="2024"/>
    <x v="0"/>
    <x v="1"/>
    <s v="RX"/>
    <s v="IUDs Cu &amp; IUS &amp; IUB"/>
    <x v="58"/>
    <n v="0"/>
  </r>
  <r>
    <x v="58"/>
    <n v="2024"/>
    <x v="1"/>
    <x v="1"/>
    <s v="RX"/>
    <s v="IUDs Cu &amp; IUS &amp; IUB"/>
    <x v="58"/>
    <n v="0"/>
  </r>
  <r>
    <x v="58"/>
    <n v="2024"/>
    <x v="2"/>
    <x v="1"/>
    <s v="RX"/>
    <s v="IUDs Cu &amp; IUS &amp; IUB"/>
    <x v="58"/>
    <n v="0"/>
  </r>
  <r>
    <x v="58"/>
    <n v="2024"/>
    <x v="3"/>
    <x v="1"/>
    <s v="RX"/>
    <s v="IUDs Cu &amp; IUS &amp; IUB"/>
    <x v="58"/>
    <n v="0"/>
  </r>
  <r>
    <x v="58"/>
    <n v="2024"/>
    <x v="4"/>
    <x v="1"/>
    <s v="RX"/>
    <s v="IUDs Cu &amp; IUS &amp; IUB"/>
    <x v="58"/>
    <n v="0"/>
  </r>
  <r>
    <x v="58"/>
    <n v="2024"/>
    <x v="5"/>
    <x v="1"/>
    <s v="RX"/>
    <s v="IUDs Cu &amp; IUS &amp; IUB"/>
    <x v="58"/>
    <n v="0"/>
  </r>
  <r>
    <x v="58"/>
    <n v="2024"/>
    <x v="6"/>
    <x v="1"/>
    <s v="RX"/>
    <s v="IUDs Cu &amp; IUS &amp; IUB"/>
    <x v="58"/>
    <n v="0"/>
  </r>
  <r>
    <x v="58"/>
    <n v="2024"/>
    <x v="7"/>
    <x v="1"/>
    <s v="RX"/>
    <s v="IUDs Cu &amp; IUS &amp; IUB"/>
    <x v="58"/>
    <n v="0"/>
  </r>
  <r>
    <x v="58"/>
    <n v="2024"/>
    <x v="8"/>
    <x v="1"/>
    <s v="RX"/>
    <s v="IUDs Cu &amp; IUS &amp; IUB"/>
    <x v="58"/>
    <n v="0"/>
  </r>
  <r>
    <x v="58"/>
    <n v="2024"/>
    <x v="9"/>
    <x v="1"/>
    <s v="RX"/>
    <s v="IUDs Cu &amp; IUS &amp; IUB"/>
    <x v="58"/>
    <n v="455"/>
  </r>
  <r>
    <x v="58"/>
    <n v="2024"/>
    <x v="10"/>
    <x v="1"/>
    <s v="RX"/>
    <s v="IUDs Cu &amp; IUS &amp; IUB"/>
    <x v="58"/>
    <n v="614"/>
  </r>
  <r>
    <x v="58"/>
    <n v="2024"/>
    <x v="11"/>
    <x v="1"/>
    <s v="RX"/>
    <s v="IUDs Cu &amp; IUS &amp; IUB"/>
    <x v="58"/>
    <n v="120"/>
  </r>
  <r>
    <x v="59"/>
    <n v="2024"/>
    <x v="0"/>
    <x v="1"/>
    <s v="RX"/>
    <s v="IUDs Cu &amp; IUS &amp; IUB"/>
    <x v="59"/>
    <n v="0"/>
  </r>
  <r>
    <x v="59"/>
    <n v="2024"/>
    <x v="1"/>
    <x v="1"/>
    <s v="RX"/>
    <s v="IUDs Cu &amp; IUS &amp; IUB"/>
    <x v="59"/>
    <n v="0"/>
  </r>
  <r>
    <x v="59"/>
    <n v="2024"/>
    <x v="2"/>
    <x v="1"/>
    <s v="RX"/>
    <s v="IUDs Cu &amp; IUS &amp; IUB"/>
    <x v="59"/>
    <n v="0"/>
  </r>
  <r>
    <x v="59"/>
    <n v="2024"/>
    <x v="3"/>
    <x v="1"/>
    <s v="RX"/>
    <s v="IUDs Cu &amp; IUS &amp; IUB"/>
    <x v="59"/>
    <n v="0"/>
  </r>
  <r>
    <x v="59"/>
    <n v="2024"/>
    <x v="4"/>
    <x v="1"/>
    <s v="RX"/>
    <s v="IUDs Cu &amp; IUS &amp; IUB"/>
    <x v="59"/>
    <n v="0"/>
  </r>
  <r>
    <x v="59"/>
    <n v="2024"/>
    <x v="5"/>
    <x v="1"/>
    <s v="RX"/>
    <s v="IUDs Cu &amp; IUS &amp; IUB"/>
    <x v="59"/>
    <n v="0"/>
  </r>
  <r>
    <x v="59"/>
    <n v="2024"/>
    <x v="6"/>
    <x v="1"/>
    <s v="RX"/>
    <s v="IUDs Cu &amp; IUS &amp; IUB"/>
    <x v="59"/>
    <n v="0"/>
  </r>
  <r>
    <x v="59"/>
    <n v="2024"/>
    <x v="7"/>
    <x v="1"/>
    <s v="RX"/>
    <s v="IUDs Cu &amp; IUS &amp; IUB"/>
    <x v="59"/>
    <n v="0"/>
  </r>
  <r>
    <x v="59"/>
    <n v="2024"/>
    <x v="8"/>
    <x v="1"/>
    <s v="RX"/>
    <s v="IUDs Cu &amp; IUS &amp; IUB"/>
    <x v="59"/>
    <n v="0"/>
  </r>
  <r>
    <x v="59"/>
    <n v="2024"/>
    <x v="9"/>
    <x v="1"/>
    <s v="RX"/>
    <s v="IUDs Cu &amp; IUS &amp; IUB"/>
    <x v="59"/>
    <n v="1026"/>
  </r>
  <r>
    <x v="59"/>
    <n v="2024"/>
    <x v="10"/>
    <x v="1"/>
    <s v="RX"/>
    <s v="IUDs Cu &amp; IUS &amp; IUB"/>
    <x v="59"/>
    <n v="802"/>
  </r>
  <r>
    <x v="59"/>
    <n v="2024"/>
    <x v="11"/>
    <x v="1"/>
    <s v="RX"/>
    <s v="IUDs Cu &amp; IUS &amp; IUB"/>
    <x v="59"/>
    <n v="788"/>
  </r>
  <r>
    <x v="60"/>
    <n v="2024"/>
    <x v="0"/>
    <x v="1"/>
    <s v="RX"/>
    <s v="IUDs Cu &amp; IUS &amp; IUB"/>
    <x v="60"/>
    <n v="0"/>
  </r>
  <r>
    <x v="60"/>
    <n v="2024"/>
    <x v="1"/>
    <x v="1"/>
    <s v="RX"/>
    <s v="IUDs Cu &amp; IUS &amp; IUB"/>
    <x v="60"/>
    <n v="0"/>
  </r>
  <r>
    <x v="60"/>
    <n v="2024"/>
    <x v="2"/>
    <x v="1"/>
    <s v="RX"/>
    <s v="IUDs Cu &amp; IUS &amp; IUB"/>
    <x v="60"/>
    <n v="0"/>
  </r>
  <r>
    <x v="60"/>
    <n v="2024"/>
    <x v="3"/>
    <x v="1"/>
    <s v="RX"/>
    <s v="IUDs Cu &amp; IUS &amp; IUB"/>
    <x v="60"/>
    <n v="0"/>
  </r>
  <r>
    <x v="60"/>
    <n v="2024"/>
    <x v="4"/>
    <x v="1"/>
    <s v="RX"/>
    <s v="IUDs Cu &amp; IUS &amp; IUB"/>
    <x v="60"/>
    <n v="0"/>
  </r>
  <r>
    <x v="60"/>
    <n v="2024"/>
    <x v="5"/>
    <x v="1"/>
    <s v="RX"/>
    <s v="IUDs Cu &amp; IUS &amp; IUB"/>
    <x v="60"/>
    <n v="0"/>
  </r>
  <r>
    <x v="60"/>
    <n v="2024"/>
    <x v="6"/>
    <x v="1"/>
    <s v="RX"/>
    <s v="IUDs Cu &amp; IUS &amp; IUB"/>
    <x v="60"/>
    <n v="0"/>
  </r>
  <r>
    <x v="60"/>
    <n v="2024"/>
    <x v="7"/>
    <x v="1"/>
    <s v="RX"/>
    <s v="IUDs Cu &amp; IUS &amp; IUB"/>
    <x v="60"/>
    <n v="0"/>
  </r>
  <r>
    <x v="60"/>
    <n v="2024"/>
    <x v="8"/>
    <x v="1"/>
    <s v="RX"/>
    <s v="IUDs Cu &amp; IUS &amp; IUB"/>
    <x v="60"/>
    <n v="4132"/>
  </r>
  <r>
    <x v="60"/>
    <n v="2024"/>
    <x v="9"/>
    <x v="1"/>
    <s v="RX"/>
    <s v="IUDs Cu &amp; IUS &amp; IUB"/>
    <x v="60"/>
    <n v="494"/>
  </r>
  <r>
    <x v="60"/>
    <n v="2024"/>
    <x v="10"/>
    <x v="1"/>
    <s v="RX"/>
    <s v="IUDs Cu &amp; IUS &amp; IUB"/>
    <x v="60"/>
    <n v="3129"/>
  </r>
  <r>
    <x v="60"/>
    <n v="2024"/>
    <x v="11"/>
    <x v="1"/>
    <s v="RX"/>
    <s v="IUDs Cu &amp; IUS &amp; IUB"/>
    <x v="60"/>
    <n v="2331"/>
  </r>
  <r>
    <x v="61"/>
    <n v="2024"/>
    <x v="0"/>
    <x v="1"/>
    <s v="RX"/>
    <s v="IUDs Cu &amp; IUS &amp; IUB"/>
    <x v="61"/>
    <n v="0"/>
  </r>
  <r>
    <x v="61"/>
    <n v="2024"/>
    <x v="1"/>
    <x v="1"/>
    <s v="RX"/>
    <s v="IUDs Cu &amp; IUS &amp; IUB"/>
    <x v="61"/>
    <n v="0"/>
  </r>
  <r>
    <x v="61"/>
    <n v="2024"/>
    <x v="2"/>
    <x v="1"/>
    <s v="RX"/>
    <s v="IUDs Cu &amp; IUS &amp; IUB"/>
    <x v="61"/>
    <n v="0"/>
  </r>
  <r>
    <x v="61"/>
    <n v="2024"/>
    <x v="3"/>
    <x v="1"/>
    <s v="RX"/>
    <s v="IUDs Cu &amp; IUS &amp; IUB"/>
    <x v="61"/>
    <n v="0"/>
  </r>
  <r>
    <x v="61"/>
    <n v="2024"/>
    <x v="4"/>
    <x v="1"/>
    <s v="RX"/>
    <s v="IUDs Cu &amp; IUS &amp; IUB"/>
    <x v="61"/>
    <n v="0"/>
  </r>
  <r>
    <x v="61"/>
    <n v="2024"/>
    <x v="5"/>
    <x v="1"/>
    <s v="RX"/>
    <s v="IUDs Cu &amp; IUS &amp; IUB"/>
    <x v="61"/>
    <n v="0"/>
  </r>
  <r>
    <x v="61"/>
    <n v="2024"/>
    <x v="6"/>
    <x v="1"/>
    <s v="RX"/>
    <s v="IUDs Cu &amp; IUS &amp; IUB"/>
    <x v="61"/>
    <n v="0"/>
  </r>
  <r>
    <x v="61"/>
    <n v="2024"/>
    <x v="7"/>
    <x v="1"/>
    <s v="RX"/>
    <s v="IUDs Cu &amp; IUS &amp; IUB"/>
    <x v="61"/>
    <n v="0"/>
  </r>
  <r>
    <x v="61"/>
    <n v="2024"/>
    <x v="8"/>
    <x v="1"/>
    <s v="RX"/>
    <s v="IUDs Cu &amp; IUS &amp; IUB"/>
    <x v="61"/>
    <n v="1685"/>
  </r>
  <r>
    <x v="61"/>
    <n v="2024"/>
    <x v="9"/>
    <x v="1"/>
    <s v="RX"/>
    <s v="IUDs Cu &amp; IUS &amp; IUB"/>
    <x v="61"/>
    <n v="1064"/>
  </r>
  <r>
    <x v="61"/>
    <n v="2024"/>
    <x v="10"/>
    <x v="1"/>
    <s v="RX"/>
    <s v="IUDs Cu &amp; IUS &amp; IUB"/>
    <x v="61"/>
    <n v="1095"/>
  </r>
  <r>
    <x v="61"/>
    <n v="2024"/>
    <x v="11"/>
    <x v="1"/>
    <s v="RX"/>
    <s v="IUDs Cu &amp; IUS &amp; IUB"/>
    <x v="61"/>
    <n v="966"/>
  </r>
  <r>
    <x v="62"/>
    <n v="2024"/>
    <x v="0"/>
    <x v="1"/>
    <s v="RX"/>
    <s v="IUDs Cu &amp; IUS &amp; IUB"/>
    <x v="62"/>
    <n v="0"/>
  </r>
  <r>
    <x v="62"/>
    <n v="2024"/>
    <x v="1"/>
    <x v="1"/>
    <s v="RX"/>
    <s v="IUDs Cu &amp; IUS &amp; IUB"/>
    <x v="62"/>
    <n v="0"/>
  </r>
  <r>
    <x v="62"/>
    <n v="2024"/>
    <x v="2"/>
    <x v="1"/>
    <s v="RX"/>
    <s v="IUDs Cu &amp; IUS &amp; IUB"/>
    <x v="62"/>
    <n v="0"/>
  </r>
  <r>
    <x v="62"/>
    <n v="2024"/>
    <x v="3"/>
    <x v="1"/>
    <s v="RX"/>
    <s v="IUDs Cu &amp; IUS &amp; IUB"/>
    <x v="62"/>
    <n v="0"/>
  </r>
  <r>
    <x v="62"/>
    <n v="2024"/>
    <x v="4"/>
    <x v="1"/>
    <s v="RX"/>
    <s v="IUDs Cu &amp; IUS &amp; IUB"/>
    <x v="62"/>
    <n v="0"/>
  </r>
  <r>
    <x v="62"/>
    <n v="2024"/>
    <x v="5"/>
    <x v="1"/>
    <s v="RX"/>
    <s v="IUDs Cu &amp; IUS &amp; IUB"/>
    <x v="62"/>
    <n v="0"/>
  </r>
  <r>
    <x v="62"/>
    <n v="2024"/>
    <x v="6"/>
    <x v="1"/>
    <s v="RX"/>
    <s v="IUDs Cu &amp; IUS &amp; IUB"/>
    <x v="62"/>
    <n v="0"/>
  </r>
  <r>
    <x v="62"/>
    <n v="2024"/>
    <x v="7"/>
    <x v="1"/>
    <s v="RX"/>
    <s v="IUDs Cu &amp; IUS &amp; IUB"/>
    <x v="62"/>
    <n v="0"/>
  </r>
  <r>
    <x v="62"/>
    <n v="2024"/>
    <x v="8"/>
    <x v="1"/>
    <s v="RX"/>
    <s v="IUDs Cu &amp; IUS &amp; IUB"/>
    <x v="62"/>
    <n v="24"/>
  </r>
  <r>
    <x v="62"/>
    <n v="2024"/>
    <x v="9"/>
    <x v="1"/>
    <s v="RX"/>
    <s v="IUDs Cu &amp; IUS &amp; IUB"/>
    <x v="62"/>
    <n v="45"/>
  </r>
  <r>
    <x v="62"/>
    <n v="2024"/>
    <x v="10"/>
    <x v="1"/>
    <s v="RX"/>
    <s v="IUDs Cu &amp; IUS &amp; IUB"/>
    <x v="62"/>
    <n v="22"/>
  </r>
  <r>
    <x v="62"/>
    <n v="2024"/>
    <x v="11"/>
    <x v="1"/>
    <s v="RX"/>
    <s v="IUDs Cu &amp; IUS &amp; IUB"/>
    <x v="62"/>
    <n v="41"/>
  </r>
  <r>
    <x v="63"/>
    <n v="2024"/>
    <x v="0"/>
    <x v="1"/>
    <s v="RX"/>
    <s v="IUDs Cu &amp; IUS &amp; IUB"/>
    <x v="63"/>
    <n v="0"/>
  </r>
  <r>
    <x v="63"/>
    <n v="2024"/>
    <x v="1"/>
    <x v="1"/>
    <s v="RX"/>
    <s v="IUDs Cu &amp; IUS &amp; IUB"/>
    <x v="63"/>
    <n v="0"/>
  </r>
  <r>
    <x v="63"/>
    <n v="2024"/>
    <x v="2"/>
    <x v="1"/>
    <s v="RX"/>
    <s v="IUDs Cu &amp; IUS &amp; IUB"/>
    <x v="63"/>
    <n v="0"/>
  </r>
  <r>
    <x v="63"/>
    <n v="2024"/>
    <x v="3"/>
    <x v="1"/>
    <s v="RX"/>
    <s v="IUDs Cu &amp; IUS &amp; IUB"/>
    <x v="63"/>
    <n v="0"/>
  </r>
  <r>
    <x v="63"/>
    <n v="2024"/>
    <x v="4"/>
    <x v="1"/>
    <s v="RX"/>
    <s v="IUDs Cu &amp; IUS &amp; IUB"/>
    <x v="63"/>
    <n v="0"/>
  </r>
  <r>
    <x v="63"/>
    <n v="2024"/>
    <x v="5"/>
    <x v="1"/>
    <s v="RX"/>
    <s v="IUDs Cu &amp; IUS &amp; IUB"/>
    <x v="63"/>
    <n v="0"/>
  </r>
  <r>
    <x v="63"/>
    <n v="2024"/>
    <x v="6"/>
    <x v="1"/>
    <s v="RX"/>
    <s v="IUDs Cu &amp; IUS &amp; IUB"/>
    <x v="63"/>
    <n v="0"/>
  </r>
  <r>
    <x v="63"/>
    <n v="2024"/>
    <x v="7"/>
    <x v="1"/>
    <s v="RX"/>
    <s v="IUDs Cu &amp; IUS &amp; IUB"/>
    <x v="63"/>
    <n v="0"/>
  </r>
  <r>
    <x v="63"/>
    <n v="2024"/>
    <x v="8"/>
    <x v="1"/>
    <s v="RX"/>
    <s v="IUDs Cu &amp; IUS &amp; IUB"/>
    <x v="63"/>
    <n v="3"/>
  </r>
  <r>
    <x v="63"/>
    <n v="2024"/>
    <x v="9"/>
    <x v="1"/>
    <s v="RX"/>
    <s v="IUDs Cu &amp; IUS &amp; IUB"/>
    <x v="63"/>
    <n v="85"/>
  </r>
  <r>
    <x v="63"/>
    <n v="2024"/>
    <x v="10"/>
    <x v="1"/>
    <s v="RX"/>
    <s v="IUDs Cu &amp; IUS &amp; IUB"/>
    <x v="63"/>
    <n v="106"/>
  </r>
  <r>
    <x v="63"/>
    <n v="2024"/>
    <x v="11"/>
    <x v="1"/>
    <s v="RX"/>
    <s v="IUDs Cu &amp; IUS &amp; IUB"/>
    <x v="63"/>
    <n v="37"/>
  </r>
  <r>
    <x v="64"/>
    <n v="2024"/>
    <x v="0"/>
    <x v="1"/>
    <s v="RX"/>
    <s v="Hysterometer"/>
    <x v="64"/>
    <n v="0"/>
  </r>
  <r>
    <x v="64"/>
    <n v="2024"/>
    <x v="1"/>
    <x v="1"/>
    <s v="RX"/>
    <s v="Hysterometer"/>
    <x v="64"/>
    <n v="0"/>
  </r>
  <r>
    <x v="64"/>
    <n v="2024"/>
    <x v="2"/>
    <x v="1"/>
    <s v="RX"/>
    <s v="Hysterometer"/>
    <x v="64"/>
    <n v="0"/>
  </r>
  <r>
    <x v="64"/>
    <n v="2024"/>
    <x v="3"/>
    <x v="1"/>
    <s v="RX"/>
    <s v="Hysterometer"/>
    <x v="64"/>
    <n v="0"/>
  </r>
  <r>
    <x v="64"/>
    <n v="2024"/>
    <x v="4"/>
    <x v="1"/>
    <s v="RX"/>
    <s v="Hysterometer"/>
    <x v="64"/>
    <n v="0"/>
  </r>
  <r>
    <x v="64"/>
    <n v="2024"/>
    <x v="5"/>
    <x v="1"/>
    <s v="RX"/>
    <s v="Hysterometer"/>
    <x v="64"/>
    <n v="0"/>
  </r>
  <r>
    <x v="64"/>
    <n v="2024"/>
    <x v="6"/>
    <x v="1"/>
    <s v="RX"/>
    <s v="Hysterometer"/>
    <x v="64"/>
    <n v="0"/>
  </r>
  <r>
    <x v="64"/>
    <n v="2024"/>
    <x v="7"/>
    <x v="1"/>
    <s v="RX"/>
    <s v="Hysterometer"/>
    <x v="64"/>
    <n v="0"/>
  </r>
  <r>
    <x v="64"/>
    <n v="2024"/>
    <x v="8"/>
    <x v="1"/>
    <s v="RX"/>
    <s v="Hysterometer"/>
    <x v="64"/>
    <n v="440"/>
  </r>
  <r>
    <x v="64"/>
    <n v="2024"/>
    <x v="9"/>
    <x v="1"/>
    <s v="RX"/>
    <s v="Hysterometer"/>
    <x v="64"/>
    <n v="3282"/>
  </r>
  <r>
    <x v="64"/>
    <n v="2024"/>
    <x v="10"/>
    <x v="1"/>
    <s v="RX"/>
    <s v="Hysterometer"/>
    <x v="64"/>
    <n v="7926"/>
  </r>
  <r>
    <x v="64"/>
    <n v="2024"/>
    <x v="11"/>
    <x v="1"/>
    <s v="RX"/>
    <s v="Hysterometer"/>
    <x v="64"/>
    <n v="1915"/>
  </r>
  <r>
    <x v="65"/>
    <n v="2024"/>
    <x v="0"/>
    <x v="1"/>
    <s v="RX"/>
    <s v="Injetable"/>
    <x v="65"/>
    <n v="0"/>
  </r>
  <r>
    <x v="65"/>
    <n v="2024"/>
    <x v="1"/>
    <x v="1"/>
    <s v="RX"/>
    <s v="Injetable"/>
    <x v="65"/>
    <n v="0"/>
  </r>
  <r>
    <x v="65"/>
    <n v="2024"/>
    <x v="2"/>
    <x v="1"/>
    <s v="RX"/>
    <s v="Injetable"/>
    <x v="65"/>
    <n v="0"/>
  </r>
  <r>
    <x v="65"/>
    <n v="2024"/>
    <x v="3"/>
    <x v="1"/>
    <s v="RX"/>
    <s v="Injetable"/>
    <x v="65"/>
    <n v="0"/>
  </r>
  <r>
    <x v="65"/>
    <n v="2024"/>
    <x v="4"/>
    <x v="1"/>
    <s v="RX"/>
    <s v="Injetable"/>
    <x v="65"/>
    <n v="0"/>
  </r>
  <r>
    <x v="65"/>
    <n v="2024"/>
    <x v="5"/>
    <x v="1"/>
    <s v="RX"/>
    <s v="Injetable"/>
    <x v="65"/>
    <n v="0"/>
  </r>
  <r>
    <x v="65"/>
    <n v="2024"/>
    <x v="6"/>
    <x v="1"/>
    <s v="RX"/>
    <s v="Injetable"/>
    <x v="65"/>
    <n v="0"/>
  </r>
  <r>
    <x v="65"/>
    <n v="2024"/>
    <x v="7"/>
    <x v="1"/>
    <s v="RX"/>
    <s v="Injetable"/>
    <x v="65"/>
    <n v="0"/>
  </r>
  <r>
    <x v="65"/>
    <n v="2024"/>
    <x v="8"/>
    <x v="1"/>
    <s v="RX"/>
    <s v="Injetable"/>
    <x v="65"/>
    <n v="1100"/>
  </r>
  <r>
    <x v="65"/>
    <n v="2024"/>
    <x v="9"/>
    <x v="1"/>
    <s v="RX"/>
    <s v="Injetable"/>
    <x v="65"/>
    <n v="500"/>
  </r>
  <r>
    <x v="65"/>
    <n v="2024"/>
    <x v="10"/>
    <x v="1"/>
    <s v="RX"/>
    <s v="Injetable"/>
    <x v="65"/>
    <n v="1700"/>
  </r>
  <r>
    <x v="65"/>
    <n v="2024"/>
    <x v="11"/>
    <x v="1"/>
    <s v="RX"/>
    <s v="Injetable"/>
    <x v="65"/>
    <n v="600"/>
  </r>
  <r>
    <x v="66"/>
    <n v="2024"/>
    <x v="0"/>
    <x v="1"/>
    <s v="RX"/>
    <s v="EC"/>
    <x v="66"/>
    <n v="0"/>
  </r>
  <r>
    <x v="66"/>
    <n v="2024"/>
    <x v="1"/>
    <x v="1"/>
    <s v="RX"/>
    <s v="EC"/>
    <x v="66"/>
    <n v="0"/>
  </r>
  <r>
    <x v="66"/>
    <n v="2024"/>
    <x v="2"/>
    <x v="1"/>
    <s v="RX"/>
    <s v="EC"/>
    <x v="66"/>
    <n v="0"/>
  </r>
  <r>
    <x v="66"/>
    <n v="2024"/>
    <x v="3"/>
    <x v="1"/>
    <s v="RX"/>
    <s v="EC"/>
    <x v="66"/>
    <n v="0"/>
  </r>
  <r>
    <x v="66"/>
    <n v="2024"/>
    <x v="4"/>
    <x v="1"/>
    <s v="RX"/>
    <s v="EC"/>
    <x v="66"/>
    <n v="0"/>
  </r>
  <r>
    <x v="66"/>
    <n v="2024"/>
    <x v="5"/>
    <x v="1"/>
    <s v="RX"/>
    <s v="EC"/>
    <x v="66"/>
    <n v="0"/>
  </r>
  <r>
    <x v="66"/>
    <n v="2024"/>
    <x v="6"/>
    <x v="1"/>
    <s v="RX"/>
    <s v="EC"/>
    <x v="66"/>
    <n v="0"/>
  </r>
  <r>
    <x v="66"/>
    <n v="2024"/>
    <x v="7"/>
    <x v="1"/>
    <s v="RX"/>
    <s v="EC"/>
    <x v="66"/>
    <n v="0"/>
  </r>
  <r>
    <x v="66"/>
    <n v="2024"/>
    <x v="8"/>
    <x v="1"/>
    <s v="RX"/>
    <s v="EC"/>
    <x v="66"/>
    <n v="45720"/>
  </r>
  <r>
    <x v="66"/>
    <n v="2024"/>
    <x v="9"/>
    <x v="1"/>
    <s v="RX"/>
    <s v="EC"/>
    <x v="66"/>
    <n v="23238"/>
  </r>
  <r>
    <x v="66"/>
    <n v="2024"/>
    <x v="10"/>
    <x v="1"/>
    <s v="RX"/>
    <s v="EC"/>
    <x v="66"/>
    <n v="42300"/>
  </r>
  <r>
    <x v="66"/>
    <n v="2024"/>
    <x v="11"/>
    <x v="1"/>
    <s v="RX"/>
    <s v="EC"/>
    <x v="66"/>
    <n v="1260"/>
  </r>
  <r>
    <x v="0"/>
    <n v="2025"/>
    <x v="0"/>
    <x v="1"/>
    <s v="Preservativo Masculino"/>
    <s v="Básico"/>
    <x v="0"/>
    <n v="12009"/>
  </r>
  <r>
    <x v="0"/>
    <n v="2025"/>
    <x v="1"/>
    <x v="1"/>
    <s v="Preservativo Masculino"/>
    <s v="Básico"/>
    <x v="0"/>
    <n v="6416"/>
  </r>
  <r>
    <x v="0"/>
    <n v="2025"/>
    <x v="2"/>
    <x v="1"/>
    <s v="Preservativo Masculino"/>
    <s v="Básico"/>
    <x v="0"/>
    <n v="12859"/>
  </r>
  <r>
    <x v="0"/>
    <n v="2025"/>
    <x v="3"/>
    <x v="1"/>
    <s v="Preservativo Masculino"/>
    <s v="Básico"/>
    <x v="0"/>
    <n v="5403"/>
  </r>
  <r>
    <x v="0"/>
    <n v="2025"/>
    <x v="4"/>
    <x v="1"/>
    <s v="Preservativo Masculino"/>
    <s v="Básico"/>
    <x v="0"/>
    <n v="12355"/>
  </r>
  <r>
    <x v="0"/>
    <n v="2025"/>
    <x v="5"/>
    <x v="1"/>
    <s v="Preservativo Masculino"/>
    <s v="Básico"/>
    <x v="0"/>
    <n v="18650.654859999999"/>
  </r>
  <r>
    <x v="0"/>
    <n v="2025"/>
    <x v="6"/>
    <x v="1"/>
    <s v="Preservativo Masculino"/>
    <s v="Básico"/>
    <x v="0"/>
    <n v="20780.88754"/>
  </r>
  <r>
    <x v="0"/>
    <n v="2025"/>
    <x v="7"/>
    <x v="1"/>
    <s v="Preservativo Masculino"/>
    <s v="Básico"/>
    <x v="0"/>
    <n v="29465.271219999999"/>
  </r>
  <r>
    <x v="0"/>
    <n v="2025"/>
    <x v="8"/>
    <x v="1"/>
    <s v="Preservativo Masculino"/>
    <s v="Básico"/>
    <x v="0"/>
    <n v="33465.271219999995"/>
  </r>
  <r>
    <x v="0"/>
    <n v="2025"/>
    <x v="9"/>
    <x v="1"/>
    <s v="Preservativo Masculino"/>
    <s v="Básico"/>
    <x v="0"/>
    <n v="37465.271219999995"/>
  </r>
  <r>
    <x v="0"/>
    <n v="2025"/>
    <x v="10"/>
    <x v="1"/>
    <s v="Preservativo Masculino"/>
    <s v="Básico"/>
    <x v="0"/>
    <n v="42665.271219999995"/>
  </r>
  <r>
    <x v="0"/>
    <n v="2025"/>
    <x v="11"/>
    <x v="1"/>
    <s v="Preservativo Masculino"/>
    <s v="Básico"/>
    <x v="0"/>
    <n v="40665.271219999995"/>
  </r>
  <r>
    <x v="1"/>
    <n v="2025"/>
    <x v="0"/>
    <x v="1"/>
    <s v="Preservativo Masculino"/>
    <s v="Básico"/>
    <x v="1"/>
    <n v="3967"/>
  </r>
  <r>
    <x v="1"/>
    <n v="2025"/>
    <x v="1"/>
    <x v="1"/>
    <s v="Preservativo Masculino"/>
    <s v="Básico"/>
    <x v="1"/>
    <n v="3940"/>
  </r>
  <r>
    <x v="1"/>
    <n v="2025"/>
    <x v="2"/>
    <x v="1"/>
    <s v="Preservativo Masculino"/>
    <s v="Básico"/>
    <x v="1"/>
    <n v="10079"/>
  </r>
  <r>
    <x v="1"/>
    <n v="2025"/>
    <x v="3"/>
    <x v="1"/>
    <s v="Preservativo Masculino"/>
    <s v="Básico"/>
    <x v="1"/>
    <n v="4122"/>
  </r>
  <r>
    <x v="1"/>
    <n v="2025"/>
    <x v="4"/>
    <x v="1"/>
    <s v="Preservativo Masculino"/>
    <s v="Básico"/>
    <x v="1"/>
    <n v="32262"/>
  </r>
  <r>
    <x v="1"/>
    <n v="2025"/>
    <x v="5"/>
    <x v="1"/>
    <s v="Preservativo Masculino"/>
    <s v="Básico"/>
    <x v="1"/>
    <n v="31643"/>
  </r>
  <r>
    <x v="1"/>
    <n v="2025"/>
    <x v="6"/>
    <x v="1"/>
    <s v="Preservativo Masculino"/>
    <s v="Básico"/>
    <x v="1"/>
    <n v="31380"/>
  </r>
  <r>
    <x v="1"/>
    <n v="2025"/>
    <x v="7"/>
    <x v="1"/>
    <s v="Preservativo Masculino"/>
    <s v="Básico"/>
    <x v="1"/>
    <n v="55207"/>
  </r>
  <r>
    <x v="1"/>
    <n v="2025"/>
    <x v="8"/>
    <x v="1"/>
    <s v="Preservativo Masculino"/>
    <s v="Básico"/>
    <x v="1"/>
    <n v="66749"/>
  </r>
  <r>
    <x v="1"/>
    <n v="2025"/>
    <x v="9"/>
    <x v="1"/>
    <s v="Preservativo Masculino"/>
    <s v="Básico"/>
    <x v="1"/>
    <n v="62075"/>
  </r>
  <r>
    <x v="1"/>
    <n v="2025"/>
    <x v="10"/>
    <x v="1"/>
    <s v="Preservativo Masculino"/>
    <s v="Básico"/>
    <x v="1"/>
    <n v="57075"/>
  </r>
  <r>
    <x v="1"/>
    <n v="2025"/>
    <x v="11"/>
    <x v="1"/>
    <s v="Preservativo Masculino"/>
    <s v="Básico"/>
    <x v="1"/>
    <n v="52075"/>
  </r>
  <r>
    <x v="2"/>
    <n v="2025"/>
    <x v="0"/>
    <x v="1"/>
    <s v="Preservativo Masculino"/>
    <s v="Básico"/>
    <x v="2"/>
    <n v="1249"/>
  </r>
  <r>
    <x v="2"/>
    <n v="2025"/>
    <x v="1"/>
    <x v="1"/>
    <s v="Preservativo Masculino"/>
    <s v="Básico"/>
    <x v="2"/>
    <n v="1943"/>
  </r>
  <r>
    <x v="2"/>
    <n v="2025"/>
    <x v="2"/>
    <x v="1"/>
    <s v="Preservativo Masculino"/>
    <s v="Básico"/>
    <x v="2"/>
    <n v="3323"/>
  </r>
  <r>
    <x v="2"/>
    <n v="2025"/>
    <x v="3"/>
    <x v="1"/>
    <s v="Preservativo Masculino"/>
    <s v="Básico"/>
    <x v="2"/>
    <n v="1558"/>
  </r>
  <r>
    <x v="2"/>
    <n v="2025"/>
    <x v="4"/>
    <x v="1"/>
    <s v="Preservativo Masculino"/>
    <s v="Básico"/>
    <x v="2"/>
    <n v="22954"/>
  </r>
  <r>
    <x v="2"/>
    <n v="2025"/>
    <x v="5"/>
    <x v="1"/>
    <s v="Preservativo Masculino"/>
    <s v="Básico"/>
    <x v="2"/>
    <n v="18469"/>
  </r>
  <r>
    <x v="2"/>
    <n v="2025"/>
    <x v="6"/>
    <x v="1"/>
    <s v="Preservativo Masculino"/>
    <s v="Básico"/>
    <x v="2"/>
    <n v="20838"/>
  </r>
  <r>
    <x v="2"/>
    <n v="2025"/>
    <x v="7"/>
    <x v="1"/>
    <s v="Preservativo Masculino"/>
    <s v="Básico"/>
    <x v="2"/>
    <n v="21014"/>
  </r>
  <r>
    <x v="2"/>
    <n v="2025"/>
    <x v="8"/>
    <x v="1"/>
    <s v="Preservativo Masculino"/>
    <s v="Básico"/>
    <x v="2"/>
    <n v="28148"/>
  </r>
  <r>
    <x v="2"/>
    <n v="2025"/>
    <x v="9"/>
    <x v="1"/>
    <s v="Preservativo Masculino"/>
    <s v="Básico"/>
    <x v="2"/>
    <n v="25933"/>
  </r>
  <r>
    <x v="2"/>
    <n v="2025"/>
    <x v="10"/>
    <x v="1"/>
    <s v="Preservativo Masculino"/>
    <s v="Básico"/>
    <x v="2"/>
    <n v="23333"/>
  </r>
  <r>
    <x v="2"/>
    <n v="2025"/>
    <x v="11"/>
    <x v="1"/>
    <s v="Preservativo Masculino"/>
    <s v="Básico"/>
    <x v="2"/>
    <n v="20833"/>
  </r>
  <r>
    <x v="3"/>
    <n v="2025"/>
    <x v="0"/>
    <x v="1"/>
    <s v="Preservativo Masculino"/>
    <s v="Cores e Sabores"/>
    <x v="3"/>
    <n v="3032"/>
  </r>
  <r>
    <x v="3"/>
    <n v="2025"/>
    <x v="1"/>
    <x v="1"/>
    <s v="Preservativo Masculino"/>
    <s v="Cores e Sabores"/>
    <x v="3"/>
    <n v="4612"/>
  </r>
  <r>
    <x v="3"/>
    <n v="2025"/>
    <x v="2"/>
    <x v="1"/>
    <s v="Preservativo Masculino"/>
    <s v="Cores e Sabores"/>
    <x v="3"/>
    <n v="5281"/>
  </r>
  <r>
    <x v="3"/>
    <n v="2025"/>
    <x v="3"/>
    <x v="1"/>
    <s v="Preservativo Masculino"/>
    <s v="Cores e Sabores"/>
    <x v="3"/>
    <n v="2133"/>
  </r>
  <r>
    <x v="3"/>
    <n v="2025"/>
    <x v="4"/>
    <x v="1"/>
    <s v="Preservativo Masculino"/>
    <s v="Cores e Sabores"/>
    <x v="3"/>
    <n v="5700"/>
  </r>
  <r>
    <x v="3"/>
    <n v="2025"/>
    <x v="5"/>
    <x v="1"/>
    <s v="Preservativo Masculino"/>
    <s v="Cores e Sabores"/>
    <x v="3"/>
    <n v="6080"/>
  </r>
  <r>
    <x v="3"/>
    <n v="2025"/>
    <x v="6"/>
    <x v="1"/>
    <s v="Preservativo Masculino"/>
    <s v="Cores e Sabores"/>
    <x v="3"/>
    <n v="15089"/>
  </r>
  <r>
    <x v="3"/>
    <n v="2025"/>
    <x v="7"/>
    <x v="1"/>
    <s v="Preservativo Masculino"/>
    <s v="Cores e Sabores"/>
    <x v="3"/>
    <n v="17082"/>
  </r>
  <r>
    <x v="3"/>
    <n v="2025"/>
    <x v="8"/>
    <x v="1"/>
    <s v="Preservativo Masculino"/>
    <s v="Cores e Sabores"/>
    <x v="3"/>
    <n v="22662"/>
  </r>
  <r>
    <x v="3"/>
    <n v="2025"/>
    <x v="9"/>
    <x v="1"/>
    <s v="Preservativo Masculino"/>
    <s v="Cores e Sabores"/>
    <x v="3"/>
    <n v="24608"/>
  </r>
  <r>
    <x v="3"/>
    <n v="2025"/>
    <x v="10"/>
    <x v="1"/>
    <s v="Preservativo Masculino"/>
    <s v="Cores e Sabores"/>
    <x v="3"/>
    <n v="25608"/>
  </r>
  <r>
    <x v="3"/>
    <n v="2025"/>
    <x v="11"/>
    <x v="1"/>
    <s v="Preservativo Masculino"/>
    <s v="Cores e Sabores"/>
    <x v="3"/>
    <n v="26608"/>
  </r>
  <r>
    <x v="4"/>
    <n v="2025"/>
    <x v="0"/>
    <x v="1"/>
    <s v="Preservativo Masculino"/>
    <s v="Cores e Sabores"/>
    <x v="4"/>
    <n v="1975"/>
  </r>
  <r>
    <x v="4"/>
    <n v="2025"/>
    <x v="1"/>
    <x v="1"/>
    <s v="Preservativo Masculino"/>
    <s v="Cores e Sabores"/>
    <x v="4"/>
    <n v="2153"/>
  </r>
  <r>
    <x v="4"/>
    <n v="2025"/>
    <x v="2"/>
    <x v="1"/>
    <s v="Preservativo Masculino"/>
    <s v="Cores e Sabores"/>
    <x v="4"/>
    <n v="2811"/>
  </r>
  <r>
    <x v="4"/>
    <n v="2025"/>
    <x v="3"/>
    <x v="1"/>
    <s v="Preservativo Masculino"/>
    <s v="Cores e Sabores"/>
    <x v="4"/>
    <n v="984"/>
  </r>
  <r>
    <x v="4"/>
    <n v="2025"/>
    <x v="4"/>
    <x v="1"/>
    <s v="Preservativo Masculino"/>
    <s v="Cores e Sabores"/>
    <x v="4"/>
    <n v="7191"/>
  </r>
  <r>
    <x v="4"/>
    <n v="2025"/>
    <x v="5"/>
    <x v="1"/>
    <s v="Preservativo Masculino"/>
    <s v="Cores e Sabores"/>
    <x v="4"/>
    <n v="7662.43"/>
  </r>
  <r>
    <x v="4"/>
    <n v="2025"/>
    <x v="6"/>
    <x v="1"/>
    <s v="Preservativo Masculino"/>
    <s v="Cores e Sabores"/>
    <x v="4"/>
    <n v="9942.0290000000005"/>
  </r>
  <r>
    <x v="4"/>
    <n v="2025"/>
    <x v="7"/>
    <x v="1"/>
    <s v="Preservativo Masculino"/>
    <s v="Cores e Sabores"/>
    <x v="4"/>
    <n v="10446.249"/>
  </r>
  <r>
    <x v="4"/>
    <n v="2025"/>
    <x v="8"/>
    <x v="1"/>
    <s v="Preservativo Masculino"/>
    <s v="Cores e Sabores"/>
    <x v="4"/>
    <n v="12908.379000000001"/>
  </r>
  <r>
    <x v="4"/>
    <n v="2025"/>
    <x v="9"/>
    <x v="1"/>
    <s v="Preservativo Masculino"/>
    <s v="Cores e Sabores"/>
    <x v="4"/>
    <n v="13057.374"/>
  </r>
  <r>
    <x v="4"/>
    <n v="2025"/>
    <x v="10"/>
    <x v="1"/>
    <s v="Preservativo Masculino"/>
    <s v="Cores e Sabores"/>
    <x v="4"/>
    <n v="11179.6"/>
  </r>
  <r>
    <x v="4"/>
    <n v="2025"/>
    <x v="11"/>
    <x v="1"/>
    <s v="Preservativo Masculino"/>
    <s v="Cores e Sabores"/>
    <x v="4"/>
    <n v="9583.6"/>
  </r>
  <r>
    <x v="5"/>
    <n v="2025"/>
    <x v="0"/>
    <x v="1"/>
    <s v="Preservativo Masculino"/>
    <s v="Cores e Sabores"/>
    <x v="5"/>
    <n v="3022"/>
  </r>
  <r>
    <x v="5"/>
    <n v="2025"/>
    <x v="1"/>
    <x v="1"/>
    <s v="Preservativo Masculino"/>
    <s v="Cores e Sabores"/>
    <x v="5"/>
    <n v="2239"/>
  </r>
  <r>
    <x v="5"/>
    <n v="2025"/>
    <x v="2"/>
    <x v="1"/>
    <s v="Preservativo Masculino"/>
    <s v="Cores e Sabores"/>
    <x v="5"/>
    <n v="1277"/>
  </r>
  <r>
    <x v="5"/>
    <n v="2025"/>
    <x v="3"/>
    <x v="1"/>
    <s v="Preservativo Masculino"/>
    <s v="Cores e Sabores"/>
    <x v="5"/>
    <n v="2577"/>
  </r>
  <r>
    <x v="5"/>
    <n v="2025"/>
    <x v="4"/>
    <x v="1"/>
    <s v="Preservativo Masculino"/>
    <s v="Cores e Sabores"/>
    <x v="5"/>
    <n v="233"/>
  </r>
  <r>
    <x v="5"/>
    <n v="2025"/>
    <x v="5"/>
    <x v="1"/>
    <s v="Preservativo Masculino"/>
    <s v="Cores e Sabores"/>
    <x v="5"/>
    <n v="0"/>
  </r>
  <r>
    <x v="5"/>
    <n v="2025"/>
    <x v="6"/>
    <x v="1"/>
    <s v="Preservativo Masculino"/>
    <s v="Cores e Sabores"/>
    <x v="5"/>
    <n v="9000"/>
  </r>
  <r>
    <x v="5"/>
    <n v="2025"/>
    <x v="7"/>
    <x v="1"/>
    <s v="Preservativo Masculino"/>
    <s v="Cores e Sabores"/>
    <x v="5"/>
    <n v="9488"/>
  </r>
  <r>
    <x v="5"/>
    <n v="2025"/>
    <x v="8"/>
    <x v="1"/>
    <s v="Preservativo Masculino"/>
    <s v="Cores e Sabores"/>
    <x v="5"/>
    <n v="14117"/>
  </r>
  <r>
    <x v="5"/>
    <n v="2025"/>
    <x v="9"/>
    <x v="1"/>
    <s v="Preservativo Masculino"/>
    <s v="Cores e Sabores"/>
    <x v="5"/>
    <n v="12576"/>
  </r>
  <r>
    <x v="5"/>
    <n v="2025"/>
    <x v="10"/>
    <x v="1"/>
    <s v="Preservativo Masculino"/>
    <s v="Cores e Sabores"/>
    <x v="5"/>
    <n v="15576"/>
  </r>
  <r>
    <x v="5"/>
    <n v="2025"/>
    <x v="11"/>
    <x v="1"/>
    <s v="Preservativo Masculino"/>
    <s v="Cores e Sabores"/>
    <x v="5"/>
    <n v="15576"/>
  </r>
  <r>
    <x v="6"/>
    <n v="2025"/>
    <x v="0"/>
    <x v="1"/>
    <s v="Preservativo Masculino"/>
    <s v="Cores e Sabores"/>
    <x v="6"/>
    <n v="1080"/>
  </r>
  <r>
    <x v="6"/>
    <n v="2025"/>
    <x v="1"/>
    <x v="1"/>
    <s v="Preservativo Masculino"/>
    <s v="Cores e Sabores"/>
    <x v="6"/>
    <n v="662"/>
  </r>
  <r>
    <x v="6"/>
    <n v="2025"/>
    <x v="2"/>
    <x v="1"/>
    <s v="Preservativo Masculino"/>
    <s v="Cores e Sabores"/>
    <x v="6"/>
    <n v="634"/>
  </r>
  <r>
    <x v="6"/>
    <n v="2025"/>
    <x v="3"/>
    <x v="1"/>
    <s v="Preservativo Masculino"/>
    <s v="Cores e Sabores"/>
    <x v="6"/>
    <n v="346"/>
  </r>
  <r>
    <x v="6"/>
    <n v="2025"/>
    <x v="4"/>
    <x v="1"/>
    <s v="Preservativo Masculino"/>
    <s v="Cores e Sabores"/>
    <x v="6"/>
    <n v="5729"/>
  </r>
  <r>
    <x v="6"/>
    <n v="2025"/>
    <x v="5"/>
    <x v="1"/>
    <s v="Preservativo Masculino"/>
    <s v="Cores e Sabores"/>
    <x v="6"/>
    <n v="5158.4539999999997"/>
  </r>
  <r>
    <x v="6"/>
    <n v="2025"/>
    <x v="6"/>
    <x v="1"/>
    <s v="Preservativo Masculino"/>
    <s v="Cores e Sabores"/>
    <x v="6"/>
    <n v="4507.0259999999998"/>
  </r>
  <r>
    <x v="6"/>
    <n v="2025"/>
    <x v="7"/>
    <x v="1"/>
    <s v="Preservativo Masculino"/>
    <s v="Cores e Sabores"/>
    <x v="6"/>
    <n v="3953.9679999999998"/>
  </r>
  <r>
    <x v="6"/>
    <n v="2025"/>
    <x v="8"/>
    <x v="1"/>
    <s v="Preservativo Masculino"/>
    <s v="Cores e Sabores"/>
    <x v="6"/>
    <n v="3306.9119999999998"/>
  </r>
  <r>
    <x v="6"/>
    <n v="2025"/>
    <x v="9"/>
    <x v="1"/>
    <s v="Preservativo Masculino"/>
    <s v="Cores e Sabores"/>
    <x v="6"/>
    <n v="2655.4839999999999"/>
  </r>
  <r>
    <x v="6"/>
    <n v="2025"/>
    <x v="10"/>
    <x v="1"/>
    <s v="Preservativo Masculino"/>
    <s v="Cores e Sabores"/>
    <x v="6"/>
    <n v="4069.08"/>
  </r>
  <r>
    <x v="6"/>
    <n v="2025"/>
    <x v="11"/>
    <x v="1"/>
    <s v="Preservativo Masculino"/>
    <s v="Cores e Sabores"/>
    <x v="6"/>
    <n v="3516.08"/>
  </r>
  <r>
    <x v="7"/>
    <n v="2025"/>
    <x v="0"/>
    <x v="1"/>
    <s v="Preservativo Masculino"/>
    <s v="Cores e Sabores"/>
    <x v="7"/>
    <n v="1471"/>
  </r>
  <r>
    <x v="7"/>
    <n v="2025"/>
    <x v="1"/>
    <x v="1"/>
    <s v="Preservativo Masculino"/>
    <s v="Cores e Sabores"/>
    <x v="7"/>
    <n v="3346"/>
  </r>
  <r>
    <x v="7"/>
    <n v="2025"/>
    <x v="2"/>
    <x v="1"/>
    <s v="Preservativo Masculino"/>
    <s v="Cores e Sabores"/>
    <x v="7"/>
    <n v="3472"/>
  </r>
  <r>
    <x v="7"/>
    <n v="2025"/>
    <x v="3"/>
    <x v="1"/>
    <s v="Preservativo Masculino"/>
    <s v="Cores e Sabores"/>
    <x v="7"/>
    <n v="1655"/>
  </r>
  <r>
    <x v="7"/>
    <n v="2025"/>
    <x v="4"/>
    <x v="1"/>
    <s v="Preservativo Masculino"/>
    <s v="Cores e Sabores"/>
    <x v="7"/>
    <n v="5088"/>
  </r>
  <r>
    <x v="7"/>
    <n v="2025"/>
    <x v="5"/>
    <x v="1"/>
    <s v="Preservativo Masculino"/>
    <s v="Cores e Sabores"/>
    <x v="7"/>
    <n v="3058.299"/>
  </r>
  <r>
    <x v="7"/>
    <n v="2025"/>
    <x v="6"/>
    <x v="1"/>
    <s v="Preservativo Masculino"/>
    <s v="Cores e Sabores"/>
    <x v="7"/>
    <n v="6612.165"/>
  </r>
  <r>
    <x v="7"/>
    <n v="2025"/>
    <x v="7"/>
    <x v="1"/>
    <s v="Preservativo Masculino"/>
    <s v="Cores e Sabores"/>
    <x v="7"/>
    <n v="10564.975999999999"/>
  </r>
  <r>
    <x v="7"/>
    <n v="2025"/>
    <x v="8"/>
    <x v="1"/>
    <s v="Preservativo Masculino"/>
    <s v="Cores e Sabores"/>
    <x v="7"/>
    <n v="8410.6729999999989"/>
  </r>
  <r>
    <x v="7"/>
    <n v="2025"/>
    <x v="9"/>
    <x v="1"/>
    <s v="Preservativo Masculino"/>
    <s v="Cores e Sabores"/>
    <x v="7"/>
    <n v="14849.773999999999"/>
  </r>
  <r>
    <x v="7"/>
    <n v="2025"/>
    <x v="10"/>
    <x v="1"/>
    <s v="Preservativo Masculino"/>
    <s v="Cores e Sabores"/>
    <x v="7"/>
    <n v="11849.773999999999"/>
  </r>
  <r>
    <x v="7"/>
    <n v="2025"/>
    <x v="11"/>
    <x v="1"/>
    <s v="Preservativo Masculino"/>
    <s v="Cores e Sabores"/>
    <x v="7"/>
    <n v="14849.773999999999"/>
  </r>
  <r>
    <x v="8"/>
    <n v="2025"/>
    <x v="0"/>
    <x v="1"/>
    <s v="Preservativo Masculino"/>
    <s v="Cores e Sabores"/>
    <x v="8"/>
    <n v="1265"/>
  </r>
  <r>
    <x v="8"/>
    <n v="2025"/>
    <x v="1"/>
    <x v="1"/>
    <s v="Preservativo Masculino"/>
    <s v="Cores e Sabores"/>
    <x v="8"/>
    <n v="1379"/>
  </r>
  <r>
    <x v="8"/>
    <n v="2025"/>
    <x v="2"/>
    <x v="1"/>
    <s v="Preservativo Masculino"/>
    <s v="Cores e Sabores"/>
    <x v="8"/>
    <n v="1176"/>
  </r>
  <r>
    <x v="8"/>
    <n v="2025"/>
    <x v="3"/>
    <x v="1"/>
    <s v="Preservativo Masculino"/>
    <s v="Cores e Sabores"/>
    <x v="8"/>
    <n v="111"/>
  </r>
  <r>
    <x v="8"/>
    <n v="2025"/>
    <x v="4"/>
    <x v="1"/>
    <s v="Preservativo Masculino"/>
    <s v="Cores e Sabores"/>
    <x v="8"/>
    <n v="0"/>
  </r>
  <r>
    <x v="8"/>
    <n v="2025"/>
    <x v="5"/>
    <x v="1"/>
    <s v="Preservativo Masculino"/>
    <s v="Cores e Sabores"/>
    <x v="8"/>
    <n v="0"/>
  </r>
  <r>
    <x v="8"/>
    <n v="2025"/>
    <x v="6"/>
    <x v="1"/>
    <s v="Preservativo Masculino"/>
    <s v="Cores e Sabores"/>
    <x v="8"/>
    <n v="3920"/>
  </r>
  <r>
    <x v="8"/>
    <n v="2025"/>
    <x v="7"/>
    <x v="1"/>
    <s v="Preservativo Masculino"/>
    <s v="Cores e Sabores"/>
    <x v="8"/>
    <n v="6102"/>
  </r>
  <r>
    <x v="8"/>
    <n v="2025"/>
    <x v="8"/>
    <x v="1"/>
    <s v="Preservativo Masculino"/>
    <s v="Cores e Sabores"/>
    <x v="8"/>
    <n v="8275"/>
  </r>
  <r>
    <x v="8"/>
    <n v="2025"/>
    <x v="9"/>
    <x v="1"/>
    <s v="Preservativo Masculino"/>
    <s v="Cores e Sabores"/>
    <x v="8"/>
    <n v="7651"/>
  </r>
  <r>
    <x v="8"/>
    <n v="2025"/>
    <x v="10"/>
    <x v="1"/>
    <s v="Preservativo Masculino"/>
    <s v="Cores e Sabores"/>
    <x v="8"/>
    <n v="9151"/>
  </r>
  <r>
    <x v="8"/>
    <n v="2025"/>
    <x v="11"/>
    <x v="1"/>
    <s v="Preservativo Masculino"/>
    <s v="Cores e Sabores"/>
    <x v="8"/>
    <n v="10651"/>
  </r>
  <r>
    <x v="9"/>
    <n v="2025"/>
    <x v="0"/>
    <x v="1"/>
    <s v="Preservativo Masculino"/>
    <s v="Cores e Sabores"/>
    <x v="9"/>
    <n v="1428"/>
  </r>
  <r>
    <x v="9"/>
    <n v="2025"/>
    <x v="1"/>
    <x v="1"/>
    <s v="Preservativo Masculino"/>
    <s v="Cores e Sabores"/>
    <x v="9"/>
    <n v="1956"/>
  </r>
  <r>
    <x v="9"/>
    <n v="2025"/>
    <x v="2"/>
    <x v="1"/>
    <s v="Preservativo Masculino"/>
    <s v="Cores e Sabores"/>
    <x v="9"/>
    <n v="1202"/>
  </r>
  <r>
    <x v="9"/>
    <n v="2025"/>
    <x v="3"/>
    <x v="1"/>
    <s v="Preservativo Masculino"/>
    <s v="Cores e Sabores"/>
    <x v="9"/>
    <n v="1706"/>
  </r>
  <r>
    <x v="9"/>
    <n v="2025"/>
    <x v="4"/>
    <x v="1"/>
    <s v="Preservativo Masculino"/>
    <s v="Cores e Sabores"/>
    <x v="9"/>
    <n v="4079"/>
  </r>
  <r>
    <x v="9"/>
    <n v="2025"/>
    <x v="5"/>
    <x v="1"/>
    <s v="Preservativo Masculino"/>
    <s v="Cores e Sabores"/>
    <x v="9"/>
    <n v="5685.4250000000002"/>
  </r>
  <r>
    <x v="9"/>
    <n v="2025"/>
    <x v="6"/>
    <x v="1"/>
    <s v="Preservativo Masculino"/>
    <s v="Cores e Sabores"/>
    <x v="9"/>
    <n v="9926.7880000000005"/>
  </r>
  <r>
    <x v="9"/>
    <n v="2025"/>
    <x v="7"/>
    <x v="1"/>
    <s v="Preservativo Masculino"/>
    <s v="Cores e Sabores"/>
    <x v="9"/>
    <n v="8705.9070000000011"/>
  </r>
  <r>
    <x v="9"/>
    <n v="2025"/>
    <x v="8"/>
    <x v="1"/>
    <s v="Preservativo Masculino"/>
    <s v="Cores e Sabores"/>
    <x v="9"/>
    <n v="7281.728000000001"/>
  </r>
  <r>
    <x v="9"/>
    <n v="2025"/>
    <x v="9"/>
    <x v="1"/>
    <s v="Preservativo Masculino"/>
    <s v="Cores e Sabores"/>
    <x v="9"/>
    <n v="5572.2760000000007"/>
  </r>
  <r>
    <x v="9"/>
    <n v="2025"/>
    <x v="10"/>
    <x v="1"/>
    <s v="Preservativo Masculino"/>
    <s v="Cores e Sabores"/>
    <x v="9"/>
    <n v="9908.73"/>
  </r>
  <r>
    <x v="9"/>
    <n v="2025"/>
    <x v="11"/>
    <x v="1"/>
    <s v="Preservativo Masculino"/>
    <s v="Cores e Sabores"/>
    <x v="9"/>
    <n v="11008.73"/>
  </r>
  <r>
    <x v="10"/>
    <n v="2025"/>
    <x v="0"/>
    <x v="1"/>
    <s v="Preservativo Masculino"/>
    <s v="Cores e Sabores"/>
    <x v="10"/>
    <n v="559"/>
  </r>
  <r>
    <x v="10"/>
    <n v="2025"/>
    <x v="1"/>
    <x v="1"/>
    <s v="Preservativo Masculino"/>
    <s v="Cores e Sabores"/>
    <x v="10"/>
    <n v="821"/>
  </r>
  <r>
    <x v="10"/>
    <n v="2025"/>
    <x v="2"/>
    <x v="1"/>
    <s v="Preservativo Masculino"/>
    <s v="Cores e Sabores"/>
    <x v="10"/>
    <n v="1180"/>
  </r>
  <r>
    <x v="10"/>
    <n v="2025"/>
    <x v="3"/>
    <x v="1"/>
    <s v="Preservativo Masculino"/>
    <s v="Cores e Sabores"/>
    <x v="10"/>
    <n v="534"/>
  </r>
  <r>
    <x v="10"/>
    <n v="2025"/>
    <x v="4"/>
    <x v="1"/>
    <s v="Preservativo Masculino"/>
    <s v="Cores e Sabores"/>
    <x v="10"/>
    <n v="811"/>
  </r>
  <r>
    <x v="10"/>
    <n v="2025"/>
    <x v="5"/>
    <x v="1"/>
    <s v="Preservativo Masculino"/>
    <s v="Cores e Sabores"/>
    <x v="10"/>
    <n v="309.31299999999999"/>
  </r>
  <r>
    <x v="10"/>
    <n v="2025"/>
    <x v="6"/>
    <x v="1"/>
    <s v="Preservativo Masculino"/>
    <s v="Cores e Sabores"/>
    <x v="10"/>
    <n v="3000"/>
  </r>
  <r>
    <x v="10"/>
    <n v="2025"/>
    <x v="7"/>
    <x v="1"/>
    <s v="Preservativo Masculino"/>
    <s v="Cores e Sabores"/>
    <x v="10"/>
    <n v="2468.8020000000001"/>
  </r>
  <r>
    <x v="10"/>
    <n v="2025"/>
    <x v="8"/>
    <x v="1"/>
    <s v="Preservativo Masculino"/>
    <s v="Cores e Sabores"/>
    <x v="10"/>
    <n v="4905.9070000000002"/>
  </r>
  <r>
    <x v="10"/>
    <n v="2025"/>
    <x v="9"/>
    <x v="1"/>
    <s v="Preservativo Masculino"/>
    <s v="Cores e Sabores"/>
    <x v="10"/>
    <n v="4194.3640000000005"/>
  </r>
  <r>
    <x v="10"/>
    <n v="2025"/>
    <x v="10"/>
    <x v="1"/>
    <s v="Preservativo Masculino"/>
    <s v="Cores e Sabores"/>
    <x v="10"/>
    <n v="3374.6140000000005"/>
  </r>
  <r>
    <x v="10"/>
    <n v="2025"/>
    <x v="11"/>
    <x v="1"/>
    <s v="Preservativo Masculino"/>
    <s v="Cores e Sabores"/>
    <x v="10"/>
    <n v="2861.6140000000005"/>
  </r>
  <r>
    <x v="11"/>
    <n v="2025"/>
    <x v="0"/>
    <x v="1"/>
    <s v="Preservativo Masculino"/>
    <s v="Cores e Sabores"/>
    <x v="11"/>
    <n v="2"/>
  </r>
  <r>
    <x v="11"/>
    <n v="2025"/>
    <x v="1"/>
    <x v="1"/>
    <s v="Preservativo Masculino"/>
    <s v="Cores e Sabores"/>
    <x v="11"/>
    <n v="2227"/>
  </r>
  <r>
    <x v="11"/>
    <n v="2025"/>
    <x v="2"/>
    <x v="1"/>
    <s v="Preservativo Masculino"/>
    <s v="Cores e Sabores"/>
    <x v="11"/>
    <n v="1720"/>
  </r>
  <r>
    <x v="11"/>
    <n v="2025"/>
    <x v="3"/>
    <x v="1"/>
    <s v="Preservativo Masculino"/>
    <s v="Cores e Sabores"/>
    <x v="11"/>
    <n v="832"/>
  </r>
  <r>
    <x v="11"/>
    <n v="2025"/>
    <x v="4"/>
    <x v="1"/>
    <s v="Preservativo Masculino"/>
    <s v="Cores e Sabores"/>
    <x v="11"/>
    <n v="1171"/>
  </r>
  <r>
    <x v="11"/>
    <n v="2025"/>
    <x v="5"/>
    <x v="1"/>
    <s v="Preservativo Masculino"/>
    <s v="Cores e Sabores"/>
    <x v="11"/>
    <n v="569.85"/>
  </r>
  <r>
    <x v="11"/>
    <n v="2025"/>
    <x v="6"/>
    <x v="1"/>
    <s v="Preservativo Masculino"/>
    <s v="Cores e Sabores"/>
    <x v="11"/>
    <n v="0"/>
  </r>
  <r>
    <x v="11"/>
    <n v="2025"/>
    <x v="7"/>
    <x v="1"/>
    <s v="Preservativo Masculino"/>
    <s v="Cores e Sabores"/>
    <x v="11"/>
    <n v="3000"/>
  </r>
  <r>
    <x v="11"/>
    <n v="2025"/>
    <x v="8"/>
    <x v="1"/>
    <s v="Preservativo Masculino"/>
    <s v="Cores e Sabores"/>
    <x v="11"/>
    <n v="2329.991"/>
  </r>
  <r>
    <x v="11"/>
    <n v="2025"/>
    <x v="9"/>
    <x v="1"/>
    <s v="Preservativo Masculino"/>
    <s v="Cores e Sabores"/>
    <x v="11"/>
    <n v="4527.7290000000003"/>
  </r>
  <r>
    <x v="11"/>
    <n v="2025"/>
    <x v="10"/>
    <x v="1"/>
    <s v="Preservativo Masculino"/>
    <s v="Cores e Sabores"/>
    <x v="11"/>
    <n v="3695.9560000000001"/>
  </r>
  <r>
    <x v="11"/>
    <n v="2025"/>
    <x v="11"/>
    <x v="1"/>
    <s v="Preservativo Masculino"/>
    <s v="Cores e Sabores"/>
    <x v="11"/>
    <n v="6105.9560000000001"/>
  </r>
  <r>
    <x v="12"/>
    <n v="2025"/>
    <x v="0"/>
    <x v="1"/>
    <s v="Preservativo Masculino"/>
    <s v="Cores e Sabores"/>
    <x v="12"/>
    <n v="1950"/>
  </r>
  <r>
    <x v="12"/>
    <n v="2025"/>
    <x v="1"/>
    <x v="1"/>
    <s v="Preservativo Masculino"/>
    <s v="Cores e Sabores"/>
    <x v="12"/>
    <n v="1883"/>
  </r>
  <r>
    <x v="12"/>
    <n v="2025"/>
    <x v="2"/>
    <x v="1"/>
    <s v="Preservativo Masculino"/>
    <s v="Cores e Sabores"/>
    <x v="12"/>
    <n v="1002"/>
  </r>
  <r>
    <x v="12"/>
    <n v="2025"/>
    <x v="3"/>
    <x v="1"/>
    <s v="Preservativo Masculino"/>
    <s v="Cores e Sabores"/>
    <x v="12"/>
    <n v="568"/>
  </r>
  <r>
    <x v="12"/>
    <n v="2025"/>
    <x v="4"/>
    <x v="1"/>
    <s v="Preservativo Masculino"/>
    <s v="Cores e Sabores"/>
    <x v="12"/>
    <n v="561"/>
  </r>
  <r>
    <x v="12"/>
    <n v="2025"/>
    <x v="5"/>
    <x v="1"/>
    <s v="Preservativo Masculino"/>
    <s v="Cores e Sabores"/>
    <x v="12"/>
    <n v="3000"/>
  </r>
  <r>
    <x v="12"/>
    <n v="2025"/>
    <x v="6"/>
    <x v="1"/>
    <s v="Preservativo Masculino"/>
    <s v="Cores e Sabores"/>
    <x v="12"/>
    <n v="2121.2280000000001"/>
  </r>
  <r>
    <x v="12"/>
    <n v="2025"/>
    <x v="7"/>
    <x v="1"/>
    <s v="Preservativo Masculino"/>
    <s v="Cores e Sabores"/>
    <x v="12"/>
    <n v="1469.8000000000002"/>
  </r>
  <r>
    <x v="12"/>
    <n v="2025"/>
    <x v="8"/>
    <x v="1"/>
    <s v="Preservativo Masculino"/>
    <s v="Cores e Sabores"/>
    <x v="12"/>
    <n v="6611.7950000000001"/>
  </r>
  <r>
    <x v="12"/>
    <n v="2025"/>
    <x v="9"/>
    <x v="1"/>
    <s v="Preservativo Masculino"/>
    <s v="Cores e Sabores"/>
    <x v="12"/>
    <n v="5741.7669999999998"/>
  </r>
  <r>
    <x v="12"/>
    <n v="2025"/>
    <x v="10"/>
    <x v="1"/>
    <s v="Preservativo Masculino"/>
    <s v="Cores e Sabores"/>
    <x v="12"/>
    <n v="4941.7669999999998"/>
  </r>
  <r>
    <x v="12"/>
    <n v="2025"/>
    <x v="11"/>
    <x v="1"/>
    <s v="Preservativo Masculino"/>
    <s v="Cores e Sabores"/>
    <x v="12"/>
    <n v="4290.7669999999998"/>
  </r>
  <r>
    <x v="13"/>
    <n v="2025"/>
    <x v="0"/>
    <x v="1"/>
    <s v="Preservativo Masculino"/>
    <s v="Cores e Sabores"/>
    <x v="13"/>
    <n v="967"/>
  </r>
  <r>
    <x v="13"/>
    <n v="2025"/>
    <x v="1"/>
    <x v="1"/>
    <s v="Preservativo Masculino"/>
    <s v="Cores e Sabores"/>
    <x v="13"/>
    <n v="1107"/>
  </r>
  <r>
    <x v="13"/>
    <n v="2025"/>
    <x v="2"/>
    <x v="1"/>
    <s v="Preservativo Masculino"/>
    <s v="Cores e Sabores"/>
    <x v="13"/>
    <n v="1532"/>
  </r>
  <r>
    <x v="13"/>
    <n v="2025"/>
    <x v="3"/>
    <x v="1"/>
    <s v="Preservativo Masculino"/>
    <s v="Cores e Sabores"/>
    <x v="13"/>
    <n v="610"/>
  </r>
  <r>
    <x v="13"/>
    <n v="2025"/>
    <x v="4"/>
    <x v="1"/>
    <s v="Preservativo Masculino"/>
    <s v="Cores e Sabores"/>
    <x v="13"/>
    <n v="4280"/>
  </r>
  <r>
    <x v="13"/>
    <n v="2025"/>
    <x v="5"/>
    <x v="1"/>
    <s v="Preservativo Masculino"/>
    <s v="Cores e Sabores"/>
    <x v="13"/>
    <n v="3251"/>
  </r>
  <r>
    <x v="13"/>
    <n v="2025"/>
    <x v="6"/>
    <x v="1"/>
    <s v="Preservativo Masculino"/>
    <s v="Cores e Sabores"/>
    <x v="13"/>
    <n v="1450"/>
  </r>
  <r>
    <x v="13"/>
    <n v="2025"/>
    <x v="7"/>
    <x v="1"/>
    <s v="Preservativo Masculino"/>
    <s v="Cores e Sabores"/>
    <x v="13"/>
    <n v="5280"/>
  </r>
  <r>
    <x v="13"/>
    <n v="2025"/>
    <x v="8"/>
    <x v="1"/>
    <s v="Preservativo Masculino"/>
    <s v="Cores e Sabores"/>
    <x v="13"/>
    <n v="9820"/>
  </r>
  <r>
    <x v="13"/>
    <n v="2025"/>
    <x v="9"/>
    <x v="1"/>
    <s v="Preservativo Masculino"/>
    <s v="Cores e Sabores"/>
    <x v="13"/>
    <n v="8673"/>
  </r>
  <r>
    <x v="13"/>
    <n v="2025"/>
    <x v="10"/>
    <x v="1"/>
    <s v="Preservativo Masculino"/>
    <s v="Cores e Sabores"/>
    <x v="13"/>
    <n v="7523"/>
  </r>
  <r>
    <x v="13"/>
    <n v="2025"/>
    <x v="11"/>
    <x v="1"/>
    <s v="Preservativo Masculino"/>
    <s v="Cores e Sabores"/>
    <x v="13"/>
    <n v="6544"/>
  </r>
  <r>
    <x v="14"/>
    <n v="2025"/>
    <x v="0"/>
    <x v="1"/>
    <s v="Preservativo Masculino"/>
    <s v="Cores e Sabores"/>
    <x v="14"/>
    <n v="893"/>
  </r>
  <r>
    <x v="14"/>
    <n v="2025"/>
    <x v="1"/>
    <x v="1"/>
    <s v="Preservativo Masculino"/>
    <s v="Cores e Sabores"/>
    <x v="14"/>
    <n v="599"/>
  </r>
  <r>
    <x v="14"/>
    <n v="2025"/>
    <x v="2"/>
    <x v="1"/>
    <s v="Preservativo Masculino"/>
    <s v="Cores e Sabores"/>
    <x v="14"/>
    <n v="1084"/>
  </r>
  <r>
    <x v="14"/>
    <n v="2025"/>
    <x v="3"/>
    <x v="1"/>
    <s v="Preservativo Masculino"/>
    <s v="Cores e Sabores"/>
    <x v="14"/>
    <n v="424"/>
  </r>
  <r>
    <x v="14"/>
    <n v="2025"/>
    <x v="4"/>
    <x v="1"/>
    <s v="Preservativo Masculino"/>
    <s v="Cores e Sabores"/>
    <x v="14"/>
    <n v="4161"/>
  </r>
  <r>
    <x v="14"/>
    <n v="2025"/>
    <x v="5"/>
    <x v="1"/>
    <s v="Preservativo Masculino"/>
    <s v="Cores e Sabores"/>
    <x v="14"/>
    <n v="3898"/>
  </r>
  <r>
    <x v="14"/>
    <n v="2025"/>
    <x v="6"/>
    <x v="1"/>
    <s v="Preservativo Masculino"/>
    <s v="Cores e Sabores"/>
    <x v="14"/>
    <n v="6304"/>
  </r>
  <r>
    <x v="14"/>
    <n v="2025"/>
    <x v="7"/>
    <x v="1"/>
    <s v="Preservativo Masculino"/>
    <s v="Cores e Sabores"/>
    <x v="14"/>
    <n v="5826"/>
  </r>
  <r>
    <x v="14"/>
    <n v="2025"/>
    <x v="8"/>
    <x v="1"/>
    <s v="Preservativo Masculino"/>
    <s v="Cores e Sabores"/>
    <x v="14"/>
    <n v="5652"/>
  </r>
  <r>
    <x v="14"/>
    <n v="2025"/>
    <x v="9"/>
    <x v="1"/>
    <s v="Preservativo Masculino"/>
    <s v="Cores e Sabores"/>
    <x v="14"/>
    <n v="5269"/>
  </r>
  <r>
    <x v="14"/>
    <n v="2025"/>
    <x v="10"/>
    <x v="1"/>
    <s v="Preservativo Masculino"/>
    <s v="Cores e Sabores"/>
    <x v="14"/>
    <n v="4719"/>
  </r>
  <r>
    <x v="14"/>
    <n v="2025"/>
    <x v="11"/>
    <x v="1"/>
    <s v="Preservativo Masculino"/>
    <s v="Cores e Sabores"/>
    <x v="14"/>
    <n v="4169"/>
  </r>
  <r>
    <x v="15"/>
    <n v="2025"/>
    <x v="0"/>
    <x v="1"/>
    <s v="Preservativo Masculino"/>
    <s v="Performance"/>
    <x v="15"/>
    <n v="4608"/>
  </r>
  <r>
    <x v="15"/>
    <n v="2025"/>
    <x v="1"/>
    <x v="1"/>
    <s v="Preservativo Masculino"/>
    <s v="Performance"/>
    <x v="15"/>
    <n v="5700"/>
  </r>
  <r>
    <x v="15"/>
    <n v="2025"/>
    <x v="2"/>
    <x v="1"/>
    <s v="Preservativo Masculino"/>
    <s v="Performance"/>
    <x v="15"/>
    <n v="6265"/>
  </r>
  <r>
    <x v="15"/>
    <n v="2025"/>
    <x v="3"/>
    <x v="1"/>
    <s v="Preservativo Masculino"/>
    <s v="Performance"/>
    <x v="15"/>
    <n v="2447"/>
  </r>
  <r>
    <x v="15"/>
    <n v="2025"/>
    <x v="4"/>
    <x v="1"/>
    <s v="Preservativo Masculino"/>
    <s v="Performance"/>
    <x v="15"/>
    <n v="23807"/>
  </r>
  <r>
    <x v="15"/>
    <n v="2025"/>
    <x v="5"/>
    <x v="1"/>
    <s v="Preservativo Masculino"/>
    <s v="Performance"/>
    <x v="15"/>
    <n v="27991.298999999999"/>
  </r>
  <r>
    <x v="15"/>
    <n v="2025"/>
    <x v="6"/>
    <x v="1"/>
    <s v="Preservativo Masculino"/>
    <s v="Performance"/>
    <x v="15"/>
    <n v="28412.052"/>
  </r>
  <r>
    <x v="15"/>
    <n v="2025"/>
    <x v="7"/>
    <x v="1"/>
    <s v="Preservativo Masculino"/>
    <s v="Performance"/>
    <x v="15"/>
    <n v="30030.733"/>
  </r>
  <r>
    <x v="15"/>
    <n v="2025"/>
    <x v="8"/>
    <x v="1"/>
    <s v="Preservativo Masculino"/>
    <s v="Performance"/>
    <x v="15"/>
    <n v="31349.932000000001"/>
  </r>
  <r>
    <x v="15"/>
    <n v="2025"/>
    <x v="9"/>
    <x v="1"/>
    <s v="Preservativo Masculino"/>
    <s v="Performance"/>
    <x v="15"/>
    <n v="30481.690999999999"/>
  </r>
  <r>
    <x v="15"/>
    <n v="2025"/>
    <x v="10"/>
    <x v="1"/>
    <s v="Preservativo Masculino"/>
    <s v="Performance"/>
    <x v="15"/>
    <n v="26693.699999999997"/>
  </r>
  <r>
    <x v="15"/>
    <n v="2025"/>
    <x v="11"/>
    <x v="1"/>
    <s v="Preservativo Masculino"/>
    <s v="Performance"/>
    <x v="15"/>
    <n v="24112.699999999997"/>
  </r>
  <r>
    <x v="16"/>
    <n v="2025"/>
    <x v="0"/>
    <x v="1"/>
    <s v="Preservativo Masculino"/>
    <s v="Performance"/>
    <x v="16"/>
    <n v="2031"/>
  </r>
  <r>
    <x v="16"/>
    <n v="2025"/>
    <x v="1"/>
    <x v="1"/>
    <s v="Preservativo Masculino"/>
    <s v="Performance"/>
    <x v="16"/>
    <n v="2145"/>
  </r>
  <r>
    <x v="16"/>
    <n v="2025"/>
    <x v="2"/>
    <x v="1"/>
    <s v="Preservativo Masculino"/>
    <s v="Performance"/>
    <x v="16"/>
    <n v="2159"/>
  </r>
  <r>
    <x v="16"/>
    <n v="2025"/>
    <x v="3"/>
    <x v="1"/>
    <s v="Preservativo Masculino"/>
    <s v="Performance"/>
    <x v="16"/>
    <n v="1294"/>
  </r>
  <r>
    <x v="16"/>
    <n v="2025"/>
    <x v="4"/>
    <x v="1"/>
    <s v="Preservativo Masculino"/>
    <s v="Performance"/>
    <x v="16"/>
    <n v="3666"/>
  </r>
  <r>
    <x v="16"/>
    <n v="2025"/>
    <x v="5"/>
    <x v="1"/>
    <s v="Preservativo Masculino"/>
    <s v="Performance"/>
    <x v="16"/>
    <n v="8630"/>
  </r>
  <r>
    <x v="16"/>
    <n v="2025"/>
    <x v="6"/>
    <x v="1"/>
    <s v="Preservativo Masculino"/>
    <s v="Performance"/>
    <x v="16"/>
    <n v="14225"/>
  </r>
  <r>
    <x v="16"/>
    <n v="2025"/>
    <x v="7"/>
    <x v="1"/>
    <s v="Preservativo Masculino"/>
    <s v="Performance"/>
    <x v="16"/>
    <n v="15930"/>
  </r>
  <r>
    <x v="16"/>
    <n v="2025"/>
    <x v="8"/>
    <x v="1"/>
    <s v="Preservativo Masculino"/>
    <s v="Performance"/>
    <x v="16"/>
    <n v="13593"/>
  </r>
  <r>
    <x v="16"/>
    <n v="2025"/>
    <x v="9"/>
    <x v="1"/>
    <s v="Preservativo Masculino"/>
    <s v="Performance"/>
    <x v="16"/>
    <n v="10460"/>
  </r>
  <r>
    <x v="16"/>
    <n v="2025"/>
    <x v="10"/>
    <x v="1"/>
    <s v="Preservativo Masculino"/>
    <s v="Performance"/>
    <x v="16"/>
    <n v="11460"/>
  </r>
  <r>
    <x v="16"/>
    <n v="2025"/>
    <x v="11"/>
    <x v="1"/>
    <s v="Preservativo Masculino"/>
    <s v="Performance"/>
    <x v="16"/>
    <n v="12438"/>
  </r>
  <r>
    <x v="17"/>
    <n v="2025"/>
    <x v="0"/>
    <x v="1"/>
    <s v="Preservativo Masculino"/>
    <s v="Performance"/>
    <x v="17"/>
    <n v="1171"/>
  </r>
  <r>
    <x v="17"/>
    <n v="2025"/>
    <x v="1"/>
    <x v="1"/>
    <s v="Preservativo Masculino"/>
    <s v="Performance"/>
    <x v="17"/>
    <n v="2347"/>
  </r>
  <r>
    <x v="17"/>
    <n v="2025"/>
    <x v="2"/>
    <x v="1"/>
    <s v="Preservativo Masculino"/>
    <s v="Performance"/>
    <x v="17"/>
    <n v="3105"/>
  </r>
  <r>
    <x v="17"/>
    <n v="2025"/>
    <x v="3"/>
    <x v="1"/>
    <s v="Preservativo Masculino"/>
    <s v="Performance"/>
    <x v="17"/>
    <n v="1246"/>
  </r>
  <r>
    <x v="17"/>
    <n v="2025"/>
    <x v="4"/>
    <x v="1"/>
    <s v="Preservativo Masculino"/>
    <s v="Performance"/>
    <x v="17"/>
    <n v="10124"/>
  </r>
  <r>
    <x v="17"/>
    <n v="2025"/>
    <x v="5"/>
    <x v="1"/>
    <s v="Preservativo Masculino"/>
    <s v="Performance"/>
    <x v="17"/>
    <n v="8336.9449999999997"/>
  </r>
  <r>
    <x v="17"/>
    <n v="2025"/>
    <x v="6"/>
    <x v="1"/>
    <s v="Preservativo Masculino"/>
    <s v="Performance"/>
    <x v="17"/>
    <n v="6418.73"/>
  </r>
  <r>
    <x v="17"/>
    <n v="2025"/>
    <x v="7"/>
    <x v="1"/>
    <s v="Preservativo Masculino"/>
    <s v="Performance"/>
    <x v="17"/>
    <n v="7646.9769999999999"/>
  </r>
  <r>
    <x v="17"/>
    <n v="2025"/>
    <x v="8"/>
    <x v="1"/>
    <s v="Preservativo Masculino"/>
    <s v="Performance"/>
    <x v="17"/>
    <n v="8877.41"/>
  </r>
  <r>
    <x v="17"/>
    <n v="2025"/>
    <x v="9"/>
    <x v="1"/>
    <s v="Preservativo Masculino"/>
    <s v="Performance"/>
    <x v="17"/>
    <n v="12755.897000000001"/>
  </r>
  <r>
    <x v="17"/>
    <n v="2025"/>
    <x v="10"/>
    <x v="1"/>
    <s v="Preservativo Masculino"/>
    <s v="Performance"/>
    <x v="17"/>
    <n v="10842.054"/>
  </r>
  <r>
    <x v="17"/>
    <n v="2025"/>
    <x v="11"/>
    <x v="1"/>
    <s v="Preservativo Masculino"/>
    <s v="Performance"/>
    <x v="17"/>
    <n v="12070.054"/>
  </r>
  <r>
    <x v="18"/>
    <n v="2025"/>
    <x v="0"/>
    <x v="1"/>
    <s v="Preservativo Masculino"/>
    <s v="Performance"/>
    <x v="18"/>
    <n v="1106"/>
  </r>
  <r>
    <x v="18"/>
    <n v="2025"/>
    <x v="1"/>
    <x v="1"/>
    <s v="Preservativo Masculino"/>
    <s v="Performance"/>
    <x v="18"/>
    <n v="1654"/>
  </r>
  <r>
    <x v="18"/>
    <n v="2025"/>
    <x v="2"/>
    <x v="1"/>
    <s v="Preservativo Masculino"/>
    <s v="Performance"/>
    <x v="18"/>
    <n v="1985"/>
  </r>
  <r>
    <x v="18"/>
    <n v="2025"/>
    <x v="3"/>
    <x v="1"/>
    <s v="Preservativo Masculino"/>
    <s v="Performance"/>
    <x v="18"/>
    <n v="581"/>
  </r>
  <r>
    <x v="18"/>
    <n v="2025"/>
    <x v="4"/>
    <x v="1"/>
    <s v="Preservativo Masculino"/>
    <s v="Performance"/>
    <x v="18"/>
    <n v="2610"/>
  </r>
  <r>
    <x v="18"/>
    <n v="2025"/>
    <x v="5"/>
    <x v="1"/>
    <s v="Preservativo Masculino"/>
    <s v="Performance"/>
    <x v="18"/>
    <n v="1884"/>
  </r>
  <r>
    <x v="18"/>
    <n v="2025"/>
    <x v="6"/>
    <x v="1"/>
    <s v="Preservativo Masculino"/>
    <s v="Performance"/>
    <x v="18"/>
    <n v="2837"/>
  </r>
  <r>
    <x v="18"/>
    <n v="2025"/>
    <x v="7"/>
    <x v="1"/>
    <s v="Preservativo Masculino"/>
    <s v="Performance"/>
    <x v="18"/>
    <n v="6058"/>
  </r>
  <r>
    <x v="18"/>
    <n v="2025"/>
    <x v="8"/>
    <x v="1"/>
    <s v="Preservativo Masculino"/>
    <s v="Performance"/>
    <x v="18"/>
    <n v="3949"/>
  </r>
  <r>
    <x v="18"/>
    <n v="2025"/>
    <x v="9"/>
    <x v="1"/>
    <s v="Preservativo Masculino"/>
    <s v="Performance"/>
    <x v="18"/>
    <n v="9589"/>
  </r>
  <r>
    <x v="18"/>
    <n v="2025"/>
    <x v="10"/>
    <x v="1"/>
    <s v="Preservativo Masculino"/>
    <s v="Performance"/>
    <x v="18"/>
    <n v="7789"/>
  </r>
  <r>
    <x v="18"/>
    <n v="2025"/>
    <x v="11"/>
    <x v="1"/>
    <s v="Preservativo Masculino"/>
    <s v="Performance"/>
    <x v="18"/>
    <n v="6803"/>
  </r>
  <r>
    <x v="19"/>
    <n v="2025"/>
    <x v="0"/>
    <x v="1"/>
    <s v="Preservativo Masculino"/>
    <s v="Performance"/>
    <x v="19"/>
    <n v="2410"/>
  </r>
  <r>
    <x v="19"/>
    <n v="2025"/>
    <x v="1"/>
    <x v="1"/>
    <s v="Preservativo Masculino"/>
    <s v="Performance"/>
    <x v="19"/>
    <n v="2550"/>
  </r>
  <r>
    <x v="19"/>
    <n v="2025"/>
    <x v="2"/>
    <x v="1"/>
    <s v="Preservativo Masculino"/>
    <s v="Performance"/>
    <x v="19"/>
    <n v="3256"/>
  </r>
  <r>
    <x v="19"/>
    <n v="2025"/>
    <x v="3"/>
    <x v="1"/>
    <s v="Preservativo Masculino"/>
    <s v="Performance"/>
    <x v="19"/>
    <n v="1092"/>
  </r>
  <r>
    <x v="19"/>
    <n v="2025"/>
    <x v="4"/>
    <x v="1"/>
    <s v="Preservativo Masculino"/>
    <s v="Performance"/>
    <x v="19"/>
    <n v="7964"/>
  </r>
  <r>
    <x v="19"/>
    <n v="2025"/>
    <x v="5"/>
    <x v="1"/>
    <s v="Preservativo Masculino"/>
    <s v="Performance"/>
    <x v="19"/>
    <n v="7922"/>
  </r>
  <r>
    <x v="19"/>
    <n v="2025"/>
    <x v="6"/>
    <x v="1"/>
    <s v="Preservativo Masculino"/>
    <s v="Performance"/>
    <x v="19"/>
    <n v="9216"/>
  </r>
  <r>
    <x v="19"/>
    <n v="2025"/>
    <x v="7"/>
    <x v="1"/>
    <s v="Preservativo Masculino"/>
    <s v="Performance"/>
    <x v="19"/>
    <n v="13186"/>
  </r>
  <r>
    <x v="19"/>
    <n v="2025"/>
    <x v="8"/>
    <x v="1"/>
    <s v="Preservativo Masculino"/>
    <s v="Performance"/>
    <x v="19"/>
    <n v="15961"/>
  </r>
  <r>
    <x v="19"/>
    <n v="2025"/>
    <x v="9"/>
    <x v="1"/>
    <s v="Preservativo Masculino"/>
    <s v="Performance"/>
    <x v="19"/>
    <n v="14082"/>
  </r>
  <r>
    <x v="19"/>
    <n v="2025"/>
    <x v="10"/>
    <x v="1"/>
    <s v="Preservativo Masculino"/>
    <s v="Performance"/>
    <x v="19"/>
    <n v="11482"/>
  </r>
  <r>
    <x v="19"/>
    <n v="2025"/>
    <x v="11"/>
    <x v="1"/>
    <s v="Preservativo Masculino"/>
    <s v="Performance"/>
    <x v="19"/>
    <n v="15501"/>
  </r>
  <r>
    <x v="20"/>
    <n v="2025"/>
    <x v="0"/>
    <x v="1"/>
    <s v="Preservativo Masculino"/>
    <s v="Performance"/>
    <x v="20"/>
    <n v="2035"/>
  </r>
  <r>
    <x v="20"/>
    <n v="2025"/>
    <x v="1"/>
    <x v="1"/>
    <s v="Preservativo Masculino"/>
    <s v="Performance"/>
    <x v="20"/>
    <n v="2974"/>
  </r>
  <r>
    <x v="20"/>
    <n v="2025"/>
    <x v="2"/>
    <x v="1"/>
    <s v="Preservativo Masculino"/>
    <s v="Performance"/>
    <x v="20"/>
    <n v="3498"/>
  </r>
  <r>
    <x v="20"/>
    <n v="2025"/>
    <x v="3"/>
    <x v="1"/>
    <s v="Preservativo Masculino"/>
    <s v="Performance"/>
    <x v="20"/>
    <n v="1369"/>
  </r>
  <r>
    <x v="20"/>
    <n v="2025"/>
    <x v="4"/>
    <x v="1"/>
    <s v="Preservativo Masculino"/>
    <s v="Performance"/>
    <x v="20"/>
    <n v="8432"/>
  </r>
  <r>
    <x v="20"/>
    <n v="2025"/>
    <x v="5"/>
    <x v="1"/>
    <s v="Preservativo Masculino"/>
    <s v="Performance"/>
    <x v="20"/>
    <n v="13203.143"/>
  </r>
  <r>
    <x v="20"/>
    <n v="2025"/>
    <x v="6"/>
    <x v="1"/>
    <s v="Preservativo Masculino"/>
    <s v="Performance"/>
    <x v="20"/>
    <n v="12988.419"/>
  </r>
  <r>
    <x v="20"/>
    <n v="2025"/>
    <x v="7"/>
    <x v="1"/>
    <s v="Preservativo Masculino"/>
    <s v="Performance"/>
    <x v="20"/>
    <n v="15755.496999999999"/>
  </r>
  <r>
    <x v="20"/>
    <n v="2025"/>
    <x v="8"/>
    <x v="1"/>
    <s v="Preservativo Masculino"/>
    <s v="Performance"/>
    <x v="20"/>
    <n v="16539.277000000002"/>
  </r>
  <r>
    <x v="20"/>
    <n v="2025"/>
    <x v="9"/>
    <x v="1"/>
    <s v="Preservativo Masculino"/>
    <s v="Performance"/>
    <x v="20"/>
    <n v="13686.547000000002"/>
  </r>
  <r>
    <x v="20"/>
    <n v="2025"/>
    <x v="10"/>
    <x v="1"/>
    <s v="Preservativo Masculino"/>
    <s v="Performance"/>
    <x v="20"/>
    <n v="16426.547000000002"/>
  </r>
  <r>
    <x v="20"/>
    <n v="2025"/>
    <x v="11"/>
    <x v="1"/>
    <s v="Preservativo Masculino"/>
    <s v="Performance"/>
    <x v="20"/>
    <n v="15633.547000000002"/>
  </r>
  <r>
    <x v="21"/>
    <n v="2025"/>
    <x v="0"/>
    <x v="1"/>
    <s v="Preservativo Masculino"/>
    <s v="Performance"/>
    <x v="21"/>
    <n v="510"/>
  </r>
  <r>
    <x v="21"/>
    <n v="2025"/>
    <x v="1"/>
    <x v="1"/>
    <s v="Preservativo Masculino"/>
    <s v="Performance"/>
    <x v="21"/>
    <n v="490"/>
  </r>
  <r>
    <x v="21"/>
    <n v="2025"/>
    <x v="2"/>
    <x v="1"/>
    <s v="Preservativo Masculino"/>
    <s v="Performance"/>
    <x v="21"/>
    <n v="994"/>
  </r>
  <r>
    <x v="21"/>
    <n v="2025"/>
    <x v="3"/>
    <x v="1"/>
    <s v="Preservativo Masculino"/>
    <s v="Performance"/>
    <x v="21"/>
    <n v="385"/>
  </r>
  <r>
    <x v="21"/>
    <n v="2025"/>
    <x v="4"/>
    <x v="1"/>
    <s v="Preservativo Masculino"/>
    <s v="Performance"/>
    <x v="21"/>
    <n v="5114"/>
  </r>
  <r>
    <x v="21"/>
    <n v="2025"/>
    <x v="5"/>
    <x v="1"/>
    <s v="Preservativo Masculino"/>
    <s v="Performance"/>
    <x v="21"/>
    <n v="4798.1229999999996"/>
  </r>
  <r>
    <x v="21"/>
    <n v="2025"/>
    <x v="6"/>
    <x v="1"/>
    <s v="Preservativo Masculino"/>
    <s v="Performance"/>
    <x v="21"/>
    <n v="4460.3859999999995"/>
  </r>
  <r>
    <x v="21"/>
    <n v="2025"/>
    <x v="7"/>
    <x v="1"/>
    <s v="Preservativo Masculino"/>
    <s v="Performance"/>
    <x v="21"/>
    <n v="4148.8809999999994"/>
  </r>
  <r>
    <x v="21"/>
    <n v="2025"/>
    <x v="8"/>
    <x v="1"/>
    <s v="Preservativo Masculino"/>
    <s v="Performance"/>
    <x v="21"/>
    <n v="3826.4459999999995"/>
  </r>
  <r>
    <x v="21"/>
    <n v="2025"/>
    <x v="9"/>
    <x v="1"/>
    <s v="Preservativo Masculino"/>
    <s v="Performance"/>
    <x v="21"/>
    <n v="3455.9189999999994"/>
  </r>
  <r>
    <x v="21"/>
    <n v="2025"/>
    <x v="10"/>
    <x v="1"/>
    <s v="Preservativo Masculino"/>
    <s v="Performance"/>
    <x v="21"/>
    <n v="3083.2059999999992"/>
  </r>
  <r>
    <x v="21"/>
    <n v="2025"/>
    <x v="11"/>
    <x v="1"/>
    <s v="Preservativo Masculino"/>
    <s v="Performance"/>
    <x v="21"/>
    <n v="2771.2059999999992"/>
  </r>
  <r>
    <x v="22"/>
    <n v="2025"/>
    <x v="0"/>
    <x v="1"/>
    <s v="Preservativo Masculino"/>
    <s v="Cores e Sabores"/>
    <x v="22"/>
    <n v="419"/>
  </r>
  <r>
    <x v="22"/>
    <n v="2025"/>
    <x v="1"/>
    <x v="1"/>
    <s v="Preservativo Masculino"/>
    <s v="Cores e Sabores"/>
    <x v="22"/>
    <n v="276"/>
  </r>
  <r>
    <x v="22"/>
    <n v="2025"/>
    <x v="2"/>
    <x v="1"/>
    <s v="Preservativo Masculino"/>
    <s v="Cores e Sabores"/>
    <x v="22"/>
    <n v="347"/>
  </r>
  <r>
    <x v="22"/>
    <n v="2025"/>
    <x v="3"/>
    <x v="1"/>
    <s v="Preservativo Masculino"/>
    <s v="Cores e Sabores"/>
    <x v="22"/>
    <n v="203"/>
  </r>
  <r>
    <x v="22"/>
    <n v="2025"/>
    <x v="4"/>
    <x v="1"/>
    <s v="Preservativo Masculino"/>
    <s v="Cores e Sabores"/>
    <x v="22"/>
    <n v="3132"/>
  </r>
  <r>
    <x v="22"/>
    <n v="2025"/>
    <x v="5"/>
    <x v="1"/>
    <s v="Preservativo Masculino"/>
    <s v="Cores e Sabores"/>
    <x v="22"/>
    <n v="2818.3090000000002"/>
  </r>
  <r>
    <x v="22"/>
    <n v="2025"/>
    <x v="6"/>
    <x v="1"/>
    <s v="Preservativo Masculino"/>
    <s v="Cores e Sabores"/>
    <x v="22"/>
    <n v="2430.2940000000003"/>
  </r>
  <r>
    <x v="22"/>
    <n v="2025"/>
    <x v="7"/>
    <x v="1"/>
    <s v="Preservativo Masculino"/>
    <s v="Cores e Sabores"/>
    <x v="22"/>
    <n v="2107.8590000000004"/>
  </r>
  <r>
    <x v="22"/>
    <n v="2025"/>
    <x v="8"/>
    <x v="1"/>
    <s v="Preservativo Masculino"/>
    <s v="Cores e Sabores"/>
    <x v="22"/>
    <n v="4723.1230000000005"/>
  </r>
  <r>
    <x v="22"/>
    <n v="2025"/>
    <x v="9"/>
    <x v="1"/>
    <s v="Preservativo Masculino"/>
    <s v="Cores e Sabores"/>
    <x v="22"/>
    <n v="4300.1320000000005"/>
  </r>
  <r>
    <x v="22"/>
    <n v="2025"/>
    <x v="10"/>
    <x v="1"/>
    <s v="Preservativo Masculino"/>
    <s v="Cores e Sabores"/>
    <x v="22"/>
    <n v="3764.5620000000004"/>
  </r>
  <r>
    <x v="22"/>
    <n v="2025"/>
    <x v="11"/>
    <x v="1"/>
    <s v="Preservativo Masculino"/>
    <s v="Cores e Sabores"/>
    <x v="22"/>
    <n v="3442.5620000000004"/>
  </r>
  <r>
    <x v="23"/>
    <n v="2025"/>
    <x v="0"/>
    <x v="1"/>
    <s v="Preservativo Masculino"/>
    <s v="Performance"/>
    <x v="23"/>
    <n v="444"/>
  </r>
  <r>
    <x v="23"/>
    <n v="2025"/>
    <x v="1"/>
    <x v="1"/>
    <s v="Preservativo Masculino"/>
    <s v="Performance"/>
    <x v="23"/>
    <n v="190"/>
  </r>
  <r>
    <x v="23"/>
    <n v="2025"/>
    <x v="2"/>
    <x v="1"/>
    <s v="Preservativo Masculino"/>
    <s v="Performance"/>
    <x v="23"/>
    <n v="369"/>
  </r>
  <r>
    <x v="23"/>
    <n v="2025"/>
    <x v="3"/>
    <x v="1"/>
    <s v="Preservativo Masculino"/>
    <s v="Performance"/>
    <x v="23"/>
    <n v="146"/>
  </r>
  <r>
    <x v="23"/>
    <n v="2025"/>
    <x v="4"/>
    <x v="1"/>
    <s v="Preservativo Masculino"/>
    <s v="Performance"/>
    <x v="23"/>
    <n v="2795"/>
  </r>
  <r>
    <x v="23"/>
    <n v="2025"/>
    <x v="5"/>
    <x v="1"/>
    <s v="Preservativo Masculino"/>
    <s v="Performance"/>
    <x v="23"/>
    <n v="2660.5610000000001"/>
  </r>
  <r>
    <x v="23"/>
    <n v="2025"/>
    <x v="6"/>
    <x v="1"/>
    <s v="Preservativo Masculino"/>
    <s v="Performance"/>
    <x v="23"/>
    <n v="2485.681"/>
  </r>
  <r>
    <x v="23"/>
    <n v="2025"/>
    <x v="7"/>
    <x v="1"/>
    <s v="Preservativo Masculino"/>
    <s v="Performance"/>
    <x v="23"/>
    <n v="2321.7310000000002"/>
  </r>
  <r>
    <x v="23"/>
    <n v="2025"/>
    <x v="8"/>
    <x v="1"/>
    <s v="Preservativo Masculino"/>
    <s v="Performance"/>
    <x v="23"/>
    <n v="2145.7580000000003"/>
  </r>
  <r>
    <x v="23"/>
    <n v="2025"/>
    <x v="9"/>
    <x v="1"/>
    <s v="Preservativo Masculino"/>
    <s v="Performance"/>
    <x v="23"/>
    <n v="1950.1110000000003"/>
  </r>
  <r>
    <x v="23"/>
    <n v="2025"/>
    <x v="10"/>
    <x v="1"/>
    <s v="Preservativo Masculino"/>
    <s v="Performance"/>
    <x v="23"/>
    <n v="1662.6520000000003"/>
  </r>
  <r>
    <x v="23"/>
    <n v="2025"/>
    <x v="11"/>
    <x v="1"/>
    <s v="Preservativo Masculino"/>
    <s v="Performance"/>
    <x v="23"/>
    <n v="1498.6520000000003"/>
  </r>
  <r>
    <x v="24"/>
    <n v="2025"/>
    <x v="0"/>
    <x v="1"/>
    <s v="Preservativo Masculino"/>
    <s v="Performance"/>
    <x v="24"/>
    <n v="661"/>
  </r>
  <r>
    <x v="24"/>
    <n v="2025"/>
    <x v="1"/>
    <x v="1"/>
    <s v="Preservativo Masculino"/>
    <s v="Performance"/>
    <x v="24"/>
    <n v="409"/>
  </r>
  <r>
    <x v="24"/>
    <n v="2025"/>
    <x v="2"/>
    <x v="1"/>
    <s v="Preservativo Masculino"/>
    <s v="Performance"/>
    <x v="24"/>
    <n v="877"/>
  </r>
  <r>
    <x v="24"/>
    <n v="2025"/>
    <x v="3"/>
    <x v="1"/>
    <s v="Preservativo Masculino"/>
    <s v="Performance"/>
    <x v="24"/>
    <n v="382"/>
  </r>
  <r>
    <x v="24"/>
    <n v="2025"/>
    <x v="4"/>
    <x v="1"/>
    <s v="Preservativo Masculino"/>
    <s v="Performance"/>
    <x v="24"/>
    <n v="4743"/>
  </r>
  <r>
    <x v="24"/>
    <n v="2025"/>
    <x v="5"/>
    <x v="1"/>
    <s v="Preservativo Masculino"/>
    <s v="Performance"/>
    <x v="24"/>
    <n v="4630"/>
  </r>
  <r>
    <x v="24"/>
    <n v="2025"/>
    <x v="6"/>
    <x v="1"/>
    <s v="Preservativo Masculino"/>
    <s v="Performance"/>
    <x v="24"/>
    <n v="4474"/>
  </r>
  <r>
    <x v="24"/>
    <n v="2025"/>
    <x v="7"/>
    <x v="1"/>
    <s v="Preservativo Masculino"/>
    <s v="Performance"/>
    <x v="24"/>
    <n v="3501"/>
  </r>
  <r>
    <x v="24"/>
    <n v="2025"/>
    <x v="8"/>
    <x v="1"/>
    <s v="Preservativo Masculino"/>
    <s v="Performance"/>
    <x v="24"/>
    <n v="3312"/>
  </r>
  <r>
    <x v="24"/>
    <n v="2025"/>
    <x v="9"/>
    <x v="1"/>
    <s v="Preservativo Masculino"/>
    <s v="Performance"/>
    <x v="24"/>
    <n v="6215"/>
  </r>
  <r>
    <x v="24"/>
    <n v="2025"/>
    <x v="10"/>
    <x v="1"/>
    <s v="Preservativo Masculino"/>
    <s v="Performance"/>
    <x v="24"/>
    <n v="5665"/>
  </r>
  <r>
    <x v="24"/>
    <n v="2025"/>
    <x v="11"/>
    <x v="1"/>
    <s v="Preservativo Masculino"/>
    <s v="Performance"/>
    <x v="24"/>
    <n v="5298"/>
  </r>
  <r>
    <x v="25"/>
    <n v="2025"/>
    <x v="0"/>
    <x v="1"/>
    <s v="Preservativo Masculino"/>
    <s v="Performance"/>
    <x v="25"/>
    <n v="291"/>
  </r>
  <r>
    <x v="25"/>
    <n v="2025"/>
    <x v="1"/>
    <x v="1"/>
    <s v="Preservativo Masculino"/>
    <s v="Performance"/>
    <x v="25"/>
    <n v="221"/>
  </r>
  <r>
    <x v="25"/>
    <n v="2025"/>
    <x v="2"/>
    <x v="1"/>
    <s v="Preservativo Masculino"/>
    <s v="Performance"/>
    <x v="25"/>
    <n v="622"/>
  </r>
  <r>
    <x v="25"/>
    <n v="2025"/>
    <x v="3"/>
    <x v="1"/>
    <s v="Preservativo Masculino"/>
    <s v="Performance"/>
    <x v="25"/>
    <n v="158"/>
  </r>
  <r>
    <x v="25"/>
    <n v="2025"/>
    <x v="4"/>
    <x v="1"/>
    <s v="Preservativo Masculino"/>
    <s v="Performance"/>
    <x v="25"/>
    <n v="973"/>
  </r>
  <r>
    <x v="25"/>
    <n v="2025"/>
    <x v="5"/>
    <x v="1"/>
    <s v="Preservativo Masculino"/>
    <s v="Performance"/>
    <x v="25"/>
    <n v="841.84"/>
  </r>
  <r>
    <x v="25"/>
    <n v="2025"/>
    <x v="6"/>
    <x v="1"/>
    <s v="Preservativo Masculino"/>
    <s v="Performance"/>
    <x v="25"/>
    <n v="664.774"/>
  </r>
  <r>
    <x v="25"/>
    <n v="2025"/>
    <x v="7"/>
    <x v="1"/>
    <s v="Preservativo Masculino"/>
    <s v="Performance"/>
    <x v="25"/>
    <n v="499.73099999999999"/>
  </r>
  <r>
    <x v="25"/>
    <n v="2025"/>
    <x v="8"/>
    <x v="1"/>
    <s v="Preservativo Masculino"/>
    <s v="Performance"/>
    <x v="25"/>
    <n v="334.68799999999999"/>
  </r>
  <r>
    <x v="25"/>
    <n v="2025"/>
    <x v="9"/>
    <x v="1"/>
    <s v="Preservativo Masculino"/>
    <s v="Performance"/>
    <x v="25"/>
    <n v="142.32"/>
  </r>
  <r>
    <x v="25"/>
    <n v="2025"/>
    <x v="10"/>
    <x v="1"/>
    <s v="Preservativo Masculino"/>
    <s v="Performance"/>
    <x v="25"/>
    <n v="0"/>
  </r>
  <r>
    <x v="25"/>
    <n v="2025"/>
    <x v="11"/>
    <x v="1"/>
    <s v="Preservativo Masculino"/>
    <s v="Performance"/>
    <x v="25"/>
    <n v="3000"/>
  </r>
  <r>
    <x v="26"/>
    <n v="2025"/>
    <x v="0"/>
    <x v="1"/>
    <s v="Preservativo Masculino"/>
    <s v="Low Price "/>
    <x v="26"/>
    <n v="488"/>
  </r>
  <r>
    <x v="26"/>
    <n v="2025"/>
    <x v="1"/>
    <x v="1"/>
    <s v="Preservativo Masculino"/>
    <s v="Low Price "/>
    <x v="26"/>
    <n v="2663"/>
  </r>
  <r>
    <x v="26"/>
    <n v="2025"/>
    <x v="2"/>
    <x v="1"/>
    <s v="Preservativo Masculino"/>
    <s v="Low Price "/>
    <x v="26"/>
    <n v="0"/>
  </r>
  <r>
    <x v="26"/>
    <n v="2025"/>
    <x v="3"/>
    <x v="1"/>
    <s v="Preservativo Masculino"/>
    <s v="Low Price "/>
    <x v="26"/>
    <n v="1560"/>
  </r>
  <r>
    <x v="26"/>
    <n v="2025"/>
    <x v="4"/>
    <x v="1"/>
    <s v="Preservativo Masculino"/>
    <s v="Low Price "/>
    <x v="26"/>
    <n v="4352"/>
  </r>
  <r>
    <x v="26"/>
    <n v="2025"/>
    <x v="5"/>
    <x v="1"/>
    <s v="Preservativo Masculino"/>
    <s v="Low Price "/>
    <x v="26"/>
    <n v="3637.1779999999999"/>
  </r>
  <r>
    <x v="26"/>
    <n v="2025"/>
    <x v="6"/>
    <x v="1"/>
    <s v="Preservativo Masculino"/>
    <s v="Low Price "/>
    <x v="26"/>
    <n v="2395.5299999999997"/>
  </r>
  <r>
    <x v="26"/>
    <n v="2025"/>
    <x v="7"/>
    <x v="1"/>
    <s v="Preservativo Masculino"/>
    <s v="Low Price "/>
    <x v="26"/>
    <n v="4879.634"/>
  </r>
  <r>
    <x v="26"/>
    <n v="2025"/>
    <x v="8"/>
    <x v="1"/>
    <s v="Preservativo Masculino"/>
    <s v="Low Price "/>
    <x v="26"/>
    <n v="4218.3689999999997"/>
  </r>
  <r>
    <x v="26"/>
    <n v="2025"/>
    <x v="9"/>
    <x v="1"/>
    <s v="Preservativo Masculino"/>
    <s v="Low Price "/>
    <x v="26"/>
    <n v="14894.745999999999"/>
  </r>
  <r>
    <x v="26"/>
    <n v="2025"/>
    <x v="10"/>
    <x v="1"/>
    <s v="Preservativo Masculino"/>
    <s v="Low Price "/>
    <x v="26"/>
    <n v="15944.745999999999"/>
  </r>
  <r>
    <x v="26"/>
    <n v="2025"/>
    <x v="11"/>
    <x v="1"/>
    <s v="Preservativo Masculino"/>
    <s v="Low Price "/>
    <x v="26"/>
    <n v="13644.745999999999"/>
  </r>
  <r>
    <x v="27"/>
    <n v="2025"/>
    <x v="0"/>
    <x v="1"/>
    <s v="Preservativo Masculino"/>
    <s v="Low Price "/>
    <x v="27"/>
    <n v="246"/>
  </r>
  <r>
    <x v="27"/>
    <n v="2025"/>
    <x v="1"/>
    <x v="1"/>
    <s v="Preservativo Masculino"/>
    <s v="Low Price "/>
    <x v="27"/>
    <n v="682"/>
  </r>
  <r>
    <x v="27"/>
    <n v="2025"/>
    <x v="2"/>
    <x v="1"/>
    <s v="Preservativo Masculino"/>
    <s v="Low Price "/>
    <x v="27"/>
    <n v="1571"/>
  </r>
  <r>
    <x v="27"/>
    <n v="2025"/>
    <x v="3"/>
    <x v="1"/>
    <s v="Preservativo Masculino"/>
    <s v="Low Price "/>
    <x v="27"/>
    <n v="515"/>
  </r>
  <r>
    <x v="27"/>
    <n v="2025"/>
    <x v="4"/>
    <x v="1"/>
    <s v="Preservativo Masculino"/>
    <s v="Low Price "/>
    <x v="27"/>
    <n v="2"/>
  </r>
  <r>
    <x v="27"/>
    <n v="2025"/>
    <x v="5"/>
    <x v="1"/>
    <s v="Preservativo Masculino"/>
    <s v="Low Price "/>
    <x v="27"/>
    <n v="0"/>
  </r>
  <r>
    <x v="27"/>
    <n v="2025"/>
    <x v="6"/>
    <x v="1"/>
    <s v="Preservativo Masculino"/>
    <s v="Low Price "/>
    <x v="27"/>
    <n v="2660"/>
  </r>
  <r>
    <x v="27"/>
    <n v="2025"/>
    <x v="7"/>
    <x v="1"/>
    <s v="Preservativo Masculino"/>
    <s v="Low Price "/>
    <x v="27"/>
    <n v="5234"/>
  </r>
  <r>
    <x v="27"/>
    <n v="2025"/>
    <x v="8"/>
    <x v="1"/>
    <s v="Preservativo Masculino"/>
    <s v="Low Price "/>
    <x v="27"/>
    <n v="4626"/>
  </r>
  <r>
    <x v="27"/>
    <n v="2025"/>
    <x v="9"/>
    <x v="1"/>
    <s v="Preservativo Masculino"/>
    <s v="Low Price "/>
    <x v="27"/>
    <n v="7148"/>
  </r>
  <r>
    <x v="27"/>
    <n v="2025"/>
    <x v="10"/>
    <x v="1"/>
    <s v="Preservativo Masculino"/>
    <s v="Low Price "/>
    <x v="27"/>
    <n v="9248"/>
  </r>
  <r>
    <x v="27"/>
    <n v="2025"/>
    <x v="11"/>
    <x v="1"/>
    <s v="Preservativo Masculino"/>
    <s v="Low Price "/>
    <x v="27"/>
    <n v="8248"/>
  </r>
  <r>
    <x v="28"/>
    <n v="2025"/>
    <x v="0"/>
    <x v="1"/>
    <s v="Preservativo Masculino"/>
    <s v="Low Price "/>
    <x v="28"/>
    <n v="379"/>
  </r>
  <r>
    <x v="28"/>
    <n v="2025"/>
    <x v="1"/>
    <x v="1"/>
    <s v="Preservativo Masculino"/>
    <s v="Low Price "/>
    <x v="28"/>
    <n v="1166"/>
  </r>
  <r>
    <x v="28"/>
    <n v="2025"/>
    <x v="2"/>
    <x v="1"/>
    <s v="Preservativo Masculino"/>
    <s v="Low Price "/>
    <x v="28"/>
    <n v="1726"/>
  </r>
  <r>
    <x v="28"/>
    <n v="2025"/>
    <x v="3"/>
    <x v="1"/>
    <s v="Preservativo Masculino"/>
    <s v="Low Price "/>
    <x v="28"/>
    <n v="958"/>
  </r>
  <r>
    <x v="28"/>
    <n v="2025"/>
    <x v="4"/>
    <x v="1"/>
    <s v="Preservativo Masculino"/>
    <s v="Low Price "/>
    <x v="28"/>
    <n v="947"/>
  </r>
  <r>
    <x v="28"/>
    <n v="2025"/>
    <x v="5"/>
    <x v="1"/>
    <s v="Preservativo Masculino"/>
    <s v="Low Price "/>
    <x v="28"/>
    <n v="224.52700000000004"/>
  </r>
  <r>
    <x v="28"/>
    <n v="2025"/>
    <x v="6"/>
    <x v="1"/>
    <s v="Preservativo Masculino"/>
    <s v="Low Price "/>
    <x v="28"/>
    <n v="0"/>
  </r>
  <r>
    <x v="28"/>
    <n v="2025"/>
    <x v="7"/>
    <x v="1"/>
    <s v="Preservativo Masculino"/>
    <s v="Low Price "/>
    <x v="28"/>
    <n v="6000"/>
  </r>
  <r>
    <x v="28"/>
    <n v="2025"/>
    <x v="8"/>
    <x v="1"/>
    <s v="Preservativo Masculino"/>
    <s v="Low Price "/>
    <x v="28"/>
    <n v="5291.7359999999999"/>
  </r>
  <r>
    <x v="28"/>
    <n v="2025"/>
    <x v="9"/>
    <x v="1"/>
    <s v="Preservativo Masculino"/>
    <s v="Low Price "/>
    <x v="28"/>
    <n v="10082.878000000001"/>
  </r>
  <r>
    <x v="28"/>
    <n v="2025"/>
    <x v="10"/>
    <x v="1"/>
    <s v="Preservativo Masculino"/>
    <s v="Low Price "/>
    <x v="28"/>
    <n v="16832.878000000001"/>
  </r>
  <r>
    <x v="28"/>
    <n v="2025"/>
    <x v="11"/>
    <x v="1"/>
    <s v="Preservativo Masculino"/>
    <s v="Low Price "/>
    <x v="28"/>
    <n v="16832.878000000001"/>
  </r>
  <r>
    <x v="29"/>
    <n v="2025"/>
    <x v="0"/>
    <x v="1"/>
    <s v="Preservativo Masculino"/>
    <s v="Low Price "/>
    <x v="29"/>
    <n v="625"/>
  </r>
  <r>
    <x v="29"/>
    <n v="2025"/>
    <x v="1"/>
    <x v="1"/>
    <s v="Preservativo Masculino"/>
    <s v="Low Price "/>
    <x v="29"/>
    <n v="1045"/>
  </r>
  <r>
    <x v="29"/>
    <n v="2025"/>
    <x v="2"/>
    <x v="1"/>
    <s v="Preservativo Masculino"/>
    <s v="Low Price "/>
    <x v="29"/>
    <n v="1458"/>
  </r>
  <r>
    <x v="29"/>
    <n v="2025"/>
    <x v="3"/>
    <x v="1"/>
    <s v="Preservativo Masculino"/>
    <s v="Low Price "/>
    <x v="29"/>
    <n v="0"/>
  </r>
  <r>
    <x v="29"/>
    <n v="2025"/>
    <x v="4"/>
    <x v="1"/>
    <s v="Preservativo Masculino"/>
    <s v="Low Price "/>
    <x v="29"/>
    <n v="0"/>
  </r>
  <r>
    <x v="29"/>
    <n v="2025"/>
    <x v="5"/>
    <x v="1"/>
    <s v="Preservativo Masculino"/>
    <s v="Low Price "/>
    <x v="29"/>
    <n v="3000"/>
  </r>
  <r>
    <x v="29"/>
    <n v="2025"/>
    <x v="6"/>
    <x v="1"/>
    <s v="Preservativo Masculino"/>
    <s v="Low Price "/>
    <x v="29"/>
    <n v="9308"/>
  </r>
  <r>
    <x v="29"/>
    <n v="2025"/>
    <x v="7"/>
    <x v="1"/>
    <s v="Preservativo Masculino"/>
    <s v="Low Price "/>
    <x v="29"/>
    <n v="8483"/>
  </r>
  <r>
    <x v="29"/>
    <n v="2025"/>
    <x v="8"/>
    <x v="1"/>
    <s v="Preservativo Masculino"/>
    <s v="Low Price "/>
    <x v="29"/>
    <n v="8044"/>
  </r>
  <r>
    <x v="29"/>
    <n v="2025"/>
    <x v="9"/>
    <x v="1"/>
    <s v="Preservativo Masculino"/>
    <s v="Low Price "/>
    <x v="29"/>
    <n v="13248"/>
  </r>
  <r>
    <x v="29"/>
    <n v="2025"/>
    <x v="10"/>
    <x v="1"/>
    <s v="Preservativo Masculino"/>
    <s v="Low Price "/>
    <x v="29"/>
    <n v="17748"/>
  </r>
  <r>
    <x v="29"/>
    <n v="2025"/>
    <x v="11"/>
    <x v="1"/>
    <s v="Preservativo Masculino"/>
    <s v="Low Price "/>
    <x v="29"/>
    <n v="16248"/>
  </r>
  <r>
    <x v="30"/>
    <n v="2025"/>
    <x v="0"/>
    <x v="1"/>
    <s v="Preservativo Masculino"/>
    <s v="Básico"/>
    <x v="30"/>
    <n v="1683"/>
  </r>
  <r>
    <x v="30"/>
    <n v="2025"/>
    <x v="1"/>
    <x v="1"/>
    <s v="Preservativo Masculino"/>
    <s v="Básico"/>
    <x v="30"/>
    <n v="3291"/>
  </r>
  <r>
    <x v="30"/>
    <n v="2025"/>
    <x v="2"/>
    <x v="1"/>
    <s v="Preservativo Masculino"/>
    <s v="Básico"/>
    <x v="30"/>
    <n v="3168"/>
  </r>
  <r>
    <x v="30"/>
    <n v="2025"/>
    <x v="3"/>
    <x v="1"/>
    <s v="Preservativo Masculino"/>
    <s v="Básico"/>
    <x v="30"/>
    <n v="5680"/>
  </r>
  <r>
    <x v="30"/>
    <n v="2025"/>
    <x v="4"/>
    <x v="1"/>
    <s v="Preservativo Masculino"/>
    <s v="Básico"/>
    <x v="30"/>
    <n v="13765"/>
  </r>
  <r>
    <x v="30"/>
    <n v="2025"/>
    <x v="5"/>
    <x v="1"/>
    <s v="Preservativo Masculino"/>
    <s v="Básico"/>
    <x v="30"/>
    <n v="2156.0821400000004"/>
  </r>
  <r>
    <x v="30"/>
    <n v="2025"/>
    <x v="6"/>
    <x v="1"/>
    <s v="Preservativo Masculino"/>
    <s v="Básico"/>
    <x v="30"/>
    <n v="218.45546000000036"/>
  </r>
  <r>
    <x v="30"/>
    <n v="2025"/>
    <x v="7"/>
    <x v="1"/>
    <s v="Preservativo Masculino"/>
    <s v="Básico"/>
    <x v="30"/>
    <n v="13600"/>
  </r>
  <r>
    <x v="30"/>
    <n v="2025"/>
    <x v="8"/>
    <x v="1"/>
    <s v="Preservativo Masculino"/>
    <s v="Básico"/>
    <x v="30"/>
    <n v="11878.06594"/>
  </r>
  <r>
    <x v="30"/>
    <n v="2025"/>
    <x v="9"/>
    <x v="1"/>
    <s v="Preservativo Masculino"/>
    <s v="Básico"/>
    <x v="30"/>
    <n v="23519.03832"/>
  </r>
  <r>
    <x v="30"/>
    <n v="2025"/>
    <x v="10"/>
    <x v="1"/>
    <s v="Preservativo Masculino"/>
    <s v="Básico"/>
    <x v="30"/>
    <n v="18519.03832"/>
  </r>
  <r>
    <x v="30"/>
    <n v="2025"/>
    <x v="11"/>
    <x v="1"/>
    <s v="Preservativo Masculino"/>
    <s v="Básico"/>
    <x v="30"/>
    <n v="16919.03832"/>
  </r>
  <r>
    <x v="31"/>
    <n v="2025"/>
    <x v="0"/>
    <x v="1"/>
    <s v="Preservativo Masculino"/>
    <s v="Básico"/>
    <x v="31"/>
    <n v="3182"/>
  </r>
  <r>
    <x v="31"/>
    <n v="2025"/>
    <x v="1"/>
    <x v="1"/>
    <s v="Preservativo Masculino"/>
    <s v="Básico"/>
    <x v="31"/>
    <n v="6342"/>
  </r>
  <r>
    <x v="31"/>
    <n v="2025"/>
    <x v="2"/>
    <x v="1"/>
    <s v="Preservativo Masculino"/>
    <s v="Básico"/>
    <x v="31"/>
    <n v="6976"/>
  </r>
  <r>
    <x v="31"/>
    <n v="2025"/>
    <x v="3"/>
    <x v="1"/>
    <s v="Preservativo Masculino"/>
    <s v="Básico"/>
    <x v="31"/>
    <n v="2947"/>
  </r>
  <r>
    <x v="31"/>
    <n v="2025"/>
    <x v="4"/>
    <x v="1"/>
    <s v="Preservativo Masculino"/>
    <s v="Básico"/>
    <x v="31"/>
    <n v="27368"/>
  </r>
  <r>
    <x v="31"/>
    <n v="2025"/>
    <x v="5"/>
    <x v="1"/>
    <s v="Preservativo Masculino"/>
    <s v="Básico"/>
    <x v="31"/>
    <n v="26646.691500000001"/>
  </r>
  <r>
    <x v="31"/>
    <n v="2025"/>
    <x v="6"/>
    <x v="1"/>
    <s v="Preservativo Masculino"/>
    <s v="Básico"/>
    <x v="31"/>
    <n v="31320.31148"/>
  </r>
  <r>
    <x v="31"/>
    <n v="2025"/>
    <x v="7"/>
    <x v="1"/>
    <s v="Preservativo Masculino"/>
    <s v="Básico"/>
    <x v="31"/>
    <n v="43634.17858"/>
  </r>
  <r>
    <x v="31"/>
    <n v="2025"/>
    <x v="8"/>
    <x v="1"/>
    <s v="Preservativo Masculino"/>
    <s v="Básico"/>
    <x v="31"/>
    <n v="37247.867019999998"/>
  </r>
  <r>
    <x v="31"/>
    <n v="2025"/>
    <x v="9"/>
    <x v="1"/>
    <s v="Preservativo Masculino"/>
    <s v="Básico"/>
    <x v="31"/>
    <n v="33031.744139999995"/>
  </r>
  <r>
    <x v="31"/>
    <n v="2025"/>
    <x v="10"/>
    <x v="1"/>
    <s v="Preservativo Masculino"/>
    <s v="Básico"/>
    <x v="31"/>
    <n v="29631.744139999995"/>
  </r>
  <r>
    <x v="31"/>
    <n v="2025"/>
    <x v="11"/>
    <x v="1"/>
    <s v="Preservativo Masculino"/>
    <s v="Básico"/>
    <x v="31"/>
    <n v="26231.744139999995"/>
  </r>
  <r>
    <x v="32"/>
    <n v="2025"/>
    <x v="0"/>
    <x v="1"/>
    <s v="Preservativo Masculino"/>
    <s v="Básico"/>
    <x v="32"/>
    <n v="3021"/>
  </r>
  <r>
    <x v="32"/>
    <n v="2025"/>
    <x v="1"/>
    <x v="1"/>
    <s v="Preservativo Masculino"/>
    <s v="Básico"/>
    <x v="32"/>
    <n v="4131"/>
  </r>
  <r>
    <x v="32"/>
    <n v="2025"/>
    <x v="2"/>
    <x v="1"/>
    <s v="Preservativo Masculino"/>
    <s v="Básico"/>
    <x v="32"/>
    <n v="4638"/>
  </r>
  <r>
    <x v="32"/>
    <n v="2025"/>
    <x v="3"/>
    <x v="1"/>
    <s v="Preservativo Masculino"/>
    <s v="Básico"/>
    <x v="32"/>
    <n v="22215"/>
  </r>
  <r>
    <x v="32"/>
    <n v="2025"/>
    <x v="4"/>
    <x v="1"/>
    <s v="Preservativo Masculino"/>
    <s v="Básico"/>
    <x v="32"/>
    <n v="8891"/>
  </r>
  <r>
    <x v="32"/>
    <n v="2025"/>
    <x v="5"/>
    <x v="1"/>
    <s v="Preservativo Masculino"/>
    <s v="Básico"/>
    <x v="32"/>
    <n v="13118.165440000001"/>
  </r>
  <r>
    <x v="32"/>
    <n v="2025"/>
    <x v="6"/>
    <x v="1"/>
    <s v="Preservativo Masculino"/>
    <s v="Básico"/>
    <x v="32"/>
    <n v="9747.8780800000004"/>
  </r>
  <r>
    <x v="32"/>
    <n v="2025"/>
    <x v="7"/>
    <x v="1"/>
    <s v="Preservativo Masculino"/>
    <s v="Básico"/>
    <x v="32"/>
    <n v="20580.576959999999"/>
  </r>
  <r>
    <x v="32"/>
    <n v="2025"/>
    <x v="8"/>
    <x v="1"/>
    <s v="Preservativo Masculino"/>
    <s v="Básico"/>
    <x v="32"/>
    <n v="17769.905599999998"/>
  </r>
  <r>
    <x v="32"/>
    <n v="2025"/>
    <x v="9"/>
    <x v="1"/>
    <s v="Preservativo Masculino"/>
    <s v="Básico"/>
    <x v="32"/>
    <n v="18166.166719999997"/>
  </r>
  <r>
    <x v="32"/>
    <n v="2025"/>
    <x v="10"/>
    <x v="1"/>
    <s v="Preservativo Masculino"/>
    <s v="Básico"/>
    <x v="32"/>
    <n v="17566.166719999997"/>
  </r>
  <r>
    <x v="32"/>
    <n v="2025"/>
    <x v="11"/>
    <x v="1"/>
    <s v="Preservativo Masculino"/>
    <s v="Básico"/>
    <x v="32"/>
    <n v="16966.166719999997"/>
  </r>
  <r>
    <x v="33"/>
    <n v="2025"/>
    <x v="0"/>
    <x v="1"/>
    <s v="Preservativo Masculino"/>
    <s v="Performance"/>
    <x v="33"/>
    <n v="0"/>
  </r>
  <r>
    <x v="33"/>
    <n v="2025"/>
    <x v="1"/>
    <x v="1"/>
    <s v="Preservativo Masculino"/>
    <s v="Performance"/>
    <x v="33"/>
    <n v="2064"/>
  </r>
  <r>
    <x v="33"/>
    <n v="2025"/>
    <x v="2"/>
    <x v="1"/>
    <s v="Preservativo Masculino"/>
    <s v="Performance"/>
    <x v="33"/>
    <n v="755"/>
  </r>
  <r>
    <x v="33"/>
    <n v="2025"/>
    <x v="3"/>
    <x v="1"/>
    <s v="Preservativo Masculino"/>
    <s v="Performance"/>
    <x v="33"/>
    <n v="518"/>
  </r>
  <r>
    <x v="33"/>
    <n v="2025"/>
    <x v="4"/>
    <x v="1"/>
    <s v="Preservativo Masculino"/>
    <s v="Performance"/>
    <x v="33"/>
    <n v="2650"/>
  </r>
  <r>
    <x v="33"/>
    <n v="2025"/>
    <x v="5"/>
    <x v="1"/>
    <s v="Preservativo Masculino"/>
    <s v="Performance"/>
    <x v="33"/>
    <n v="1937.364"/>
  </r>
  <r>
    <x v="33"/>
    <n v="2025"/>
    <x v="6"/>
    <x v="1"/>
    <s v="Preservativo Masculino"/>
    <s v="Performance"/>
    <x v="33"/>
    <n v="7868.4290000000001"/>
  </r>
  <r>
    <x v="33"/>
    <n v="2025"/>
    <x v="7"/>
    <x v="1"/>
    <s v="Preservativo Masculino"/>
    <s v="Performance"/>
    <x v="33"/>
    <n v="7084.7479999999996"/>
  </r>
  <r>
    <x v="33"/>
    <n v="2025"/>
    <x v="8"/>
    <x v="1"/>
    <s v="Preservativo Masculino"/>
    <s v="Performance"/>
    <x v="33"/>
    <n v="6311.9969999999994"/>
  </r>
  <r>
    <x v="33"/>
    <n v="2025"/>
    <x v="9"/>
    <x v="1"/>
    <s v="Preservativo Masculino"/>
    <s v="Performance"/>
    <x v="33"/>
    <n v="5363.2729999999992"/>
  </r>
  <r>
    <x v="33"/>
    <n v="2025"/>
    <x v="10"/>
    <x v="1"/>
    <s v="Preservativo Masculino"/>
    <s v="Performance"/>
    <x v="33"/>
    <n v="4479.0359999999991"/>
  </r>
  <r>
    <x v="33"/>
    <n v="2025"/>
    <x v="11"/>
    <x v="1"/>
    <s v="Preservativo Masculino"/>
    <s v="Performance"/>
    <x v="33"/>
    <n v="3695.0359999999991"/>
  </r>
  <r>
    <x v="34"/>
    <n v="2025"/>
    <x v="0"/>
    <x v="1"/>
    <s v="Preservativo Masculino"/>
    <s v="Performance"/>
    <x v="34"/>
    <n v="8"/>
  </r>
  <r>
    <x v="34"/>
    <n v="2025"/>
    <x v="1"/>
    <x v="1"/>
    <s v="Preservativo Masculino"/>
    <s v="Performance"/>
    <x v="34"/>
    <n v="2981"/>
  </r>
  <r>
    <x v="34"/>
    <n v="2025"/>
    <x v="2"/>
    <x v="1"/>
    <s v="Preservativo Masculino"/>
    <s v="Performance"/>
    <x v="34"/>
    <n v="2476"/>
  </r>
  <r>
    <x v="34"/>
    <n v="2025"/>
    <x v="3"/>
    <x v="1"/>
    <s v="Preservativo Masculino"/>
    <s v="Performance"/>
    <x v="34"/>
    <n v="962"/>
  </r>
  <r>
    <x v="34"/>
    <n v="2025"/>
    <x v="4"/>
    <x v="1"/>
    <s v="Preservativo Masculino"/>
    <s v="Performance"/>
    <x v="34"/>
    <n v="1117"/>
  </r>
  <r>
    <x v="34"/>
    <n v="2025"/>
    <x v="5"/>
    <x v="1"/>
    <s v="Preservativo Masculino"/>
    <s v="Performance"/>
    <x v="34"/>
    <n v="17700"/>
  </r>
  <r>
    <x v="34"/>
    <n v="2025"/>
    <x v="6"/>
    <x v="1"/>
    <s v="Preservativo Masculino"/>
    <s v="Performance"/>
    <x v="34"/>
    <n v="19981.690000000002"/>
  </r>
  <r>
    <x v="34"/>
    <n v="2025"/>
    <x v="7"/>
    <x v="1"/>
    <s v="Preservativo Masculino"/>
    <s v="Performance"/>
    <x v="34"/>
    <n v="17938.873000000003"/>
  </r>
  <r>
    <x v="34"/>
    <n v="2025"/>
    <x v="8"/>
    <x v="1"/>
    <s v="Preservativo Masculino"/>
    <s v="Performance"/>
    <x v="34"/>
    <n v="15800.965000000004"/>
  </r>
  <r>
    <x v="34"/>
    <n v="2025"/>
    <x v="9"/>
    <x v="1"/>
    <s v="Preservativo Masculino"/>
    <s v="Performance"/>
    <x v="34"/>
    <n v="13689.289000000004"/>
  </r>
  <r>
    <x v="34"/>
    <n v="2025"/>
    <x v="10"/>
    <x v="1"/>
    <s v="Preservativo Masculino"/>
    <s v="Performance"/>
    <x v="34"/>
    <n v="10996.137000000004"/>
  </r>
  <r>
    <x v="34"/>
    <n v="2025"/>
    <x v="11"/>
    <x v="1"/>
    <s v="Preservativo Masculino"/>
    <s v="Performance"/>
    <x v="34"/>
    <n v="8953.1370000000043"/>
  </r>
  <r>
    <x v="35"/>
    <n v="2025"/>
    <x v="0"/>
    <x v="1"/>
    <s v="Preservativo Masculino"/>
    <s v="Performance"/>
    <x v="35"/>
    <n v="607"/>
  </r>
  <r>
    <x v="35"/>
    <n v="2025"/>
    <x v="1"/>
    <x v="1"/>
    <s v="Preservativo Masculino"/>
    <s v="Performance"/>
    <x v="35"/>
    <n v="865"/>
  </r>
  <r>
    <x v="35"/>
    <n v="2025"/>
    <x v="2"/>
    <x v="1"/>
    <s v="Preservativo Masculino"/>
    <s v="Performance"/>
    <x v="35"/>
    <n v="1485"/>
  </r>
  <r>
    <x v="35"/>
    <n v="2025"/>
    <x v="3"/>
    <x v="1"/>
    <s v="Preservativo Masculino"/>
    <s v="Performance"/>
    <x v="35"/>
    <n v="298"/>
  </r>
  <r>
    <x v="35"/>
    <n v="2025"/>
    <x v="4"/>
    <x v="1"/>
    <s v="Preservativo Masculino"/>
    <s v="Performance"/>
    <x v="35"/>
    <n v="866"/>
  </r>
  <r>
    <x v="35"/>
    <n v="2025"/>
    <x v="5"/>
    <x v="1"/>
    <s v="Preservativo Masculino"/>
    <s v="Performance"/>
    <x v="35"/>
    <n v="493.28699999999998"/>
  </r>
  <r>
    <x v="35"/>
    <n v="2025"/>
    <x v="6"/>
    <x v="1"/>
    <s v="Preservativo Masculino"/>
    <s v="Performance"/>
    <x v="35"/>
    <n v="0"/>
  </r>
  <r>
    <x v="35"/>
    <n v="2025"/>
    <x v="7"/>
    <x v="1"/>
    <s v="Preservativo Masculino"/>
    <s v="Performance"/>
    <x v="35"/>
    <n v="3400"/>
  </r>
  <r>
    <x v="35"/>
    <n v="2025"/>
    <x v="8"/>
    <x v="1"/>
    <s v="Preservativo Masculino"/>
    <s v="Performance"/>
    <x v="35"/>
    <n v="2860.058"/>
  </r>
  <r>
    <x v="35"/>
    <n v="2025"/>
    <x v="9"/>
    <x v="1"/>
    <s v="Preservativo Masculino"/>
    <s v="Performance"/>
    <x v="35"/>
    <n v="5708.0929999999998"/>
  </r>
  <r>
    <x v="35"/>
    <n v="2025"/>
    <x v="10"/>
    <x v="1"/>
    <s v="Preservativo Masculino"/>
    <s v="Performance"/>
    <x v="35"/>
    <n v="5278.5439999999999"/>
  </r>
  <r>
    <x v="35"/>
    <n v="2025"/>
    <x v="11"/>
    <x v="1"/>
    <s v="Preservativo Masculino"/>
    <s v="Performance"/>
    <x v="35"/>
    <n v="7678.5439999999999"/>
  </r>
  <r>
    <x v="36"/>
    <n v="2025"/>
    <x v="0"/>
    <x v="1"/>
    <s v="Preservativo Masculino"/>
    <s v="Performance"/>
    <x v="36"/>
    <n v="0"/>
  </r>
  <r>
    <x v="36"/>
    <n v="2025"/>
    <x v="1"/>
    <x v="1"/>
    <s v="Preservativo Masculino"/>
    <s v="Performance"/>
    <x v="36"/>
    <n v="1171"/>
  </r>
  <r>
    <x v="36"/>
    <n v="2025"/>
    <x v="2"/>
    <x v="1"/>
    <s v="Preservativo Masculino"/>
    <s v="Performance"/>
    <x v="36"/>
    <n v="596"/>
  </r>
  <r>
    <x v="36"/>
    <n v="2025"/>
    <x v="3"/>
    <x v="1"/>
    <s v="Preservativo Masculino"/>
    <s v="Performance"/>
    <x v="36"/>
    <n v="257"/>
  </r>
  <r>
    <x v="36"/>
    <n v="2025"/>
    <x v="4"/>
    <x v="1"/>
    <s v="Preservativo Masculino"/>
    <s v="Performance"/>
    <x v="36"/>
    <n v="6943"/>
  </r>
  <r>
    <x v="36"/>
    <n v="2025"/>
    <x v="5"/>
    <x v="1"/>
    <s v="Preservativo Masculino"/>
    <s v="Performance"/>
    <x v="36"/>
    <n v="6451.15"/>
  </r>
  <r>
    <x v="36"/>
    <n v="2025"/>
    <x v="6"/>
    <x v="1"/>
    <s v="Preservativo Masculino"/>
    <s v="Performance"/>
    <x v="36"/>
    <n v="5959.2999999999993"/>
  </r>
  <r>
    <x v="36"/>
    <n v="2025"/>
    <x v="7"/>
    <x v="1"/>
    <s v="Preservativo Masculino"/>
    <s v="Performance"/>
    <x v="36"/>
    <n v="5467.4499999999989"/>
  </r>
  <r>
    <x v="36"/>
    <n v="2025"/>
    <x v="8"/>
    <x v="1"/>
    <s v="Preservativo Masculino"/>
    <s v="Performance"/>
    <x v="36"/>
    <n v="4975.5999999999985"/>
  </r>
  <r>
    <x v="36"/>
    <n v="2025"/>
    <x v="9"/>
    <x v="1"/>
    <s v="Preservativo Masculino"/>
    <s v="Performance"/>
    <x v="36"/>
    <n v="4483.7499999999982"/>
  </r>
  <r>
    <x v="36"/>
    <n v="2025"/>
    <x v="10"/>
    <x v="1"/>
    <s v="Preservativo Masculino"/>
    <s v="Performance"/>
    <x v="36"/>
    <n v="3991.8999999999983"/>
  </r>
  <r>
    <x v="36"/>
    <n v="2025"/>
    <x v="11"/>
    <x v="1"/>
    <s v="Preservativo Masculino"/>
    <s v="Performance"/>
    <x v="36"/>
    <n v="3491.8999999999983"/>
  </r>
  <r>
    <x v="37"/>
    <n v="2025"/>
    <x v="0"/>
    <x v="1"/>
    <s v="Preservativo Masculino"/>
    <s v="Performance"/>
    <x v="37"/>
    <n v="308"/>
  </r>
  <r>
    <x v="37"/>
    <n v="2025"/>
    <x v="1"/>
    <x v="1"/>
    <s v="Preservativo Masculino"/>
    <s v="Performance"/>
    <x v="37"/>
    <n v="341"/>
  </r>
  <r>
    <x v="37"/>
    <n v="2025"/>
    <x v="2"/>
    <x v="1"/>
    <s v="Preservativo Masculino"/>
    <s v="Performance"/>
    <x v="37"/>
    <n v="584"/>
  </r>
  <r>
    <x v="37"/>
    <n v="2025"/>
    <x v="3"/>
    <x v="1"/>
    <s v="Preservativo Masculino"/>
    <s v="Performance"/>
    <x v="37"/>
    <n v="318"/>
  </r>
  <r>
    <x v="37"/>
    <n v="2025"/>
    <x v="4"/>
    <x v="1"/>
    <s v="Preservativo Masculino"/>
    <s v="Performance"/>
    <x v="37"/>
    <n v="6345"/>
  </r>
  <r>
    <x v="37"/>
    <n v="2025"/>
    <x v="5"/>
    <x v="1"/>
    <s v="Preservativo Masculino"/>
    <s v="Performance"/>
    <x v="37"/>
    <n v="5579.9"/>
  </r>
  <r>
    <x v="37"/>
    <n v="2025"/>
    <x v="6"/>
    <x v="1"/>
    <s v="Preservativo Masculino"/>
    <s v="Performance"/>
    <x v="37"/>
    <n v="4814.7999999999993"/>
  </r>
  <r>
    <x v="37"/>
    <n v="2025"/>
    <x v="7"/>
    <x v="1"/>
    <s v="Preservativo Masculino"/>
    <s v="Performance"/>
    <x v="37"/>
    <n v="4049.6999999999994"/>
  </r>
  <r>
    <x v="37"/>
    <n v="2025"/>
    <x v="8"/>
    <x v="1"/>
    <s v="Preservativo Masculino"/>
    <s v="Performance"/>
    <x v="37"/>
    <n v="3284.5999999999995"/>
  </r>
  <r>
    <x v="37"/>
    <n v="2025"/>
    <x v="9"/>
    <x v="1"/>
    <s v="Preservativo Masculino"/>
    <s v="Performance"/>
    <x v="37"/>
    <n v="5919.5"/>
  </r>
  <r>
    <x v="37"/>
    <n v="2025"/>
    <x v="10"/>
    <x v="1"/>
    <s v="Preservativo Masculino"/>
    <s v="Performance"/>
    <x v="37"/>
    <n v="5154.3999999999996"/>
  </r>
  <r>
    <x v="37"/>
    <n v="2025"/>
    <x v="11"/>
    <x v="1"/>
    <s v="Preservativo Masculino"/>
    <s v="Performance"/>
    <x v="37"/>
    <n v="4454.3999999999996"/>
  </r>
  <r>
    <x v="38"/>
    <n v="2025"/>
    <x v="0"/>
    <x v="1"/>
    <s v="Preservativo Masculino"/>
    <s v="Performance"/>
    <x v="38"/>
    <n v="305"/>
  </r>
  <r>
    <x v="38"/>
    <n v="2025"/>
    <x v="1"/>
    <x v="1"/>
    <s v="Preservativo Masculino"/>
    <s v="Performance"/>
    <x v="38"/>
    <n v="204"/>
  </r>
  <r>
    <x v="38"/>
    <n v="2025"/>
    <x v="2"/>
    <x v="1"/>
    <s v="Preservativo Masculino"/>
    <s v="Performance"/>
    <x v="38"/>
    <n v="236"/>
  </r>
  <r>
    <x v="38"/>
    <n v="2025"/>
    <x v="3"/>
    <x v="1"/>
    <s v="Preservativo Masculino"/>
    <s v="Performance"/>
    <x v="38"/>
    <n v="160"/>
  </r>
  <r>
    <x v="38"/>
    <n v="2025"/>
    <x v="4"/>
    <x v="1"/>
    <s v="Preservativo Masculino"/>
    <s v="Performance"/>
    <x v="38"/>
    <n v="5683"/>
  </r>
  <r>
    <x v="38"/>
    <n v="2025"/>
    <x v="5"/>
    <x v="1"/>
    <s v="Preservativo Masculino"/>
    <s v="Performance"/>
    <x v="38"/>
    <n v="5357.2860000000001"/>
  </r>
  <r>
    <x v="38"/>
    <n v="2025"/>
    <x v="6"/>
    <x v="1"/>
    <s v="Preservativo Masculino"/>
    <s v="Performance"/>
    <x v="38"/>
    <n v="4932.1090000000004"/>
  </r>
  <r>
    <x v="38"/>
    <n v="2025"/>
    <x v="7"/>
    <x v="1"/>
    <s v="Preservativo Masculino"/>
    <s v="Performance"/>
    <x v="38"/>
    <n v="4611.8600000000006"/>
  </r>
  <r>
    <x v="38"/>
    <n v="2025"/>
    <x v="8"/>
    <x v="1"/>
    <s v="Preservativo Masculino"/>
    <s v="Performance"/>
    <x v="38"/>
    <n v="4262.1000000000004"/>
  </r>
  <r>
    <x v="38"/>
    <n v="2025"/>
    <x v="9"/>
    <x v="1"/>
    <s v="Preservativo Masculino"/>
    <s v="Performance"/>
    <x v="38"/>
    <n v="3898.1310000000003"/>
  </r>
  <r>
    <x v="38"/>
    <n v="2025"/>
    <x v="10"/>
    <x v="1"/>
    <s v="Preservativo Masculino"/>
    <s v="Performance"/>
    <x v="38"/>
    <n v="3491.5350000000003"/>
  </r>
  <r>
    <x v="38"/>
    <n v="2025"/>
    <x v="11"/>
    <x v="1"/>
    <s v="Preservativo Masculino"/>
    <s v="Performance"/>
    <x v="38"/>
    <n v="3171.5350000000003"/>
  </r>
  <r>
    <x v="39"/>
    <n v="2025"/>
    <x v="0"/>
    <x v="1"/>
    <s v="Preservativo Masculino"/>
    <s v="Performance"/>
    <x v="39"/>
    <n v="1"/>
  </r>
  <r>
    <x v="39"/>
    <n v="2025"/>
    <x v="1"/>
    <x v="1"/>
    <s v="Preservativo Masculino"/>
    <s v="Performance"/>
    <x v="39"/>
    <n v="711"/>
  </r>
  <r>
    <x v="39"/>
    <n v="2025"/>
    <x v="2"/>
    <x v="1"/>
    <s v="Preservativo Masculino"/>
    <s v="Performance"/>
    <x v="39"/>
    <n v="417"/>
  </r>
  <r>
    <x v="39"/>
    <n v="2025"/>
    <x v="3"/>
    <x v="1"/>
    <s v="Preservativo Masculino"/>
    <s v="Performance"/>
    <x v="39"/>
    <n v="283"/>
  </r>
  <r>
    <x v="39"/>
    <n v="2025"/>
    <x v="4"/>
    <x v="1"/>
    <s v="Preservativo Masculino"/>
    <s v="Performance"/>
    <x v="39"/>
    <n v="4566"/>
  </r>
  <r>
    <x v="39"/>
    <n v="2025"/>
    <x v="5"/>
    <x v="1"/>
    <s v="Preservativo Masculino"/>
    <s v="Performance"/>
    <x v="39"/>
    <n v="4331"/>
  </r>
  <r>
    <x v="39"/>
    <n v="2025"/>
    <x v="6"/>
    <x v="1"/>
    <s v="Preservativo Masculino"/>
    <s v="Performance"/>
    <x v="39"/>
    <n v="4042"/>
  </r>
  <r>
    <x v="39"/>
    <n v="2025"/>
    <x v="7"/>
    <x v="1"/>
    <s v="Preservativo Masculino"/>
    <s v="Performance"/>
    <x v="39"/>
    <n v="3741"/>
  </r>
  <r>
    <x v="39"/>
    <n v="2025"/>
    <x v="8"/>
    <x v="1"/>
    <s v="Preservativo Masculino"/>
    <s v="Performance"/>
    <x v="39"/>
    <n v="3329"/>
  </r>
  <r>
    <x v="39"/>
    <n v="2025"/>
    <x v="9"/>
    <x v="1"/>
    <s v="Preservativo Masculino"/>
    <s v="Performance"/>
    <x v="39"/>
    <n v="3097"/>
  </r>
  <r>
    <x v="39"/>
    <n v="2025"/>
    <x v="10"/>
    <x v="1"/>
    <s v="Preservativo Masculino"/>
    <s v="Performance"/>
    <x v="39"/>
    <n v="2747"/>
  </r>
  <r>
    <x v="39"/>
    <n v="2025"/>
    <x v="11"/>
    <x v="1"/>
    <s v="Preservativo Masculino"/>
    <s v="Performance"/>
    <x v="39"/>
    <n v="2135"/>
  </r>
  <r>
    <x v="40"/>
    <n v="2025"/>
    <x v="0"/>
    <x v="1"/>
    <s v="Gel Lubrificante"/>
    <s v="Lub 100G"/>
    <x v="40"/>
    <n v="0"/>
  </r>
  <r>
    <x v="40"/>
    <n v="2025"/>
    <x v="1"/>
    <x v="1"/>
    <s v="Gel Lubrificante"/>
    <s v="Lub 100G"/>
    <x v="40"/>
    <n v="0"/>
  </r>
  <r>
    <x v="40"/>
    <n v="2025"/>
    <x v="2"/>
    <x v="1"/>
    <s v="Gel Lubrificante"/>
    <s v="Lub 100G"/>
    <x v="40"/>
    <n v="0"/>
  </r>
  <r>
    <x v="40"/>
    <n v="2025"/>
    <x v="3"/>
    <x v="1"/>
    <s v="Gel Lubrificante"/>
    <s v="Lub 100G"/>
    <x v="40"/>
    <n v="0"/>
  </r>
  <r>
    <x v="40"/>
    <n v="2025"/>
    <x v="4"/>
    <x v="1"/>
    <s v="Gel Lubrificante"/>
    <s v="Lub 100G"/>
    <x v="40"/>
    <n v="0"/>
  </r>
  <r>
    <x v="40"/>
    <n v="2025"/>
    <x v="5"/>
    <x v="1"/>
    <s v="Gel Lubrificante"/>
    <s v="Lub 100G"/>
    <x v="40"/>
    <n v="0"/>
  </r>
  <r>
    <x v="40"/>
    <n v="2025"/>
    <x v="6"/>
    <x v="1"/>
    <s v="Gel Lubrificante"/>
    <s v="Lub 100G"/>
    <x v="40"/>
    <n v="0"/>
  </r>
  <r>
    <x v="40"/>
    <n v="2025"/>
    <x v="7"/>
    <x v="1"/>
    <s v="Gel Lubrificante"/>
    <s v="Lub 100G"/>
    <x v="40"/>
    <n v="6700"/>
  </r>
  <r>
    <x v="40"/>
    <n v="2025"/>
    <x v="8"/>
    <x v="1"/>
    <s v="Gel Lubrificante"/>
    <s v="Lub 100G"/>
    <x v="40"/>
    <n v="5282.1"/>
  </r>
  <r>
    <x v="40"/>
    <n v="2025"/>
    <x v="9"/>
    <x v="1"/>
    <s v="Gel Lubrificante"/>
    <s v="Lub 100G"/>
    <x v="40"/>
    <n v="3604.6000000000004"/>
  </r>
  <r>
    <x v="40"/>
    <n v="2025"/>
    <x v="10"/>
    <x v="1"/>
    <s v="Gel Lubrificante"/>
    <s v="Lub 100G"/>
    <x v="40"/>
    <n v="1968.9000000000003"/>
  </r>
  <r>
    <x v="40"/>
    <n v="2025"/>
    <x v="11"/>
    <x v="1"/>
    <s v="Gel Lubrificante"/>
    <s v="Lub 100G"/>
    <x v="40"/>
    <n v="170.40000000000032"/>
  </r>
  <r>
    <x v="41"/>
    <n v="2025"/>
    <x v="0"/>
    <x v="1"/>
    <s v="Gel Lubrificante"/>
    <s v="Lub 100G"/>
    <x v="41"/>
    <n v="0"/>
  </r>
  <r>
    <x v="41"/>
    <n v="2025"/>
    <x v="1"/>
    <x v="1"/>
    <s v="Gel Lubrificante"/>
    <s v="Lub 100G"/>
    <x v="41"/>
    <n v="0"/>
  </r>
  <r>
    <x v="41"/>
    <n v="2025"/>
    <x v="2"/>
    <x v="1"/>
    <s v="Gel Lubrificante"/>
    <s v="Lub 100G"/>
    <x v="41"/>
    <n v="0"/>
  </r>
  <r>
    <x v="41"/>
    <n v="2025"/>
    <x v="3"/>
    <x v="1"/>
    <s v="Gel Lubrificante"/>
    <s v="Lub 100G"/>
    <x v="41"/>
    <n v="0"/>
  </r>
  <r>
    <x v="41"/>
    <n v="2025"/>
    <x v="4"/>
    <x v="1"/>
    <s v="Gel Lubrificante"/>
    <s v="Lub 100G"/>
    <x v="41"/>
    <n v="0"/>
  </r>
  <r>
    <x v="41"/>
    <n v="2025"/>
    <x v="5"/>
    <x v="1"/>
    <s v="Gel Lubrificante"/>
    <s v="Lub 100G"/>
    <x v="41"/>
    <n v="0"/>
  </r>
  <r>
    <x v="41"/>
    <n v="2025"/>
    <x v="6"/>
    <x v="1"/>
    <s v="Gel Lubrificante"/>
    <s v="Lub 100G"/>
    <x v="41"/>
    <n v="0"/>
  </r>
  <r>
    <x v="41"/>
    <n v="2025"/>
    <x v="7"/>
    <x v="1"/>
    <s v="Gel Lubrificante"/>
    <s v="Lub 100G"/>
    <x v="41"/>
    <n v="1340"/>
  </r>
  <r>
    <x v="41"/>
    <n v="2025"/>
    <x v="8"/>
    <x v="1"/>
    <s v="Gel Lubrificante"/>
    <s v="Lub 100G"/>
    <x v="41"/>
    <n v="1018.8"/>
  </r>
  <r>
    <x v="41"/>
    <n v="2025"/>
    <x v="9"/>
    <x v="1"/>
    <s v="Gel Lubrificante"/>
    <s v="Lub 100G"/>
    <x v="41"/>
    <n v="661.3"/>
  </r>
  <r>
    <x v="41"/>
    <n v="2025"/>
    <x v="10"/>
    <x v="1"/>
    <s v="Gel Lubrificante"/>
    <s v="Lub 100G"/>
    <x v="41"/>
    <n v="332.4"/>
  </r>
  <r>
    <x v="41"/>
    <n v="2025"/>
    <x v="11"/>
    <x v="1"/>
    <s v="Gel Lubrificante"/>
    <s v="Lub 100G"/>
    <x v="41"/>
    <n v="0"/>
  </r>
  <r>
    <x v="42"/>
    <n v="2025"/>
    <x v="0"/>
    <x v="1"/>
    <s v="Gel Lubrificante"/>
    <s v="Lub 100G"/>
    <x v="42"/>
    <n v="0"/>
  </r>
  <r>
    <x v="42"/>
    <n v="2025"/>
    <x v="1"/>
    <x v="1"/>
    <s v="Gel Lubrificante"/>
    <s v="Lub 100G"/>
    <x v="42"/>
    <n v="0"/>
  </r>
  <r>
    <x v="42"/>
    <n v="2025"/>
    <x v="2"/>
    <x v="1"/>
    <s v="Gel Lubrificante"/>
    <s v="Lub 100G"/>
    <x v="42"/>
    <n v="0"/>
  </r>
  <r>
    <x v="42"/>
    <n v="2025"/>
    <x v="3"/>
    <x v="1"/>
    <s v="Gel Lubrificante"/>
    <s v="Lub 100G"/>
    <x v="42"/>
    <n v="0"/>
  </r>
  <r>
    <x v="42"/>
    <n v="2025"/>
    <x v="4"/>
    <x v="1"/>
    <s v="Gel Lubrificante"/>
    <s v="Lub 100G"/>
    <x v="42"/>
    <n v="0"/>
  </r>
  <r>
    <x v="42"/>
    <n v="2025"/>
    <x v="5"/>
    <x v="1"/>
    <s v="Gel Lubrificante"/>
    <s v="Lub 100G"/>
    <x v="42"/>
    <n v="0"/>
  </r>
  <r>
    <x v="42"/>
    <n v="2025"/>
    <x v="6"/>
    <x v="1"/>
    <s v="Gel Lubrificante"/>
    <s v="Lub 100G"/>
    <x v="42"/>
    <n v="0"/>
  </r>
  <r>
    <x v="42"/>
    <n v="2025"/>
    <x v="7"/>
    <x v="1"/>
    <s v="Gel Lubrificante"/>
    <s v="Lub 100G"/>
    <x v="42"/>
    <n v="2680"/>
  </r>
  <r>
    <x v="42"/>
    <n v="2025"/>
    <x v="8"/>
    <x v="1"/>
    <s v="Gel Lubrificante"/>
    <s v="Lub 100G"/>
    <x v="42"/>
    <n v="1735.1"/>
  </r>
  <r>
    <x v="42"/>
    <n v="2025"/>
    <x v="9"/>
    <x v="1"/>
    <s v="Gel Lubrificante"/>
    <s v="Lub 100G"/>
    <x v="42"/>
    <n v="637.29999999999995"/>
  </r>
  <r>
    <x v="42"/>
    <n v="2025"/>
    <x v="10"/>
    <x v="1"/>
    <s v="Gel Lubrificante"/>
    <s v="Lub 100G"/>
    <x v="42"/>
    <n v="0"/>
  </r>
  <r>
    <x v="42"/>
    <n v="2025"/>
    <x v="11"/>
    <x v="1"/>
    <s v="Gel Lubrificante"/>
    <s v="Lub 100G"/>
    <x v="42"/>
    <n v="0"/>
  </r>
  <r>
    <x v="43"/>
    <n v="2025"/>
    <x v="0"/>
    <x v="1"/>
    <s v="Gel Lubrificante"/>
    <s v="Lub 100G"/>
    <x v="43"/>
    <n v="0"/>
  </r>
  <r>
    <x v="43"/>
    <n v="2025"/>
    <x v="1"/>
    <x v="1"/>
    <s v="Gel Lubrificante"/>
    <s v="Lub 100G"/>
    <x v="43"/>
    <n v="0"/>
  </r>
  <r>
    <x v="43"/>
    <n v="2025"/>
    <x v="2"/>
    <x v="1"/>
    <s v="Gel Lubrificante"/>
    <s v="Lub 100G"/>
    <x v="43"/>
    <n v="0"/>
  </r>
  <r>
    <x v="43"/>
    <n v="2025"/>
    <x v="3"/>
    <x v="1"/>
    <s v="Gel Lubrificante"/>
    <s v="Lub 100G"/>
    <x v="43"/>
    <n v="0"/>
  </r>
  <r>
    <x v="43"/>
    <n v="2025"/>
    <x v="4"/>
    <x v="1"/>
    <s v="Gel Lubrificante"/>
    <s v="Lub 100G"/>
    <x v="43"/>
    <n v="0"/>
  </r>
  <r>
    <x v="43"/>
    <n v="2025"/>
    <x v="5"/>
    <x v="1"/>
    <s v="Gel Lubrificante"/>
    <s v="Lub 100G"/>
    <x v="43"/>
    <n v="0"/>
  </r>
  <r>
    <x v="43"/>
    <n v="2025"/>
    <x v="6"/>
    <x v="1"/>
    <s v="Gel Lubrificante"/>
    <s v="Lub 100G"/>
    <x v="43"/>
    <n v="0"/>
  </r>
  <r>
    <x v="43"/>
    <n v="2025"/>
    <x v="7"/>
    <x v="1"/>
    <s v="Gel Lubrificante"/>
    <s v="Lub 100G"/>
    <x v="43"/>
    <n v="1340"/>
  </r>
  <r>
    <x v="43"/>
    <n v="2025"/>
    <x v="8"/>
    <x v="1"/>
    <s v="Gel Lubrificante"/>
    <s v="Lub 100G"/>
    <x v="43"/>
    <n v="901.1"/>
  </r>
  <r>
    <x v="43"/>
    <n v="2025"/>
    <x v="9"/>
    <x v="1"/>
    <s v="Gel Lubrificante"/>
    <s v="Lub 100G"/>
    <x v="43"/>
    <n v="436.90000000000003"/>
  </r>
  <r>
    <x v="43"/>
    <n v="2025"/>
    <x v="10"/>
    <x v="1"/>
    <s v="Gel Lubrificante"/>
    <s v="Lub 100G"/>
    <x v="43"/>
    <n v="1.3000000000000114"/>
  </r>
  <r>
    <x v="43"/>
    <n v="2025"/>
    <x v="11"/>
    <x v="1"/>
    <s v="Gel Lubrificante"/>
    <s v="Lub 100G"/>
    <x v="43"/>
    <n v="0"/>
  </r>
  <r>
    <x v="44"/>
    <n v="2025"/>
    <x v="0"/>
    <x v="1"/>
    <s v="Gel Lubrificante"/>
    <s v="Lub 60G"/>
    <x v="44"/>
    <n v="0"/>
  </r>
  <r>
    <x v="44"/>
    <n v="2025"/>
    <x v="1"/>
    <x v="1"/>
    <s v="Gel Lubrificante"/>
    <s v="Lub 60G"/>
    <x v="44"/>
    <n v="0"/>
  </r>
  <r>
    <x v="44"/>
    <n v="2025"/>
    <x v="2"/>
    <x v="1"/>
    <s v="Gel Lubrificante"/>
    <s v="Lub 60G"/>
    <x v="44"/>
    <n v="0"/>
  </r>
  <r>
    <x v="44"/>
    <n v="2025"/>
    <x v="3"/>
    <x v="1"/>
    <s v="Gel Lubrificante"/>
    <s v="Lub 60G"/>
    <x v="44"/>
    <n v="0"/>
  </r>
  <r>
    <x v="44"/>
    <n v="2025"/>
    <x v="4"/>
    <x v="1"/>
    <s v="Gel Lubrificante"/>
    <s v="Lub 60G"/>
    <x v="44"/>
    <n v="0"/>
  </r>
  <r>
    <x v="44"/>
    <n v="2025"/>
    <x v="5"/>
    <x v="1"/>
    <s v="Gel Lubrificante"/>
    <s v="Lub 60G"/>
    <x v="44"/>
    <n v="0"/>
  </r>
  <r>
    <x v="44"/>
    <n v="2025"/>
    <x v="6"/>
    <x v="1"/>
    <s v="Gel Lubrificante"/>
    <s v="Lub 60G"/>
    <x v="44"/>
    <n v="0"/>
  </r>
  <r>
    <x v="44"/>
    <n v="2025"/>
    <x v="7"/>
    <x v="1"/>
    <s v="Gel Lubrificante"/>
    <s v="Lub 60G"/>
    <x v="44"/>
    <n v="0"/>
  </r>
  <r>
    <x v="44"/>
    <n v="2025"/>
    <x v="8"/>
    <x v="1"/>
    <s v="Gel Lubrificante"/>
    <s v="Lub 60G"/>
    <x v="44"/>
    <n v="0"/>
  </r>
  <r>
    <x v="44"/>
    <n v="2025"/>
    <x v="9"/>
    <x v="1"/>
    <s v="Gel Lubrificante"/>
    <s v="Lub 60G"/>
    <x v="44"/>
    <n v="0"/>
  </r>
  <r>
    <x v="44"/>
    <n v="2025"/>
    <x v="10"/>
    <x v="1"/>
    <s v="Gel Lubrificante"/>
    <s v="Lub 60G"/>
    <x v="44"/>
    <n v="0"/>
  </r>
  <r>
    <x v="44"/>
    <n v="2025"/>
    <x v="11"/>
    <x v="1"/>
    <s v="Gel Lubrificante"/>
    <s v="Lub 60G"/>
    <x v="44"/>
    <n v="0"/>
  </r>
  <r>
    <x v="45"/>
    <n v="2025"/>
    <x v="0"/>
    <x v="1"/>
    <s v="Intima"/>
    <s v="Wipes &amp; Softcup"/>
    <x v="45"/>
    <n v="335"/>
  </r>
  <r>
    <x v="45"/>
    <n v="2025"/>
    <x v="1"/>
    <x v="1"/>
    <s v="Intima"/>
    <s v="Wipes &amp; Softcup"/>
    <x v="45"/>
    <n v="561"/>
  </r>
  <r>
    <x v="45"/>
    <n v="2025"/>
    <x v="2"/>
    <x v="1"/>
    <s v="Intima"/>
    <s v="Wipes &amp; Softcup"/>
    <x v="45"/>
    <n v="950"/>
  </r>
  <r>
    <x v="45"/>
    <n v="2025"/>
    <x v="3"/>
    <x v="1"/>
    <s v="Intima"/>
    <s v="Wipes &amp; Softcup"/>
    <x v="45"/>
    <n v="433"/>
  </r>
  <r>
    <x v="45"/>
    <n v="2025"/>
    <x v="4"/>
    <x v="1"/>
    <s v="Intima"/>
    <s v="Wipes &amp; Softcup"/>
    <x v="45"/>
    <n v="1792"/>
  </r>
  <r>
    <x v="45"/>
    <n v="2025"/>
    <x v="5"/>
    <x v="1"/>
    <s v="Intima"/>
    <s v="Wipes &amp; Softcup"/>
    <x v="45"/>
    <n v="1329.6610000000001"/>
  </r>
  <r>
    <x v="45"/>
    <n v="2025"/>
    <x v="6"/>
    <x v="1"/>
    <s v="Intima"/>
    <s v="Wipes &amp; Softcup"/>
    <x v="45"/>
    <n v="4665.1170000000002"/>
  </r>
  <r>
    <x v="45"/>
    <n v="2025"/>
    <x v="7"/>
    <x v="1"/>
    <s v="Intima"/>
    <s v="Wipes &amp; Softcup"/>
    <x v="45"/>
    <n v="4231.1959999999999"/>
  </r>
  <r>
    <x v="45"/>
    <n v="2025"/>
    <x v="8"/>
    <x v="1"/>
    <s v="Intima"/>
    <s v="Wipes &amp; Softcup"/>
    <x v="45"/>
    <n v="3804.9259999999999"/>
  </r>
  <r>
    <x v="45"/>
    <n v="2025"/>
    <x v="9"/>
    <x v="1"/>
    <s v="Intima"/>
    <s v="Wipes &amp; Softcup"/>
    <x v="45"/>
    <n v="3308.7039999999997"/>
  </r>
  <r>
    <x v="45"/>
    <n v="2025"/>
    <x v="10"/>
    <x v="1"/>
    <s v="Intima"/>
    <s v="Wipes &amp; Softcup"/>
    <x v="45"/>
    <n v="2821.2259999999997"/>
  </r>
  <r>
    <x v="45"/>
    <n v="2025"/>
    <x v="11"/>
    <x v="1"/>
    <s v="Intima"/>
    <s v="Wipes &amp; Softcup"/>
    <x v="45"/>
    <n v="2387.2259999999997"/>
  </r>
  <r>
    <x v="46"/>
    <n v="2025"/>
    <x v="0"/>
    <x v="1"/>
    <s v="Intima"/>
    <s v="Wipes &amp; Softcup"/>
    <x v="46"/>
    <n v="0"/>
  </r>
  <r>
    <x v="46"/>
    <n v="2025"/>
    <x v="1"/>
    <x v="1"/>
    <s v="Intima"/>
    <s v="Wipes &amp; Softcup"/>
    <x v="46"/>
    <n v="0"/>
  </r>
  <r>
    <x v="46"/>
    <n v="2025"/>
    <x v="2"/>
    <x v="1"/>
    <s v="Intima"/>
    <s v="Wipes &amp; Softcup"/>
    <x v="46"/>
    <n v="0"/>
  </r>
  <r>
    <x v="46"/>
    <n v="2025"/>
    <x v="3"/>
    <x v="1"/>
    <s v="Intima"/>
    <s v="Wipes &amp; Softcup"/>
    <x v="46"/>
    <n v="0"/>
  </r>
  <r>
    <x v="46"/>
    <n v="2025"/>
    <x v="4"/>
    <x v="1"/>
    <s v="Intima"/>
    <s v="Wipes &amp; Softcup"/>
    <x v="46"/>
    <n v="0"/>
  </r>
  <r>
    <x v="46"/>
    <n v="2025"/>
    <x v="5"/>
    <x v="1"/>
    <s v="Intima"/>
    <s v="Wipes &amp; Softcup"/>
    <x v="46"/>
    <n v="0"/>
  </r>
  <r>
    <x v="46"/>
    <n v="2025"/>
    <x v="6"/>
    <x v="1"/>
    <s v="Intima"/>
    <s v="Wipes &amp; Softcup"/>
    <x v="46"/>
    <n v="0"/>
  </r>
  <r>
    <x v="46"/>
    <n v="2025"/>
    <x v="7"/>
    <x v="1"/>
    <s v="Intima"/>
    <s v="Wipes &amp; Softcup"/>
    <x v="46"/>
    <n v="0"/>
  </r>
  <r>
    <x v="46"/>
    <n v="2025"/>
    <x v="8"/>
    <x v="1"/>
    <s v="Intima"/>
    <s v="Wipes &amp; Softcup"/>
    <x v="46"/>
    <n v="0"/>
  </r>
  <r>
    <x v="46"/>
    <n v="2025"/>
    <x v="9"/>
    <x v="1"/>
    <s v="Intima"/>
    <s v="Wipes &amp; Softcup"/>
    <x v="46"/>
    <n v="0"/>
  </r>
  <r>
    <x v="46"/>
    <n v="2025"/>
    <x v="10"/>
    <x v="1"/>
    <s v="Intima"/>
    <s v="Wipes &amp; Softcup"/>
    <x v="46"/>
    <n v="0"/>
  </r>
  <r>
    <x v="46"/>
    <n v="2025"/>
    <x v="11"/>
    <x v="1"/>
    <s v="Intima"/>
    <s v="Wipes &amp; Softcup"/>
    <x v="46"/>
    <n v="0"/>
  </r>
  <r>
    <x v="47"/>
    <n v="2025"/>
    <x v="0"/>
    <x v="1"/>
    <s v="RX"/>
    <s v="Aspirators"/>
    <x v="47"/>
    <n v="1346"/>
  </r>
  <r>
    <x v="47"/>
    <n v="2025"/>
    <x v="1"/>
    <x v="1"/>
    <s v="RX"/>
    <s v="Aspirators"/>
    <x v="47"/>
    <n v="383"/>
  </r>
  <r>
    <x v="47"/>
    <n v="2025"/>
    <x v="2"/>
    <x v="1"/>
    <s v="RX"/>
    <s v="Aspirators"/>
    <x v="47"/>
    <n v="895"/>
  </r>
  <r>
    <x v="47"/>
    <n v="2025"/>
    <x v="3"/>
    <x v="1"/>
    <s v="RX"/>
    <s v="Aspirators"/>
    <x v="47"/>
    <n v="760"/>
  </r>
  <r>
    <x v="47"/>
    <n v="2025"/>
    <x v="4"/>
    <x v="1"/>
    <s v="RX"/>
    <s v="Aspirators"/>
    <x v="47"/>
    <n v="2773"/>
  </r>
  <r>
    <x v="47"/>
    <n v="2025"/>
    <x v="5"/>
    <x v="1"/>
    <s v="RX"/>
    <s v="Aspirators"/>
    <x v="47"/>
    <n v="6585"/>
  </r>
  <r>
    <x v="47"/>
    <n v="2025"/>
    <x v="6"/>
    <x v="1"/>
    <s v="RX"/>
    <s v="Aspirators"/>
    <x v="47"/>
    <n v="5375"/>
  </r>
  <r>
    <x v="47"/>
    <n v="2025"/>
    <x v="7"/>
    <x v="1"/>
    <s v="RX"/>
    <s v="Aspirators"/>
    <x v="47"/>
    <n v="7079"/>
  </r>
  <r>
    <x v="47"/>
    <n v="2025"/>
    <x v="8"/>
    <x v="1"/>
    <s v="RX"/>
    <s v="Aspirators"/>
    <x v="47"/>
    <n v="8021"/>
  </r>
  <r>
    <x v="47"/>
    <n v="2025"/>
    <x v="9"/>
    <x v="1"/>
    <s v="RX"/>
    <s v="Aspirators"/>
    <x v="47"/>
    <n v="6957"/>
  </r>
  <r>
    <x v="47"/>
    <n v="2025"/>
    <x v="10"/>
    <x v="1"/>
    <s v="RX"/>
    <s v="Aspirators"/>
    <x v="47"/>
    <n v="5899"/>
  </r>
  <r>
    <x v="47"/>
    <n v="2025"/>
    <x v="11"/>
    <x v="1"/>
    <s v="RX"/>
    <s v="Aspirators"/>
    <x v="47"/>
    <n v="6841"/>
  </r>
  <r>
    <x v="48"/>
    <n v="2025"/>
    <x v="0"/>
    <x v="1"/>
    <s v="RX"/>
    <s v="Aspirators"/>
    <x v="48"/>
    <n v="215"/>
  </r>
  <r>
    <x v="48"/>
    <n v="2025"/>
    <x v="1"/>
    <x v="1"/>
    <s v="RX"/>
    <s v="Aspirators"/>
    <x v="48"/>
    <n v="271"/>
  </r>
  <r>
    <x v="48"/>
    <n v="2025"/>
    <x v="2"/>
    <x v="1"/>
    <s v="RX"/>
    <s v="Aspirators"/>
    <x v="48"/>
    <n v="303"/>
  </r>
  <r>
    <x v="48"/>
    <n v="2025"/>
    <x v="3"/>
    <x v="1"/>
    <s v="RX"/>
    <s v="Aspirators"/>
    <x v="48"/>
    <n v="420"/>
  </r>
  <r>
    <x v="48"/>
    <n v="2025"/>
    <x v="4"/>
    <x v="1"/>
    <s v="RX"/>
    <s v="Aspirators"/>
    <x v="48"/>
    <n v="808"/>
  </r>
  <r>
    <x v="48"/>
    <n v="2025"/>
    <x v="5"/>
    <x v="1"/>
    <s v="RX"/>
    <s v="Aspirators"/>
    <x v="48"/>
    <n v="1445"/>
  </r>
  <r>
    <x v="48"/>
    <n v="2025"/>
    <x v="6"/>
    <x v="1"/>
    <s v="RX"/>
    <s v="Aspirators"/>
    <x v="48"/>
    <n v="2179"/>
  </r>
  <r>
    <x v="48"/>
    <n v="2025"/>
    <x v="7"/>
    <x v="1"/>
    <s v="RX"/>
    <s v="Aspirators"/>
    <x v="48"/>
    <n v="1807"/>
  </r>
  <r>
    <x v="48"/>
    <n v="2025"/>
    <x v="8"/>
    <x v="1"/>
    <s v="RX"/>
    <s v="Aspirators"/>
    <x v="48"/>
    <n v="2426"/>
  </r>
  <r>
    <x v="48"/>
    <n v="2025"/>
    <x v="9"/>
    <x v="1"/>
    <s v="RX"/>
    <s v="Aspirators"/>
    <x v="48"/>
    <n v="2063"/>
  </r>
  <r>
    <x v="48"/>
    <n v="2025"/>
    <x v="10"/>
    <x v="1"/>
    <s v="RX"/>
    <s v="Aspirators"/>
    <x v="48"/>
    <n v="1700"/>
  </r>
  <r>
    <x v="48"/>
    <n v="2025"/>
    <x v="11"/>
    <x v="1"/>
    <s v="RX"/>
    <s v="Aspirators"/>
    <x v="48"/>
    <n v="1436"/>
  </r>
  <r>
    <x v="49"/>
    <n v="2025"/>
    <x v="0"/>
    <x v="1"/>
    <s v="RX"/>
    <s v="Cannulae"/>
    <x v="49"/>
    <n v="748"/>
  </r>
  <r>
    <x v="49"/>
    <n v="2025"/>
    <x v="1"/>
    <x v="1"/>
    <s v="RX"/>
    <s v="Cannulae"/>
    <x v="49"/>
    <n v="155"/>
  </r>
  <r>
    <x v="49"/>
    <n v="2025"/>
    <x v="2"/>
    <x v="1"/>
    <s v="RX"/>
    <s v="Cannulae"/>
    <x v="49"/>
    <n v="464"/>
  </r>
  <r>
    <x v="49"/>
    <n v="2025"/>
    <x v="3"/>
    <x v="1"/>
    <s v="RX"/>
    <s v="Cannulae"/>
    <x v="49"/>
    <n v="176"/>
  </r>
  <r>
    <x v="49"/>
    <n v="2025"/>
    <x v="4"/>
    <x v="1"/>
    <s v="RX"/>
    <s v="Cannulae"/>
    <x v="49"/>
    <n v="2951"/>
  </r>
  <r>
    <x v="49"/>
    <n v="2025"/>
    <x v="5"/>
    <x v="1"/>
    <s v="RX"/>
    <s v="Cannulae"/>
    <x v="49"/>
    <n v="4191.5"/>
  </r>
  <r>
    <x v="49"/>
    <n v="2025"/>
    <x v="6"/>
    <x v="1"/>
    <s v="RX"/>
    <s v="Cannulae"/>
    <x v="49"/>
    <n v="4540.5"/>
  </r>
  <r>
    <x v="49"/>
    <n v="2025"/>
    <x v="7"/>
    <x v="1"/>
    <s v="RX"/>
    <s v="Cannulae"/>
    <x v="49"/>
    <n v="4200.8950000000004"/>
  </r>
  <r>
    <x v="49"/>
    <n v="2025"/>
    <x v="8"/>
    <x v="1"/>
    <s v="RX"/>
    <s v="Cannulae"/>
    <x v="49"/>
    <n v="5860.8950000000004"/>
  </r>
  <r>
    <x v="49"/>
    <n v="2025"/>
    <x v="9"/>
    <x v="1"/>
    <s v="RX"/>
    <s v="Cannulae"/>
    <x v="49"/>
    <n v="5520.8950000000004"/>
  </r>
  <r>
    <x v="49"/>
    <n v="2025"/>
    <x v="10"/>
    <x v="1"/>
    <s v="RX"/>
    <s v="Cannulae"/>
    <x v="49"/>
    <n v="5180.8950000000004"/>
  </r>
  <r>
    <x v="49"/>
    <n v="2025"/>
    <x v="11"/>
    <x v="1"/>
    <s v="RX"/>
    <s v="Cannulae"/>
    <x v="49"/>
    <n v="4840.8950000000004"/>
  </r>
  <r>
    <x v="50"/>
    <n v="2025"/>
    <x v="0"/>
    <x v="1"/>
    <s v="RX"/>
    <s v="Cannulae"/>
    <x v="50"/>
    <n v="682"/>
  </r>
  <r>
    <x v="50"/>
    <n v="2025"/>
    <x v="1"/>
    <x v="1"/>
    <s v="RX"/>
    <s v="Cannulae"/>
    <x v="50"/>
    <n v="256"/>
  </r>
  <r>
    <x v="50"/>
    <n v="2025"/>
    <x v="2"/>
    <x v="1"/>
    <s v="RX"/>
    <s v="Cannulae"/>
    <x v="50"/>
    <n v="872"/>
  </r>
  <r>
    <x v="50"/>
    <n v="2025"/>
    <x v="3"/>
    <x v="1"/>
    <s v="RX"/>
    <s v="Cannulae"/>
    <x v="50"/>
    <n v="545"/>
  </r>
  <r>
    <x v="50"/>
    <n v="2025"/>
    <x v="4"/>
    <x v="1"/>
    <s v="RX"/>
    <s v="Cannulae"/>
    <x v="50"/>
    <n v="1930"/>
  </r>
  <r>
    <x v="50"/>
    <n v="2025"/>
    <x v="5"/>
    <x v="1"/>
    <s v="RX"/>
    <s v="Cannulae"/>
    <x v="50"/>
    <n v="3279"/>
  </r>
  <r>
    <x v="50"/>
    <n v="2025"/>
    <x v="6"/>
    <x v="1"/>
    <s v="RX"/>
    <s v="Cannulae"/>
    <x v="50"/>
    <n v="4519"/>
  </r>
  <r>
    <x v="50"/>
    <n v="2025"/>
    <x v="7"/>
    <x v="1"/>
    <s v="RX"/>
    <s v="Cannulae"/>
    <x v="50"/>
    <n v="3810"/>
  </r>
  <r>
    <x v="50"/>
    <n v="2025"/>
    <x v="8"/>
    <x v="1"/>
    <s v="RX"/>
    <s v="Cannulae"/>
    <x v="50"/>
    <n v="5094"/>
  </r>
  <r>
    <x v="50"/>
    <n v="2025"/>
    <x v="9"/>
    <x v="1"/>
    <s v="RX"/>
    <s v="Cannulae"/>
    <x v="50"/>
    <n v="4378"/>
  </r>
  <r>
    <x v="50"/>
    <n v="2025"/>
    <x v="10"/>
    <x v="1"/>
    <s v="RX"/>
    <s v="Cannulae"/>
    <x v="50"/>
    <n v="3640"/>
  </r>
  <r>
    <x v="50"/>
    <n v="2025"/>
    <x v="11"/>
    <x v="1"/>
    <s v="RX"/>
    <s v="Cannulae"/>
    <x v="50"/>
    <n v="2902"/>
  </r>
  <r>
    <x v="51"/>
    <n v="2025"/>
    <x v="0"/>
    <x v="1"/>
    <s v="RX"/>
    <s v="Cannulae"/>
    <x v="51"/>
    <n v="1128"/>
  </r>
  <r>
    <x v="51"/>
    <n v="2025"/>
    <x v="1"/>
    <x v="1"/>
    <s v="RX"/>
    <s v="Cannulae"/>
    <x v="51"/>
    <n v="344"/>
  </r>
  <r>
    <x v="51"/>
    <n v="2025"/>
    <x v="2"/>
    <x v="1"/>
    <s v="RX"/>
    <s v="Cannulae"/>
    <x v="51"/>
    <n v="1025"/>
  </r>
  <r>
    <x v="51"/>
    <n v="2025"/>
    <x v="3"/>
    <x v="1"/>
    <s v="RX"/>
    <s v="Cannulae"/>
    <x v="51"/>
    <n v="807"/>
  </r>
  <r>
    <x v="51"/>
    <n v="2025"/>
    <x v="4"/>
    <x v="1"/>
    <s v="RX"/>
    <s v="Cannulae"/>
    <x v="51"/>
    <n v="1919"/>
  </r>
  <r>
    <x v="51"/>
    <n v="2025"/>
    <x v="5"/>
    <x v="1"/>
    <s v="RX"/>
    <s v="Cannulae"/>
    <x v="51"/>
    <n v="3268"/>
  </r>
  <r>
    <x v="51"/>
    <n v="2025"/>
    <x v="6"/>
    <x v="1"/>
    <s v="RX"/>
    <s v="Cannulae"/>
    <x v="51"/>
    <n v="3508"/>
  </r>
  <r>
    <x v="51"/>
    <n v="2025"/>
    <x v="7"/>
    <x v="1"/>
    <s v="RX"/>
    <s v="Cannulae"/>
    <x v="51"/>
    <n v="2466"/>
  </r>
  <r>
    <x v="51"/>
    <n v="2025"/>
    <x v="8"/>
    <x v="1"/>
    <s v="RX"/>
    <s v="Cannulae"/>
    <x v="51"/>
    <n v="2923"/>
  </r>
  <r>
    <x v="51"/>
    <n v="2025"/>
    <x v="9"/>
    <x v="1"/>
    <s v="RX"/>
    <s v="Cannulae"/>
    <x v="51"/>
    <n v="2402"/>
  </r>
  <r>
    <x v="51"/>
    <n v="2025"/>
    <x v="10"/>
    <x v="1"/>
    <s v="RX"/>
    <s v="Cannulae"/>
    <x v="51"/>
    <n v="1881"/>
  </r>
  <r>
    <x v="51"/>
    <n v="2025"/>
    <x v="11"/>
    <x v="1"/>
    <s v="RX"/>
    <s v="Cannulae"/>
    <x v="51"/>
    <n v="3382"/>
  </r>
  <r>
    <x v="52"/>
    <n v="2025"/>
    <x v="0"/>
    <x v="1"/>
    <s v="RX"/>
    <s v="Cannulae"/>
    <x v="52"/>
    <n v="1189"/>
  </r>
  <r>
    <x v="52"/>
    <n v="2025"/>
    <x v="1"/>
    <x v="1"/>
    <s v="RX"/>
    <s v="Cannulae"/>
    <x v="52"/>
    <n v="407"/>
  </r>
  <r>
    <x v="52"/>
    <n v="2025"/>
    <x v="2"/>
    <x v="1"/>
    <s v="RX"/>
    <s v="Cannulae"/>
    <x v="52"/>
    <n v="1088"/>
  </r>
  <r>
    <x v="52"/>
    <n v="2025"/>
    <x v="3"/>
    <x v="1"/>
    <s v="RX"/>
    <s v="Cannulae"/>
    <x v="52"/>
    <n v="994"/>
  </r>
  <r>
    <x v="52"/>
    <n v="2025"/>
    <x v="4"/>
    <x v="1"/>
    <s v="RX"/>
    <s v="Cannulae"/>
    <x v="52"/>
    <n v="3220"/>
  </r>
  <r>
    <x v="52"/>
    <n v="2025"/>
    <x v="5"/>
    <x v="1"/>
    <s v="RX"/>
    <s v="Cannulae"/>
    <x v="52"/>
    <n v="3912"/>
  </r>
  <r>
    <x v="52"/>
    <n v="2025"/>
    <x v="6"/>
    <x v="1"/>
    <s v="RX"/>
    <s v="Cannulae"/>
    <x v="52"/>
    <n v="5713"/>
  </r>
  <r>
    <x v="52"/>
    <n v="2025"/>
    <x v="7"/>
    <x v="1"/>
    <s v="RX"/>
    <s v="Cannulae"/>
    <x v="52"/>
    <n v="4779"/>
  </r>
  <r>
    <x v="52"/>
    <n v="2025"/>
    <x v="8"/>
    <x v="1"/>
    <s v="RX"/>
    <s v="Cannulae"/>
    <x v="52"/>
    <n v="5798"/>
  </r>
  <r>
    <x v="52"/>
    <n v="2025"/>
    <x v="9"/>
    <x v="1"/>
    <s v="RX"/>
    <s v="Cannulae"/>
    <x v="52"/>
    <n v="4817"/>
  </r>
  <r>
    <x v="52"/>
    <n v="2025"/>
    <x v="10"/>
    <x v="1"/>
    <s v="RX"/>
    <s v="Cannulae"/>
    <x v="52"/>
    <n v="3836"/>
  </r>
  <r>
    <x v="52"/>
    <n v="2025"/>
    <x v="11"/>
    <x v="1"/>
    <s v="RX"/>
    <s v="Cannulae"/>
    <x v="52"/>
    <n v="6964"/>
  </r>
  <r>
    <x v="53"/>
    <n v="2025"/>
    <x v="0"/>
    <x v="1"/>
    <s v="RX"/>
    <s v="Cannulae"/>
    <x v="53"/>
    <n v="1150"/>
  </r>
  <r>
    <x v="53"/>
    <n v="2025"/>
    <x v="1"/>
    <x v="1"/>
    <s v="RX"/>
    <s v="Cannulae"/>
    <x v="53"/>
    <n v="351"/>
  </r>
  <r>
    <x v="53"/>
    <n v="2025"/>
    <x v="2"/>
    <x v="1"/>
    <s v="RX"/>
    <s v="Cannulae"/>
    <x v="53"/>
    <n v="1280"/>
  </r>
  <r>
    <x v="53"/>
    <n v="2025"/>
    <x v="3"/>
    <x v="1"/>
    <s v="RX"/>
    <s v="Cannulae"/>
    <x v="53"/>
    <n v="834"/>
  </r>
  <r>
    <x v="53"/>
    <n v="2025"/>
    <x v="4"/>
    <x v="1"/>
    <s v="RX"/>
    <s v="Cannulae"/>
    <x v="53"/>
    <n v="2013"/>
  </r>
  <r>
    <x v="53"/>
    <n v="2025"/>
    <x v="5"/>
    <x v="1"/>
    <s v="RX"/>
    <s v="Cannulae"/>
    <x v="53"/>
    <n v="3923"/>
  </r>
  <r>
    <x v="53"/>
    <n v="2025"/>
    <x v="6"/>
    <x v="1"/>
    <s v="RX"/>
    <s v="Cannulae"/>
    <x v="53"/>
    <n v="7987"/>
  </r>
  <r>
    <x v="53"/>
    <n v="2025"/>
    <x v="7"/>
    <x v="1"/>
    <s v="RX"/>
    <s v="Cannulae"/>
    <x v="53"/>
    <n v="6919"/>
  </r>
  <r>
    <x v="53"/>
    <n v="2025"/>
    <x v="8"/>
    <x v="1"/>
    <s v="RX"/>
    <s v="Cannulae"/>
    <x v="53"/>
    <n v="7851"/>
  </r>
  <r>
    <x v="53"/>
    <n v="2025"/>
    <x v="9"/>
    <x v="1"/>
    <s v="RX"/>
    <s v="Cannulae"/>
    <x v="53"/>
    <n v="6783"/>
  </r>
  <r>
    <x v="53"/>
    <n v="2025"/>
    <x v="10"/>
    <x v="1"/>
    <s v="RX"/>
    <s v="Cannulae"/>
    <x v="53"/>
    <n v="5824"/>
  </r>
  <r>
    <x v="53"/>
    <n v="2025"/>
    <x v="11"/>
    <x v="1"/>
    <s v="RX"/>
    <s v="Cannulae"/>
    <x v="53"/>
    <n v="5843"/>
  </r>
  <r>
    <x v="54"/>
    <n v="2025"/>
    <x v="0"/>
    <x v="1"/>
    <s v="RX"/>
    <s v="Cannulae"/>
    <x v="54"/>
    <n v="622"/>
  </r>
  <r>
    <x v="54"/>
    <n v="2025"/>
    <x v="1"/>
    <x v="1"/>
    <s v="RX"/>
    <s v="Cannulae"/>
    <x v="54"/>
    <n v="221"/>
  </r>
  <r>
    <x v="54"/>
    <n v="2025"/>
    <x v="2"/>
    <x v="1"/>
    <s v="RX"/>
    <s v="Cannulae"/>
    <x v="54"/>
    <n v="841"/>
  </r>
  <r>
    <x v="54"/>
    <n v="2025"/>
    <x v="3"/>
    <x v="1"/>
    <s v="RX"/>
    <s v="Cannulae"/>
    <x v="54"/>
    <n v="706"/>
  </r>
  <r>
    <x v="54"/>
    <n v="2025"/>
    <x v="4"/>
    <x v="1"/>
    <s v="RX"/>
    <s v="Cannulae"/>
    <x v="54"/>
    <n v="3710"/>
  </r>
  <r>
    <x v="54"/>
    <n v="2025"/>
    <x v="5"/>
    <x v="1"/>
    <s v="RX"/>
    <s v="Cannulae"/>
    <x v="54"/>
    <n v="2838"/>
  </r>
  <r>
    <x v="54"/>
    <n v="2025"/>
    <x v="6"/>
    <x v="1"/>
    <s v="RX"/>
    <s v="Cannulae"/>
    <x v="54"/>
    <n v="3966"/>
  </r>
  <r>
    <x v="54"/>
    <n v="2025"/>
    <x v="7"/>
    <x v="1"/>
    <s v="RX"/>
    <s v="Cannulae"/>
    <x v="54"/>
    <n v="3653"/>
  </r>
  <r>
    <x v="54"/>
    <n v="2025"/>
    <x v="8"/>
    <x v="1"/>
    <s v="RX"/>
    <s v="Cannulae"/>
    <x v="54"/>
    <n v="4999"/>
  </r>
  <r>
    <x v="54"/>
    <n v="2025"/>
    <x v="9"/>
    <x v="1"/>
    <s v="RX"/>
    <s v="Cannulae"/>
    <x v="54"/>
    <n v="4345"/>
  </r>
  <r>
    <x v="54"/>
    <n v="2025"/>
    <x v="10"/>
    <x v="1"/>
    <s v="RX"/>
    <s v="Cannulae"/>
    <x v="54"/>
    <n v="3735"/>
  </r>
  <r>
    <x v="54"/>
    <n v="2025"/>
    <x v="11"/>
    <x v="1"/>
    <s v="RX"/>
    <s v="Cannulae"/>
    <x v="54"/>
    <n v="4125"/>
  </r>
  <r>
    <x v="55"/>
    <n v="2025"/>
    <x v="0"/>
    <x v="1"/>
    <s v="RX"/>
    <s v="Cannulae"/>
    <x v="55"/>
    <n v="455"/>
  </r>
  <r>
    <x v="55"/>
    <n v="2025"/>
    <x v="1"/>
    <x v="1"/>
    <s v="RX"/>
    <s v="Cannulae"/>
    <x v="55"/>
    <n v="152"/>
  </r>
  <r>
    <x v="55"/>
    <n v="2025"/>
    <x v="2"/>
    <x v="1"/>
    <s v="RX"/>
    <s v="Cannulae"/>
    <x v="55"/>
    <n v="600"/>
  </r>
  <r>
    <x v="55"/>
    <n v="2025"/>
    <x v="3"/>
    <x v="1"/>
    <s v="RX"/>
    <s v="Cannulae"/>
    <x v="55"/>
    <n v="458"/>
  </r>
  <r>
    <x v="55"/>
    <n v="2025"/>
    <x v="4"/>
    <x v="1"/>
    <s v="RX"/>
    <s v="Cannulae"/>
    <x v="55"/>
    <n v="1716"/>
  </r>
  <r>
    <x v="55"/>
    <n v="2025"/>
    <x v="5"/>
    <x v="1"/>
    <s v="RX"/>
    <s v="Cannulae"/>
    <x v="55"/>
    <n v="5065"/>
  </r>
  <r>
    <x v="55"/>
    <n v="2025"/>
    <x v="6"/>
    <x v="1"/>
    <s v="RX"/>
    <s v="Cannulae"/>
    <x v="55"/>
    <n v="4414"/>
  </r>
  <r>
    <x v="55"/>
    <n v="2025"/>
    <x v="7"/>
    <x v="1"/>
    <s v="RX"/>
    <s v="Cannulae"/>
    <x v="55"/>
    <n v="3821"/>
  </r>
  <r>
    <x v="55"/>
    <n v="2025"/>
    <x v="8"/>
    <x v="1"/>
    <s v="RX"/>
    <s v="Cannulae"/>
    <x v="55"/>
    <n v="4235"/>
  </r>
  <r>
    <x v="55"/>
    <n v="2025"/>
    <x v="9"/>
    <x v="1"/>
    <s v="RX"/>
    <s v="Cannulae"/>
    <x v="55"/>
    <n v="3649"/>
  </r>
  <r>
    <x v="55"/>
    <n v="2025"/>
    <x v="10"/>
    <x v="1"/>
    <s v="RX"/>
    <s v="Cannulae"/>
    <x v="55"/>
    <n v="3063"/>
  </r>
  <r>
    <x v="55"/>
    <n v="2025"/>
    <x v="11"/>
    <x v="1"/>
    <s v="RX"/>
    <s v="Cannulae"/>
    <x v="55"/>
    <n v="3466"/>
  </r>
  <r>
    <x v="56"/>
    <n v="2025"/>
    <x v="0"/>
    <x v="1"/>
    <s v="RX"/>
    <s v="Cannulae"/>
    <x v="56"/>
    <n v="535"/>
  </r>
  <r>
    <x v="56"/>
    <n v="2025"/>
    <x v="1"/>
    <x v="1"/>
    <s v="RX"/>
    <s v="Cannulae"/>
    <x v="56"/>
    <n v="137"/>
  </r>
  <r>
    <x v="56"/>
    <n v="2025"/>
    <x v="2"/>
    <x v="1"/>
    <s v="RX"/>
    <s v="Cannulae"/>
    <x v="56"/>
    <n v="589"/>
  </r>
  <r>
    <x v="56"/>
    <n v="2025"/>
    <x v="3"/>
    <x v="1"/>
    <s v="RX"/>
    <s v="Cannulae"/>
    <x v="56"/>
    <n v="279"/>
  </r>
  <r>
    <x v="56"/>
    <n v="2025"/>
    <x v="4"/>
    <x v="1"/>
    <s v="RX"/>
    <s v="Cannulae"/>
    <x v="56"/>
    <n v="2912"/>
  </r>
  <r>
    <x v="56"/>
    <n v="2025"/>
    <x v="5"/>
    <x v="1"/>
    <s v="RX"/>
    <s v="Cannulae"/>
    <x v="56"/>
    <n v="2532"/>
  </r>
  <r>
    <x v="56"/>
    <n v="2025"/>
    <x v="6"/>
    <x v="1"/>
    <s v="RX"/>
    <s v="Cannulae"/>
    <x v="56"/>
    <n v="3152"/>
  </r>
  <r>
    <x v="56"/>
    <n v="2025"/>
    <x v="7"/>
    <x v="1"/>
    <s v="RX"/>
    <s v="Cannulae"/>
    <x v="56"/>
    <n v="2620"/>
  </r>
  <r>
    <x v="56"/>
    <n v="2025"/>
    <x v="8"/>
    <x v="1"/>
    <s v="RX"/>
    <s v="Cannulae"/>
    <x v="56"/>
    <n v="3204"/>
  </r>
  <r>
    <x v="56"/>
    <n v="2025"/>
    <x v="9"/>
    <x v="1"/>
    <s v="RX"/>
    <s v="Cannulae"/>
    <x v="56"/>
    <n v="2788"/>
  </r>
  <r>
    <x v="56"/>
    <n v="2025"/>
    <x v="10"/>
    <x v="1"/>
    <s v="RX"/>
    <s v="Cannulae"/>
    <x v="56"/>
    <n v="2372"/>
  </r>
  <r>
    <x v="56"/>
    <n v="2025"/>
    <x v="11"/>
    <x v="1"/>
    <s v="RX"/>
    <s v="Cannulae"/>
    <x v="56"/>
    <n v="1956"/>
  </r>
  <r>
    <x v="57"/>
    <n v="2025"/>
    <x v="0"/>
    <x v="1"/>
    <s v="RX"/>
    <s v="Dilators"/>
    <x v="57"/>
    <n v="2885"/>
  </r>
  <r>
    <x v="57"/>
    <n v="2025"/>
    <x v="1"/>
    <x v="1"/>
    <s v="RX"/>
    <s v="Dilators"/>
    <x v="57"/>
    <n v="1321"/>
  </r>
  <r>
    <x v="57"/>
    <n v="2025"/>
    <x v="2"/>
    <x v="1"/>
    <s v="RX"/>
    <s v="Dilators"/>
    <x v="57"/>
    <n v="4821"/>
  </r>
  <r>
    <x v="57"/>
    <n v="2025"/>
    <x v="3"/>
    <x v="1"/>
    <s v="RX"/>
    <s v="Dilators"/>
    <x v="57"/>
    <n v="4409"/>
  </r>
  <r>
    <x v="57"/>
    <n v="2025"/>
    <x v="4"/>
    <x v="1"/>
    <s v="RX"/>
    <s v="Dilators"/>
    <x v="57"/>
    <n v="13856"/>
  </r>
  <r>
    <x v="57"/>
    <n v="2025"/>
    <x v="5"/>
    <x v="1"/>
    <s v="RX"/>
    <s v="Dilators"/>
    <x v="57"/>
    <n v="23088"/>
  </r>
  <r>
    <x v="57"/>
    <n v="2025"/>
    <x v="6"/>
    <x v="1"/>
    <s v="RX"/>
    <s v="Dilators"/>
    <x v="57"/>
    <n v="47820"/>
  </r>
  <r>
    <x v="57"/>
    <n v="2025"/>
    <x v="7"/>
    <x v="1"/>
    <s v="RX"/>
    <s v="Dilators"/>
    <x v="57"/>
    <n v="42337"/>
  </r>
  <r>
    <x v="57"/>
    <n v="2025"/>
    <x v="8"/>
    <x v="1"/>
    <s v="RX"/>
    <s v="Dilators"/>
    <x v="57"/>
    <n v="46209"/>
  </r>
  <r>
    <x v="57"/>
    <n v="2025"/>
    <x v="9"/>
    <x v="1"/>
    <s v="RX"/>
    <s v="Dilators"/>
    <x v="57"/>
    <n v="40081"/>
  </r>
  <r>
    <x v="57"/>
    <n v="2025"/>
    <x v="10"/>
    <x v="1"/>
    <s v="RX"/>
    <s v="Dilators"/>
    <x v="57"/>
    <n v="33846"/>
  </r>
  <r>
    <x v="57"/>
    <n v="2025"/>
    <x v="11"/>
    <x v="1"/>
    <s v="RX"/>
    <s v="Dilators"/>
    <x v="57"/>
    <n v="27718"/>
  </r>
  <r>
    <x v="58"/>
    <n v="2025"/>
    <x v="0"/>
    <x v="1"/>
    <s v="RX"/>
    <s v="IUDs Cu &amp; IUS &amp; IUB"/>
    <x v="58"/>
    <n v="256"/>
  </r>
  <r>
    <x v="58"/>
    <n v="2025"/>
    <x v="1"/>
    <x v="1"/>
    <s v="RX"/>
    <s v="IUDs Cu &amp; IUS &amp; IUB"/>
    <x v="58"/>
    <n v="260"/>
  </r>
  <r>
    <x v="58"/>
    <n v="2025"/>
    <x v="2"/>
    <x v="1"/>
    <s v="RX"/>
    <s v="IUDs Cu &amp; IUS &amp; IUB"/>
    <x v="58"/>
    <n v="240"/>
  </r>
  <r>
    <x v="58"/>
    <n v="2025"/>
    <x v="3"/>
    <x v="1"/>
    <s v="RX"/>
    <s v="IUDs Cu &amp; IUS &amp; IUB"/>
    <x v="58"/>
    <n v="222"/>
  </r>
  <r>
    <x v="58"/>
    <n v="2025"/>
    <x v="4"/>
    <x v="1"/>
    <s v="RX"/>
    <s v="IUDs Cu &amp; IUS &amp; IUB"/>
    <x v="58"/>
    <n v="7824"/>
  </r>
  <r>
    <x v="58"/>
    <n v="2025"/>
    <x v="5"/>
    <x v="1"/>
    <s v="RX"/>
    <s v="IUDs Cu &amp; IUS &amp; IUB"/>
    <x v="58"/>
    <n v="7448"/>
  </r>
  <r>
    <x v="58"/>
    <n v="2025"/>
    <x v="6"/>
    <x v="1"/>
    <s v="RX"/>
    <s v="IUDs Cu &amp; IUS &amp; IUB"/>
    <x v="58"/>
    <n v="6910"/>
  </r>
  <r>
    <x v="58"/>
    <n v="2025"/>
    <x v="7"/>
    <x v="1"/>
    <s v="RX"/>
    <s v="IUDs Cu &amp; IUS &amp; IUB"/>
    <x v="58"/>
    <n v="6437"/>
  </r>
  <r>
    <x v="58"/>
    <n v="2025"/>
    <x v="8"/>
    <x v="1"/>
    <s v="RX"/>
    <s v="IUDs Cu &amp; IUS &amp; IUB"/>
    <x v="58"/>
    <n v="6168"/>
  </r>
  <r>
    <x v="58"/>
    <n v="2025"/>
    <x v="9"/>
    <x v="1"/>
    <s v="RX"/>
    <s v="IUDs Cu &amp; IUS &amp; IUB"/>
    <x v="58"/>
    <n v="5845"/>
  </r>
  <r>
    <x v="58"/>
    <n v="2025"/>
    <x v="10"/>
    <x v="1"/>
    <s v="RX"/>
    <s v="IUDs Cu &amp; IUS &amp; IUB"/>
    <x v="58"/>
    <n v="5522"/>
  </r>
  <r>
    <x v="58"/>
    <n v="2025"/>
    <x v="11"/>
    <x v="1"/>
    <s v="RX"/>
    <s v="IUDs Cu &amp; IUS &amp; IUB"/>
    <x v="58"/>
    <n v="5199"/>
  </r>
  <r>
    <x v="59"/>
    <n v="2025"/>
    <x v="0"/>
    <x v="1"/>
    <s v="RX"/>
    <s v="IUDs Cu &amp; IUS &amp; IUB"/>
    <x v="59"/>
    <n v="325"/>
  </r>
  <r>
    <x v="59"/>
    <n v="2025"/>
    <x v="1"/>
    <x v="1"/>
    <s v="RX"/>
    <s v="IUDs Cu &amp; IUS &amp; IUB"/>
    <x v="59"/>
    <n v="464"/>
  </r>
  <r>
    <x v="59"/>
    <n v="2025"/>
    <x v="2"/>
    <x v="1"/>
    <s v="RX"/>
    <s v="IUDs Cu &amp; IUS &amp; IUB"/>
    <x v="59"/>
    <n v="805"/>
  </r>
  <r>
    <x v="59"/>
    <n v="2025"/>
    <x v="3"/>
    <x v="1"/>
    <s v="RX"/>
    <s v="IUDs Cu &amp; IUS &amp; IUB"/>
    <x v="59"/>
    <n v="473"/>
  </r>
  <r>
    <x v="59"/>
    <n v="2025"/>
    <x v="4"/>
    <x v="1"/>
    <s v="RX"/>
    <s v="IUDs Cu &amp; IUS &amp; IUB"/>
    <x v="59"/>
    <n v="5431"/>
  </r>
  <r>
    <x v="59"/>
    <n v="2025"/>
    <x v="5"/>
    <x v="1"/>
    <s v="RX"/>
    <s v="IUDs Cu &amp; IUS &amp; IUB"/>
    <x v="59"/>
    <n v="4982"/>
  </r>
  <r>
    <x v="59"/>
    <n v="2025"/>
    <x v="6"/>
    <x v="1"/>
    <s v="RX"/>
    <s v="IUDs Cu &amp; IUS &amp; IUB"/>
    <x v="59"/>
    <n v="4458"/>
  </r>
  <r>
    <x v="59"/>
    <n v="2025"/>
    <x v="7"/>
    <x v="1"/>
    <s v="RX"/>
    <s v="IUDs Cu &amp; IUS &amp; IUB"/>
    <x v="59"/>
    <n v="3934"/>
  </r>
  <r>
    <x v="59"/>
    <n v="2025"/>
    <x v="8"/>
    <x v="1"/>
    <s v="RX"/>
    <s v="IUDs Cu &amp; IUS &amp; IUB"/>
    <x v="59"/>
    <n v="13345"/>
  </r>
  <r>
    <x v="59"/>
    <n v="2025"/>
    <x v="9"/>
    <x v="1"/>
    <s v="RX"/>
    <s v="IUDs Cu &amp; IUS &amp; IUB"/>
    <x v="59"/>
    <n v="12703"/>
  </r>
  <r>
    <x v="59"/>
    <n v="2025"/>
    <x v="10"/>
    <x v="1"/>
    <s v="RX"/>
    <s v="IUDs Cu &amp; IUS &amp; IUB"/>
    <x v="59"/>
    <n v="12061"/>
  </r>
  <r>
    <x v="59"/>
    <n v="2025"/>
    <x v="11"/>
    <x v="1"/>
    <s v="RX"/>
    <s v="IUDs Cu &amp; IUS &amp; IUB"/>
    <x v="59"/>
    <n v="11419"/>
  </r>
  <r>
    <x v="60"/>
    <n v="2025"/>
    <x v="0"/>
    <x v="1"/>
    <s v="RX"/>
    <s v="IUDs Cu &amp; IUS &amp; IUB"/>
    <x v="60"/>
    <n v="1348"/>
  </r>
  <r>
    <x v="60"/>
    <n v="2025"/>
    <x v="1"/>
    <x v="1"/>
    <s v="RX"/>
    <s v="IUDs Cu &amp; IUS &amp; IUB"/>
    <x v="60"/>
    <n v="1754"/>
  </r>
  <r>
    <x v="60"/>
    <n v="2025"/>
    <x v="2"/>
    <x v="1"/>
    <s v="RX"/>
    <s v="IUDs Cu &amp; IUS &amp; IUB"/>
    <x v="60"/>
    <n v="2894"/>
  </r>
  <r>
    <x v="60"/>
    <n v="2025"/>
    <x v="3"/>
    <x v="1"/>
    <s v="RX"/>
    <s v="IUDs Cu &amp; IUS &amp; IUB"/>
    <x v="60"/>
    <n v="1719"/>
  </r>
  <r>
    <x v="60"/>
    <n v="2025"/>
    <x v="4"/>
    <x v="1"/>
    <s v="RX"/>
    <s v="IUDs Cu &amp; IUS &amp; IUB"/>
    <x v="60"/>
    <n v="12133"/>
  </r>
  <r>
    <x v="60"/>
    <n v="2025"/>
    <x v="5"/>
    <x v="1"/>
    <s v="RX"/>
    <s v="IUDs Cu &amp; IUS &amp; IUB"/>
    <x v="60"/>
    <n v="23806"/>
  </r>
  <r>
    <x v="60"/>
    <n v="2025"/>
    <x v="6"/>
    <x v="1"/>
    <s v="RX"/>
    <s v="IUDs Cu &amp; IUS &amp; IUB"/>
    <x v="60"/>
    <n v="20944"/>
  </r>
  <r>
    <x v="60"/>
    <n v="2025"/>
    <x v="7"/>
    <x v="1"/>
    <s v="RX"/>
    <s v="IUDs Cu &amp; IUS &amp; IUB"/>
    <x v="60"/>
    <n v="18506"/>
  </r>
  <r>
    <x v="60"/>
    <n v="2025"/>
    <x v="8"/>
    <x v="1"/>
    <s v="RX"/>
    <s v="IUDs Cu &amp; IUS &amp; IUB"/>
    <x v="60"/>
    <n v="16089"/>
  </r>
  <r>
    <x v="60"/>
    <n v="2025"/>
    <x v="9"/>
    <x v="1"/>
    <s v="RX"/>
    <s v="IUDs Cu &amp; IUS &amp; IUB"/>
    <x v="60"/>
    <n v="13545"/>
  </r>
  <r>
    <x v="60"/>
    <n v="2025"/>
    <x v="10"/>
    <x v="1"/>
    <s v="RX"/>
    <s v="IUDs Cu &amp; IUS &amp; IUB"/>
    <x v="60"/>
    <n v="11319"/>
  </r>
  <r>
    <x v="60"/>
    <n v="2025"/>
    <x v="11"/>
    <x v="1"/>
    <s v="RX"/>
    <s v="IUDs Cu &amp; IUS &amp; IUB"/>
    <x v="60"/>
    <n v="13987"/>
  </r>
  <r>
    <x v="61"/>
    <n v="2025"/>
    <x v="0"/>
    <x v="1"/>
    <s v="RX"/>
    <s v="IUDs Cu &amp; IUS &amp; IUB"/>
    <x v="61"/>
    <n v="395"/>
  </r>
  <r>
    <x v="61"/>
    <n v="2025"/>
    <x v="1"/>
    <x v="1"/>
    <s v="RX"/>
    <s v="IUDs Cu &amp; IUS &amp; IUB"/>
    <x v="61"/>
    <n v="875"/>
  </r>
  <r>
    <x v="61"/>
    <n v="2025"/>
    <x v="2"/>
    <x v="1"/>
    <s v="RX"/>
    <s v="IUDs Cu &amp; IUS &amp; IUB"/>
    <x v="61"/>
    <n v="1356"/>
  </r>
  <r>
    <x v="61"/>
    <n v="2025"/>
    <x v="3"/>
    <x v="1"/>
    <s v="RX"/>
    <s v="IUDs Cu &amp; IUS &amp; IUB"/>
    <x v="61"/>
    <n v="814"/>
  </r>
  <r>
    <x v="61"/>
    <n v="2025"/>
    <x v="4"/>
    <x v="1"/>
    <s v="RX"/>
    <s v="IUDs Cu &amp; IUS &amp; IUB"/>
    <x v="61"/>
    <n v="6920"/>
  </r>
  <r>
    <x v="61"/>
    <n v="2025"/>
    <x v="5"/>
    <x v="1"/>
    <s v="RX"/>
    <s v="IUDs Cu &amp; IUS &amp; IUB"/>
    <x v="61"/>
    <n v="10436"/>
  </r>
  <r>
    <x v="61"/>
    <n v="2025"/>
    <x v="6"/>
    <x v="1"/>
    <s v="RX"/>
    <s v="IUDs Cu &amp; IUS &amp; IUB"/>
    <x v="61"/>
    <n v="9056"/>
  </r>
  <r>
    <x v="61"/>
    <n v="2025"/>
    <x v="7"/>
    <x v="1"/>
    <s v="RX"/>
    <s v="IUDs Cu &amp; IUS &amp; IUB"/>
    <x v="61"/>
    <n v="7784"/>
  </r>
  <r>
    <x v="61"/>
    <n v="2025"/>
    <x v="8"/>
    <x v="1"/>
    <s v="RX"/>
    <s v="IUDs Cu &amp; IUS &amp; IUB"/>
    <x v="61"/>
    <n v="11569"/>
  </r>
  <r>
    <x v="61"/>
    <n v="2025"/>
    <x v="9"/>
    <x v="1"/>
    <s v="RX"/>
    <s v="IUDs Cu &amp; IUS &amp; IUB"/>
    <x v="61"/>
    <n v="10191"/>
  </r>
  <r>
    <x v="61"/>
    <n v="2025"/>
    <x v="10"/>
    <x v="1"/>
    <s v="RX"/>
    <s v="IUDs Cu &amp; IUS &amp; IUB"/>
    <x v="61"/>
    <n v="13813"/>
  </r>
  <r>
    <x v="61"/>
    <n v="2025"/>
    <x v="11"/>
    <x v="1"/>
    <s v="RX"/>
    <s v="IUDs Cu &amp; IUS &amp; IUB"/>
    <x v="61"/>
    <n v="12435"/>
  </r>
  <r>
    <x v="62"/>
    <n v="2025"/>
    <x v="0"/>
    <x v="1"/>
    <s v="RX"/>
    <s v="IUDs Cu &amp; IUS &amp; IUB"/>
    <x v="62"/>
    <n v="0"/>
  </r>
  <r>
    <x v="62"/>
    <n v="2025"/>
    <x v="1"/>
    <x v="1"/>
    <s v="RX"/>
    <s v="IUDs Cu &amp; IUS &amp; IUB"/>
    <x v="62"/>
    <n v="200"/>
  </r>
  <r>
    <x v="62"/>
    <n v="2025"/>
    <x v="2"/>
    <x v="1"/>
    <s v="RX"/>
    <s v="IUDs Cu &amp; IUS &amp; IUB"/>
    <x v="62"/>
    <n v="512"/>
  </r>
  <r>
    <x v="62"/>
    <n v="2025"/>
    <x v="3"/>
    <x v="1"/>
    <s v="RX"/>
    <s v="IUDs Cu &amp; IUS &amp; IUB"/>
    <x v="62"/>
    <n v="325"/>
  </r>
  <r>
    <x v="62"/>
    <n v="2025"/>
    <x v="4"/>
    <x v="1"/>
    <s v="RX"/>
    <s v="IUDs Cu &amp; IUS &amp; IUB"/>
    <x v="62"/>
    <n v="8847"/>
  </r>
  <r>
    <x v="62"/>
    <n v="2025"/>
    <x v="5"/>
    <x v="1"/>
    <s v="RX"/>
    <s v="IUDs Cu &amp; IUS &amp; IUB"/>
    <x v="62"/>
    <n v="8697"/>
  </r>
  <r>
    <x v="62"/>
    <n v="2025"/>
    <x v="6"/>
    <x v="1"/>
    <s v="RX"/>
    <s v="IUDs Cu &amp; IUS &amp; IUB"/>
    <x v="62"/>
    <n v="8547"/>
  </r>
  <r>
    <x v="62"/>
    <n v="2025"/>
    <x v="7"/>
    <x v="1"/>
    <s v="RX"/>
    <s v="IUDs Cu &amp; IUS &amp; IUB"/>
    <x v="62"/>
    <n v="8397"/>
  </r>
  <r>
    <x v="62"/>
    <n v="2025"/>
    <x v="8"/>
    <x v="1"/>
    <s v="RX"/>
    <s v="IUDs Cu &amp; IUS &amp; IUB"/>
    <x v="62"/>
    <n v="8162"/>
  </r>
  <r>
    <x v="62"/>
    <n v="2025"/>
    <x v="9"/>
    <x v="1"/>
    <s v="RX"/>
    <s v="IUDs Cu &amp; IUS &amp; IUB"/>
    <x v="62"/>
    <n v="7627"/>
  </r>
  <r>
    <x v="62"/>
    <n v="2025"/>
    <x v="10"/>
    <x v="1"/>
    <s v="RX"/>
    <s v="IUDs Cu &amp; IUS &amp; IUB"/>
    <x v="62"/>
    <n v="7092"/>
  </r>
  <r>
    <x v="62"/>
    <n v="2025"/>
    <x v="11"/>
    <x v="1"/>
    <s v="RX"/>
    <s v="IUDs Cu &amp; IUS &amp; IUB"/>
    <x v="62"/>
    <n v="6558"/>
  </r>
  <r>
    <x v="63"/>
    <n v="2025"/>
    <x v="0"/>
    <x v="1"/>
    <s v="RX"/>
    <s v="IUDs Cu &amp; IUS &amp; IUB"/>
    <x v="63"/>
    <n v="53"/>
  </r>
  <r>
    <x v="63"/>
    <n v="2025"/>
    <x v="1"/>
    <x v="1"/>
    <s v="RX"/>
    <s v="IUDs Cu &amp; IUS &amp; IUB"/>
    <x v="63"/>
    <n v="177"/>
  </r>
  <r>
    <x v="63"/>
    <n v="2025"/>
    <x v="2"/>
    <x v="1"/>
    <s v="RX"/>
    <s v="IUDs Cu &amp; IUS &amp; IUB"/>
    <x v="63"/>
    <n v="287"/>
  </r>
  <r>
    <x v="63"/>
    <n v="2025"/>
    <x v="3"/>
    <x v="1"/>
    <s v="RX"/>
    <s v="IUDs Cu &amp; IUS &amp; IUB"/>
    <x v="63"/>
    <n v="200"/>
  </r>
  <r>
    <x v="63"/>
    <n v="2025"/>
    <x v="4"/>
    <x v="1"/>
    <s v="RX"/>
    <s v="IUDs Cu &amp; IUS &amp; IUB"/>
    <x v="63"/>
    <n v="9047"/>
  </r>
  <r>
    <x v="63"/>
    <n v="2025"/>
    <x v="5"/>
    <x v="1"/>
    <s v="RX"/>
    <s v="IUDs Cu &amp; IUS &amp; IUB"/>
    <x v="63"/>
    <n v="8983"/>
  </r>
  <r>
    <x v="63"/>
    <n v="2025"/>
    <x v="6"/>
    <x v="1"/>
    <s v="RX"/>
    <s v="IUDs Cu &amp; IUS &amp; IUB"/>
    <x v="63"/>
    <n v="8919"/>
  </r>
  <r>
    <x v="63"/>
    <n v="2025"/>
    <x v="7"/>
    <x v="1"/>
    <s v="RX"/>
    <s v="IUDs Cu &amp; IUS &amp; IUB"/>
    <x v="63"/>
    <n v="8769"/>
  </r>
  <r>
    <x v="63"/>
    <n v="2025"/>
    <x v="8"/>
    <x v="1"/>
    <s v="RX"/>
    <s v="IUDs Cu &amp; IUS &amp; IUB"/>
    <x v="63"/>
    <n v="8555"/>
  </r>
  <r>
    <x v="63"/>
    <n v="2025"/>
    <x v="9"/>
    <x v="1"/>
    <s v="RX"/>
    <s v="IUDs Cu &amp; IUS &amp; IUB"/>
    <x v="63"/>
    <n v="8234"/>
  </r>
  <r>
    <x v="63"/>
    <n v="2025"/>
    <x v="10"/>
    <x v="1"/>
    <s v="RX"/>
    <s v="IUDs Cu &amp; IUS &amp; IUB"/>
    <x v="63"/>
    <n v="7913"/>
  </r>
  <r>
    <x v="63"/>
    <n v="2025"/>
    <x v="11"/>
    <x v="1"/>
    <s v="RX"/>
    <s v="IUDs Cu &amp; IUS &amp; IUB"/>
    <x v="63"/>
    <n v="7592"/>
  </r>
  <r>
    <x v="64"/>
    <n v="2025"/>
    <x v="0"/>
    <x v="1"/>
    <s v="RX"/>
    <s v="Hysterometer"/>
    <x v="64"/>
    <n v="2985"/>
  </r>
  <r>
    <x v="64"/>
    <n v="2025"/>
    <x v="1"/>
    <x v="1"/>
    <s v="RX"/>
    <s v="Hysterometer"/>
    <x v="64"/>
    <n v="3710"/>
  </r>
  <r>
    <x v="64"/>
    <n v="2025"/>
    <x v="2"/>
    <x v="1"/>
    <s v="RX"/>
    <s v="Hysterometer"/>
    <x v="64"/>
    <n v="5836"/>
  </r>
  <r>
    <x v="64"/>
    <n v="2025"/>
    <x v="3"/>
    <x v="1"/>
    <s v="RX"/>
    <s v="Hysterometer"/>
    <x v="64"/>
    <n v="1028"/>
  </r>
  <r>
    <x v="64"/>
    <n v="2025"/>
    <x v="4"/>
    <x v="1"/>
    <s v="RX"/>
    <s v="Hysterometer"/>
    <x v="64"/>
    <n v="44341"/>
  </r>
  <r>
    <x v="64"/>
    <n v="2025"/>
    <x v="5"/>
    <x v="1"/>
    <s v="RX"/>
    <s v="Hysterometer"/>
    <x v="64"/>
    <n v="56269"/>
  </r>
  <r>
    <x v="64"/>
    <n v="2025"/>
    <x v="6"/>
    <x v="1"/>
    <s v="RX"/>
    <s v="Hysterometer"/>
    <x v="64"/>
    <n v="48269"/>
  </r>
  <r>
    <x v="64"/>
    <n v="2025"/>
    <x v="7"/>
    <x v="1"/>
    <s v="RX"/>
    <s v="Hysterometer"/>
    <x v="64"/>
    <n v="41069"/>
  </r>
  <r>
    <x v="64"/>
    <n v="2025"/>
    <x v="8"/>
    <x v="1"/>
    <s v="RX"/>
    <s v="Hysterometer"/>
    <x v="64"/>
    <n v="33869"/>
  </r>
  <r>
    <x v="64"/>
    <n v="2025"/>
    <x v="9"/>
    <x v="1"/>
    <s v="RX"/>
    <s v="Hysterometer"/>
    <x v="64"/>
    <n v="26669"/>
  </r>
  <r>
    <x v="64"/>
    <n v="2025"/>
    <x v="10"/>
    <x v="1"/>
    <s v="RX"/>
    <s v="Hysterometer"/>
    <x v="64"/>
    <n v="29469"/>
  </r>
  <r>
    <x v="64"/>
    <n v="2025"/>
    <x v="11"/>
    <x v="1"/>
    <s v="RX"/>
    <s v="Hysterometer"/>
    <x v="64"/>
    <n v="21869"/>
  </r>
  <r>
    <x v="65"/>
    <n v="2025"/>
    <x v="0"/>
    <x v="1"/>
    <s v="RX"/>
    <s v="Injetable"/>
    <x v="65"/>
    <n v="300"/>
  </r>
  <r>
    <x v="65"/>
    <n v="2025"/>
    <x v="1"/>
    <x v="1"/>
    <s v="RX"/>
    <s v="Injetable"/>
    <x v="65"/>
    <n v="3000"/>
  </r>
  <r>
    <x v="65"/>
    <n v="2025"/>
    <x v="2"/>
    <x v="1"/>
    <s v="RX"/>
    <s v="Injetable"/>
    <x v="65"/>
    <n v="8700"/>
  </r>
  <r>
    <x v="65"/>
    <n v="2025"/>
    <x v="3"/>
    <x v="1"/>
    <s v="RX"/>
    <s v="Injetable"/>
    <x v="65"/>
    <n v="800"/>
  </r>
  <r>
    <x v="65"/>
    <n v="2025"/>
    <x v="4"/>
    <x v="1"/>
    <s v="RX"/>
    <s v="Injetable"/>
    <x v="65"/>
    <n v="41100"/>
  </r>
  <r>
    <x v="65"/>
    <n v="2025"/>
    <x v="5"/>
    <x v="1"/>
    <s v="RX"/>
    <s v="Injetable"/>
    <x v="65"/>
    <n v="40100"/>
  </r>
  <r>
    <x v="65"/>
    <n v="2025"/>
    <x v="6"/>
    <x v="1"/>
    <s v="RX"/>
    <s v="Injetable"/>
    <x v="65"/>
    <n v="39100"/>
  </r>
  <r>
    <x v="65"/>
    <n v="2025"/>
    <x v="7"/>
    <x v="1"/>
    <s v="RX"/>
    <s v="Injetable"/>
    <x v="65"/>
    <n v="38100"/>
  </r>
  <r>
    <x v="65"/>
    <n v="2025"/>
    <x v="8"/>
    <x v="1"/>
    <s v="RX"/>
    <s v="Injetable"/>
    <x v="65"/>
    <n v="37100"/>
  </r>
  <r>
    <x v="65"/>
    <n v="2025"/>
    <x v="9"/>
    <x v="1"/>
    <s v="RX"/>
    <s v="Injetable"/>
    <x v="65"/>
    <n v="36100"/>
  </r>
  <r>
    <x v="65"/>
    <n v="2025"/>
    <x v="10"/>
    <x v="1"/>
    <s v="RX"/>
    <s v="Injetable"/>
    <x v="65"/>
    <n v="35100"/>
  </r>
  <r>
    <x v="65"/>
    <n v="2025"/>
    <x v="11"/>
    <x v="1"/>
    <s v="RX"/>
    <s v="Injetable"/>
    <x v="65"/>
    <n v="34100"/>
  </r>
  <r>
    <x v="66"/>
    <n v="2025"/>
    <x v="0"/>
    <x v="1"/>
    <s v="RX"/>
    <s v="EC"/>
    <x v="66"/>
    <n v="25380"/>
  </r>
  <r>
    <x v="66"/>
    <n v="2025"/>
    <x v="1"/>
    <x v="1"/>
    <s v="RX"/>
    <s v="EC"/>
    <x v="66"/>
    <n v="56080"/>
  </r>
  <r>
    <x v="66"/>
    <n v="2025"/>
    <x v="2"/>
    <x v="1"/>
    <s v="RX"/>
    <s v="EC"/>
    <x v="66"/>
    <n v="32580"/>
  </r>
  <r>
    <x v="66"/>
    <n v="2025"/>
    <x v="3"/>
    <x v="1"/>
    <s v="RX"/>
    <s v="EC"/>
    <x v="66"/>
    <n v="361080"/>
  </r>
  <r>
    <x v="66"/>
    <n v="2025"/>
    <x v="4"/>
    <x v="1"/>
    <s v="RX"/>
    <s v="EC"/>
    <x v="66"/>
    <n v="23445"/>
  </r>
  <r>
    <x v="66"/>
    <n v="2025"/>
    <x v="5"/>
    <x v="1"/>
    <s v="RX"/>
    <s v="EC"/>
    <x v="66"/>
    <n v="123445"/>
  </r>
  <r>
    <x v="66"/>
    <n v="2025"/>
    <x v="6"/>
    <x v="1"/>
    <s v="RX"/>
    <s v="EC"/>
    <x v="66"/>
    <n v="133445"/>
  </r>
  <r>
    <x v="66"/>
    <n v="2025"/>
    <x v="7"/>
    <x v="1"/>
    <s v="RX"/>
    <s v="EC"/>
    <x v="66"/>
    <n v="13445"/>
  </r>
  <r>
    <x v="66"/>
    <n v="2025"/>
    <x v="8"/>
    <x v="1"/>
    <s v="RX"/>
    <s v="EC"/>
    <x v="66"/>
    <n v="0"/>
  </r>
  <r>
    <x v="66"/>
    <n v="2025"/>
    <x v="9"/>
    <x v="1"/>
    <s v="RX"/>
    <s v="EC"/>
    <x v="66"/>
    <n v="390000"/>
  </r>
  <r>
    <x v="66"/>
    <n v="2025"/>
    <x v="10"/>
    <x v="1"/>
    <s v="RX"/>
    <s v="EC"/>
    <x v="66"/>
    <n v="780000"/>
  </r>
  <r>
    <x v="66"/>
    <n v="2025"/>
    <x v="11"/>
    <x v="1"/>
    <s v="RX"/>
    <s v="EC"/>
    <x v="66"/>
    <n v="680000"/>
  </r>
  <r>
    <x v="0"/>
    <n v="2024"/>
    <x v="0"/>
    <x v="2"/>
    <s v="Preservativo Masculino"/>
    <s v="Básico"/>
    <x v="0"/>
    <n v="0"/>
  </r>
  <r>
    <x v="0"/>
    <n v="2024"/>
    <x v="1"/>
    <x v="2"/>
    <s v="Preservativo Masculino"/>
    <s v="Básico"/>
    <x v="0"/>
    <n v="0"/>
  </r>
  <r>
    <x v="0"/>
    <n v="2024"/>
    <x v="2"/>
    <x v="2"/>
    <s v="Preservativo Masculino"/>
    <s v="Básico"/>
    <x v="0"/>
    <n v="0"/>
  </r>
  <r>
    <x v="0"/>
    <n v="2024"/>
    <x v="3"/>
    <x v="2"/>
    <s v="Preservativo Masculino"/>
    <s v="Básico"/>
    <x v="0"/>
    <n v="0"/>
  </r>
  <r>
    <x v="0"/>
    <n v="2024"/>
    <x v="4"/>
    <x v="2"/>
    <s v="Preservativo Masculino"/>
    <s v="Básico"/>
    <x v="0"/>
    <n v="0"/>
  </r>
  <r>
    <x v="0"/>
    <n v="2024"/>
    <x v="5"/>
    <x v="2"/>
    <s v="Preservativo Masculino"/>
    <s v="Básico"/>
    <x v="0"/>
    <n v="0"/>
  </r>
  <r>
    <x v="0"/>
    <n v="2024"/>
    <x v="6"/>
    <x v="2"/>
    <s v="Preservativo Masculino"/>
    <s v="Básico"/>
    <x v="0"/>
    <n v="0"/>
  </r>
  <r>
    <x v="0"/>
    <n v="2024"/>
    <x v="7"/>
    <x v="2"/>
    <s v="Preservativo Masculino"/>
    <s v="Básico"/>
    <x v="0"/>
    <n v="0"/>
  </r>
  <r>
    <x v="0"/>
    <n v="2024"/>
    <x v="8"/>
    <x v="2"/>
    <s v="Preservativo Masculino"/>
    <s v="Básico"/>
    <x v="0"/>
    <n v="14619"/>
  </r>
  <r>
    <x v="0"/>
    <n v="2024"/>
    <x v="9"/>
    <x v="2"/>
    <s v="Preservativo Masculino"/>
    <s v="Básico"/>
    <x v="0"/>
    <n v="16673"/>
  </r>
  <r>
    <x v="0"/>
    <n v="2024"/>
    <x v="10"/>
    <x v="2"/>
    <s v="Preservativo Masculino"/>
    <s v="Básico"/>
    <x v="0"/>
    <n v="7285"/>
  </r>
  <r>
    <x v="0"/>
    <n v="2024"/>
    <x v="11"/>
    <x v="2"/>
    <s v="Preservativo Masculino"/>
    <s v="Básico"/>
    <x v="0"/>
    <n v="478"/>
  </r>
  <r>
    <x v="1"/>
    <n v="2024"/>
    <x v="0"/>
    <x v="2"/>
    <s v="Preservativo Masculino"/>
    <s v="Básico"/>
    <x v="1"/>
    <n v="0"/>
  </r>
  <r>
    <x v="1"/>
    <n v="2024"/>
    <x v="1"/>
    <x v="2"/>
    <s v="Preservativo Masculino"/>
    <s v="Básico"/>
    <x v="1"/>
    <n v="0"/>
  </r>
  <r>
    <x v="1"/>
    <n v="2024"/>
    <x v="2"/>
    <x v="2"/>
    <s v="Preservativo Masculino"/>
    <s v="Básico"/>
    <x v="1"/>
    <n v="0"/>
  </r>
  <r>
    <x v="1"/>
    <n v="2024"/>
    <x v="3"/>
    <x v="2"/>
    <s v="Preservativo Masculino"/>
    <s v="Básico"/>
    <x v="1"/>
    <n v="0"/>
  </r>
  <r>
    <x v="1"/>
    <n v="2024"/>
    <x v="4"/>
    <x v="2"/>
    <s v="Preservativo Masculino"/>
    <s v="Básico"/>
    <x v="1"/>
    <n v="0"/>
  </r>
  <r>
    <x v="1"/>
    <n v="2024"/>
    <x v="5"/>
    <x v="2"/>
    <s v="Preservativo Masculino"/>
    <s v="Básico"/>
    <x v="1"/>
    <n v="0"/>
  </r>
  <r>
    <x v="1"/>
    <n v="2024"/>
    <x v="6"/>
    <x v="2"/>
    <s v="Preservativo Masculino"/>
    <s v="Básico"/>
    <x v="1"/>
    <n v="0"/>
  </r>
  <r>
    <x v="1"/>
    <n v="2024"/>
    <x v="7"/>
    <x v="2"/>
    <s v="Preservativo Masculino"/>
    <s v="Básico"/>
    <x v="1"/>
    <n v="0"/>
  </r>
  <r>
    <x v="1"/>
    <n v="2024"/>
    <x v="8"/>
    <x v="2"/>
    <s v="Preservativo Masculino"/>
    <s v="Básico"/>
    <x v="1"/>
    <n v="12592"/>
  </r>
  <r>
    <x v="1"/>
    <n v="2024"/>
    <x v="9"/>
    <x v="2"/>
    <s v="Preservativo Masculino"/>
    <s v="Básico"/>
    <x v="1"/>
    <n v="11854"/>
  </r>
  <r>
    <x v="1"/>
    <n v="2024"/>
    <x v="10"/>
    <x v="2"/>
    <s v="Preservativo Masculino"/>
    <s v="Básico"/>
    <x v="1"/>
    <n v="6727"/>
  </r>
  <r>
    <x v="1"/>
    <n v="2024"/>
    <x v="11"/>
    <x v="2"/>
    <s v="Preservativo Masculino"/>
    <s v="Básico"/>
    <x v="1"/>
    <n v="5995"/>
  </r>
  <r>
    <x v="2"/>
    <n v="2024"/>
    <x v="0"/>
    <x v="2"/>
    <s v="Preservativo Masculino"/>
    <s v="Básico"/>
    <x v="2"/>
    <n v="0"/>
  </r>
  <r>
    <x v="2"/>
    <n v="2024"/>
    <x v="1"/>
    <x v="2"/>
    <s v="Preservativo Masculino"/>
    <s v="Básico"/>
    <x v="2"/>
    <n v="0"/>
  </r>
  <r>
    <x v="2"/>
    <n v="2024"/>
    <x v="2"/>
    <x v="2"/>
    <s v="Preservativo Masculino"/>
    <s v="Básico"/>
    <x v="2"/>
    <n v="0"/>
  </r>
  <r>
    <x v="2"/>
    <n v="2024"/>
    <x v="3"/>
    <x v="2"/>
    <s v="Preservativo Masculino"/>
    <s v="Básico"/>
    <x v="2"/>
    <n v="0"/>
  </r>
  <r>
    <x v="2"/>
    <n v="2024"/>
    <x v="4"/>
    <x v="2"/>
    <s v="Preservativo Masculino"/>
    <s v="Básico"/>
    <x v="2"/>
    <n v="0"/>
  </r>
  <r>
    <x v="2"/>
    <n v="2024"/>
    <x v="5"/>
    <x v="2"/>
    <s v="Preservativo Masculino"/>
    <s v="Básico"/>
    <x v="2"/>
    <n v="0"/>
  </r>
  <r>
    <x v="2"/>
    <n v="2024"/>
    <x v="6"/>
    <x v="2"/>
    <s v="Preservativo Masculino"/>
    <s v="Básico"/>
    <x v="2"/>
    <n v="0"/>
  </r>
  <r>
    <x v="2"/>
    <n v="2024"/>
    <x v="7"/>
    <x v="2"/>
    <s v="Preservativo Masculino"/>
    <s v="Básico"/>
    <x v="2"/>
    <n v="0"/>
  </r>
  <r>
    <x v="2"/>
    <n v="2024"/>
    <x v="8"/>
    <x v="2"/>
    <s v="Preservativo Masculino"/>
    <s v="Básico"/>
    <x v="2"/>
    <n v="5201"/>
  </r>
  <r>
    <x v="2"/>
    <n v="2024"/>
    <x v="9"/>
    <x v="2"/>
    <s v="Preservativo Masculino"/>
    <s v="Básico"/>
    <x v="2"/>
    <n v="2790"/>
  </r>
  <r>
    <x v="2"/>
    <n v="2024"/>
    <x v="10"/>
    <x v="2"/>
    <s v="Preservativo Masculino"/>
    <s v="Básico"/>
    <x v="2"/>
    <n v="4753"/>
  </r>
  <r>
    <x v="2"/>
    <n v="2024"/>
    <x v="11"/>
    <x v="2"/>
    <s v="Preservativo Masculino"/>
    <s v="Básico"/>
    <x v="2"/>
    <n v="2894"/>
  </r>
  <r>
    <x v="3"/>
    <n v="2024"/>
    <x v="0"/>
    <x v="2"/>
    <s v="Preservativo Masculino"/>
    <s v="Cores e Sabores"/>
    <x v="3"/>
    <n v="0"/>
  </r>
  <r>
    <x v="3"/>
    <n v="2024"/>
    <x v="1"/>
    <x v="2"/>
    <s v="Preservativo Masculino"/>
    <s v="Cores e Sabores"/>
    <x v="3"/>
    <n v="0"/>
  </r>
  <r>
    <x v="3"/>
    <n v="2024"/>
    <x v="2"/>
    <x v="2"/>
    <s v="Preservativo Masculino"/>
    <s v="Cores e Sabores"/>
    <x v="3"/>
    <n v="0"/>
  </r>
  <r>
    <x v="3"/>
    <n v="2024"/>
    <x v="3"/>
    <x v="2"/>
    <s v="Preservativo Masculino"/>
    <s v="Cores e Sabores"/>
    <x v="3"/>
    <n v="0"/>
  </r>
  <r>
    <x v="3"/>
    <n v="2024"/>
    <x v="4"/>
    <x v="2"/>
    <s v="Preservativo Masculino"/>
    <s v="Cores e Sabores"/>
    <x v="3"/>
    <n v="0"/>
  </r>
  <r>
    <x v="3"/>
    <n v="2024"/>
    <x v="5"/>
    <x v="2"/>
    <s v="Preservativo Masculino"/>
    <s v="Cores e Sabores"/>
    <x v="3"/>
    <n v="0"/>
  </r>
  <r>
    <x v="3"/>
    <n v="2024"/>
    <x v="6"/>
    <x v="2"/>
    <s v="Preservativo Masculino"/>
    <s v="Cores e Sabores"/>
    <x v="3"/>
    <n v="0"/>
  </r>
  <r>
    <x v="3"/>
    <n v="2024"/>
    <x v="7"/>
    <x v="2"/>
    <s v="Preservativo Masculino"/>
    <s v="Cores e Sabores"/>
    <x v="3"/>
    <n v="0"/>
  </r>
  <r>
    <x v="3"/>
    <n v="2024"/>
    <x v="8"/>
    <x v="2"/>
    <s v="Preservativo Masculino"/>
    <s v="Cores e Sabores"/>
    <x v="3"/>
    <n v="3024"/>
  </r>
  <r>
    <x v="3"/>
    <n v="2024"/>
    <x v="9"/>
    <x v="2"/>
    <s v="Preservativo Masculino"/>
    <s v="Cores e Sabores"/>
    <x v="3"/>
    <n v="37"/>
  </r>
  <r>
    <x v="3"/>
    <n v="2024"/>
    <x v="10"/>
    <x v="2"/>
    <s v="Preservativo Masculino"/>
    <s v="Cores e Sabores"/>
    <x v="3"/>
    <n v="6025"/>
  </r>
  <r>
    <x v="3"/>
    <n v="2024"/>
    <x v="11"/>
    <x v="2"/>
    <s v="Preservativo Masculino"/>
    <s v="Cores e Sabores"/>
    <x v="3"/>
    <n v="5993"/>
  </r>
  <r>
    <x v="4"/>
    <n v="2024"/>
    <x v="0"/>
    <x v="2"/>
    <s v="Preservativo Masculino"/>
    <s v="Cores e Sabores"/>
    <x v="4"/>
    <n v="0"/>
  </r>
  <r>
    <x v="4"/>
    <n v="2024"/>
    <x v="1"/>
    <x v="2"/>
    <s v="Preservativo Masculino"/>
    <s v="Cores e Sabores"/>
    <x v="4"/>
    <n v="0"/>
  </r>
  <r>
    <x v="4"/>
    <n v="2024"/>
    <x v="2"/>
    <x v="2"/>
    <s v="Preservativo Masculino"/>
    <s v="Cores e Sabores"/>
    <x v="4"/>
    <n v="0"/>
  </r>
  <r>
    <x v="4"/>
    <n v="2024"/>
    <x v="3"/>
    <x v="2"/>
    <s v="Preservativo Masculino"/>
    <s v="Cores e Sabores"/>
    <x v="4"/>
    <n v="0"/>
  </r>
  <r>
    <x v="4"/>
    <n v="2024"/>
    <x v="4"/>
    <x v="2"/>
    <s v="Preservativo Masculino"/>
    <s v="Cores e Sabores"/>
    <x v="4"/>
    <n v="0"/>
  </r>
  <r>
    <x v="4"/>
    <n v="2024"/>
    <x v="5"/>
    <x v="2"/>
    <s v="Preservativo Masculino"/>
    <s v="Cores e Sabores"/>
    <x v="4"/>
    <n v="0"/>
  </r>
  <r>
    <x v="4"/>
    <n v="2024"/>
    <x v="6"/>
    <x v="2"/>
    <s v="Preservativo Masculino"/>
    <s v="Cores e Sabores"/>
    <x v="4"/>
    <n v="0"/>
  </r>
  <r>
    <x v="4"/>
    <n v="2024"/>
    <x v="7"/>
    <x v="2"/>
    <s v="Preservativo Masculino"/>
    <s v="Cores e Sabores"/>
    <x v="4"/>
    <n v="0"/>
  </r>
  <r>
    <x v="4"/>
    <n v="2024"/>
    <x v="8"/>
    <x v="2"/>
    <s v="Preservativo Masculino"/>
    <s v="Cores e Sabores"/>
    <x v="4"/>
    <n v="2039"/>
  </r>
  <r>
    <x v="4"/>
    <n v="2024"/>
    <x v="9"/>
    <x v="2"/>
    <s v="Preservativo Masculino"/>
    <s v="Cores e Sabores"/>
    <x v="4"/>
    <n v="45"/>
  </r>
  <r>
    <x v="4"/>
    <n v="2024"/>
    <x v="10"/>
    <x v="2"/>
    <s v="Preservativo Masculino"/>
    <s v="Cores e Sabores"/>
    <x v="4"/>
    <n v="4100"/>
  </r>
  <r>
    <x v="4"/>
    <n v="2024"/>
    <x v="11"/>
    <x v="2"/>
    <s v="Preservativo Masculino"/>
    <s v="Cores e Sabores"/>
    <x v="4"/>
    <n v="2277"/>
  </r>
  <r>
    <x v="5"/>
    <n v="2024"/>
    <x v="0"/>
    <x v="2"/>
    <s v="Preservativo Masculino"/>
    <s v="Cores e Sabores"/>
    <x v="5"/>
    <n v="0"/>
  </r>
  <r>
    <x v="5"/>
    <n v="2024"/>
    <x v="1"/>
    <x v="2"/>
    <s v="Preservativo Masculino"/>
    <s v="Cores e Sabores"/>
    <x v="5"/>
    <n v="0"/>
  </r>
  <r>
    <x v="5"/>
    <n v="2024"/>
    <x v="2"/>
    <x v="2"/>
    <s v="Preservativo Masculino"/>
    <s v="Cores e Sabores"/>
    <x v="5"/>
    <n v="0"/>
  </r>
  <r>
    <x v="5"/>
    <n v="2024"/>
    <x v="3"/>
    <x v="2"/>
    <s v="Preservativo Masculino"/>
    <s v="Cores e Sabores"/>
    <x v="5"/>
    <n v="0"/>
  </r>
  <r>
    <x v="5"/>
    <n v="2024"/>
    <x v="4"/>
    <x v="2"/>
    <s v="Preservativo Masculino"/>
    <s v="Cores e Sabores"/>
    <x v="5"/>
    <n v="0"/>
  </r>
  <r>
    <x v="5"/>
    <n v="2024"/>
    <x v="5"/>
    <x v="2"/>
    <s v="Preservativo Masculino"/>
    <s v="Cores e Sabores"/>
    <x v="5"/>
    <n v="0"/>
  </r>
  <r>
    <x v="5"/>
    <n v="2024"/>
    <x v="6"/>
    <x v="2"/>
    <s v="Preservativo Masculino"/>
    <s v="Cores e Sabores"/>
    <x v="5"/>
    <n v="0"/>
  </r>
  <r>
    <x v="5"/>
    <n v="2024"/>
    <x v="7"/>
    <x v="2"/>
    <s v="Preservativo Masculino"/>
    <s v="Cores e Sabores"/>
    <x v="5"/>
    <n v="0"/>
  </r>
  <r>
    <x v="5"/>
    <n v="2024"/>
    <x v="8"/>
    <x v="2"/>
    <s v="Preservativo Masculino"/>
    <s v="Cores e Sabores"/>
    <x v="5"/>
    <n v="2991"/>
  </r>
  <r>
    <x v="5"/>
    <n v="2024"/>
    <x v="9"/>
    <x v="2"/>
    <s v="Preservativo Masculino"/>
    <s v="Cores e Sabores"/>
    <x v="5"/>
    <n v="18"/>
  </r>
  <r>
    <x v="5"/>
    <n v="2024"/>
    <x v="10"/>
    <x v="2"/>
    <s v="Preservativo Masculino"/>
    <s v="Cores e Sabores"/>
    <x v="5"/>
    <n v="2982"/>
  </r>
  <r>
    <x v="5"/>
    <n v="2024"/>
    <x v="11"/>
    <x v="2"/>
    <s v="Preservativo Masculino"/>
    <s v="Cores e Sabores"/>
    <x v="5"/>
    <n v="3035"/>
  </r>
  <r>
    <x v="6"/>
    <n v="2024"/>
    <x v="0"/>
    <x v="2"/>
    <s v="Preservativo Masculino"/>
    <s v="Cores e Sabores"/>
    <x v="6"/>
    <n v="0"/>
  </r>
  <r>
    <x v="6"/>
    <n v="2024"/>
    <x v="1"/>
    <x v="2"/>
    <s v="Preservativo Masculino"/>
    <s v="Cores e Sabores"/>
    <x v="6"/>
    <n v="0"/>
  </r>
  <r>
    <x v="6"/>
    <n v="2024"/>
    <x v="2"/>
    <x v="2"/>
    <s v="Preservativo Masculino"/>
    <s v="Cores e Sabores"/>
    <x v="6"/>
    <n v="0"/>
  </r>
  <r>
    <x v="6"/>
    <n v="2024"/>
    <x v="3"/>
    <x v="2"/>
    <s v="Preservativo Masculino"/>
    <s v="Cores e Sabores"/>
    <x v="6"/>
    <n v="0"/>
  </r>
  <r>
    <x v="6"/>
    <n v="2024"/>
    <x v="4"/>
    <x v="2"/>
    <s v="Preservativo Masculino"/>
    <s v="Cores e Sabores"/>
    <x v="6"/>
    <n v="0"/>
  </r>
  <r>
    <x v="6"/>
    <n v="2024"/>
    <x v="5"/>
    <x v="2"/>
    <s v="Preservativo Masculino"/>
    <s v="Cores e Sabores"/>
    <x v="6"/>
    <n v="0"/>
  </r>
  <r>
    <x v="6"/>
    <n v="2024"/>
    <x v="6"/>
    <x v="2"/>
    <s v="Preservativo Masculino"/>
    <s v="Cores e Sabores"/>
    <x v="6"/>
    <n v="0"/>
  </r>
  <r>
    <x v="6"/>
    <n v="2024"/>
    <x v="7"/>
    <x v="2"/>
    <s v="Preservativo Masculino"/>
    <s v="Cores e Sabores"/>
    <x v="6"/>
    <n v="0"/>
  </r>
  <r>
    <x v="6"/>
    <n v="2024"/>
    <x v="8"/>
    <x v="2"/>
    <s v="Preservativo Masculino"/>
    <s v="Cores e Sabores"/>
    <x v="6"/>
    <n v="0"/>
  </r>
  <r>
    <x v="6"/>
    <n v="2024"/>
    <x v="9"/>
    <x v="2"/>
    <s v="Preservativo Masculino"/>
    <s v="Cores e Sabores"/>
    <x v="6"/>
    <n v="0"/>
  </r>
  <r>
    <x v="6"/>
    <n v="2024"/>
    <x v="10"/>
    <x v="2"/>
    <s v="Preservativo Masculino"/>
    <s v="Cores e Sabores"/>
    <x v="6"/>
    <n v="0"/>
  </r>
  <r>
    <x v="6"/>
    <n v="2024"/>
    <x v="11"/>
    <x v="2"/>
    <s v="Preservativo Masculino"/>
    <s v="Cores e Sabores"/>
    <x v="6"/>
    <n v="0"/>
  </r>
  <r>
    <x v="7"/>
    <n v="2024"/>
    <x v="0"/>
    <x v="2"/>
    <s v="Preservativo Masculino"/>
    <s v="Cores e Sabores"/>
    <x v="7"/>
    <n v="0"/>
  </r>
  <r>
    <x v="7"/>
    <n v="2024"/>
    <x v="1"/>
    <x v="2"/>
    <s v="Preservativo Masculino"/>
    <s v="Cores e Sabores"/>
    <x v="7"/>
    <n v="0"/>
  </r>
  <r>
    <x v="7"/>
    <n v="2024"/>
    <x v="2"/>
    <x v="2"/>
    <s v="Preservativo Masculino"/>
    <s v="Cores e Sabores"/>
    <x v="7"/>
    <n v="0"/>
  </r>
  <r>
    <x v="7"/>
    <n v="2024"/>
    <x v="3"/>
    <x v="2"/>
    <s v="Preservativo Masculino"/>
    <s v="Cores e Sabores"/>
    <x v="7"/>
    <n v="0"/>
  </r>
  <r>
    <x v="7"/>
    <n v="2024"/>
    <x v="4"/>
    <x v="2"/>
    <s v="Preservativo Masculino"/>
    <s v="Cores e Sabores"/>
    <x v="7"/>
    <n v="0"/>
  </r>
  <r>
    <x v="7"/>
    <n v="2024"/>
    <x v="5"/>
    <x v="2"/>
    <s v="Preservativo Masculino"/>
    <s v="Cores e Sabores"/>
    <x v="7"/>
    <n v="0"/>
  </r>
  <r>
    <x v="7"/>
    <n v="2024"/>
    <x v="6"/>
    <x v="2"/>
    <s v="Preservativo Masculino"/>
    <s v="Cores e Sabores"/>
    <x v="7"/>
    <n v="0"/>
  </r>
  <r>
    <x v="7"/>
    <n v="2024"/>
    <x v="7"/>
    <x v="2"/>
    <s v="Preservativo Masculino"/>
    <s v="Cores e Sabores"/>
    <x v="7"/>
    <n v="0"/>
  </r>
  <r>
    <x v="7"/>
    <n v="2024"/>
    <x v="8"/>
    <x v="2"/>
    <s v="Preservativo Masculino"/>
    <s v="Cores e Sabores"/>
    <x v="7"/>
    <n v="22"/>
  </r>
  <r>
    <x v="7"/>
    <n v="2024"/>
    <x v="9"/>
    <x v="2"/>
    <s v="Preservativo Masculino"/>
    <s v="Cores e Sabores"/>
    <x v="7"/>
    <n v="2478"/>
  </r>
  <r>
    <x v="7"/>
    <n v="2024"/>
    <x v="10"/>
    <x v="2"/>
    <s v="Preservativo Masculino"/>
    <s v="Cores e Sabores"/>
    <x v="7"/>
    <n v="2982"/>
  </r>
  <r>
    <x v="7"/>
    <n v="2024"/>
    <x v="11"/>
    <x v="2"/>
    <s v="Preservativo Masculino"/>
    <s v="Cores e Sabores"/>
    <x v="7"/>
    <n v="3328"/>
  </r>
  <r>
    <x v="8"/>
    <n v="2024"/>
    <x v="0"/>
    <x v="2"/>
    <s v="Preservativo Masculino"/>
    <s v="Cores e Sabores"/>
    <x v="8"/>
    <n v="0"/>
  </r>
  <r>
    <x v="8"/>
    <n v="2024"/>
    <x v="1"/>
    <x v="2"/>
    <s v="Preservativo Masculino"/>
    <s v="Cores e Sabores"/>
    <x v="8"/>
    <n v="0"/>
  </r>
  <r>
    <x v="8"/>
    <n v="2024"/>
    <x v="2"/>
    <x v="2"/>
    <s v="Preservativo Masculino"/>
    <s v="Cores e Sabores"/>
    <x v="8"/>
    <n v="0"/>
  </r>
  <r>
    <x v="8"/>
    <n v="2024"/>
    <x v="3"/>
    <x v="2"/>
    <s v="Preservativo Masculino"/>
    <s v="Cores e Sabores"/>
    <x v="8"/>
    <n v="0"/>
  </r>
  <r>
    <x v="8"/>
    <n v="2024"/>
    <x v="4"/>
    <x v="2"/>
    <s v="Preservativo Masculino"/>
    <s v="Cores e Sabores"/>
    <x v="8"/>
    <n v="0"/>
  </r>
  <r>
    <x v="8"/>
    <n v="2024"/>
    <x v="5"/>
    <x v="2"/>
    <s v="Preservativo Masculino"/>
    <s v="Cores e Sabores"/>
    <x v="8"/>
    <n v="0"/>
  </r>
  <r>
    <x v="8"/>
    <n v="2024"/>
    <x v="6"/>
    <x v="2"/>
    <s v="Preservativo Masculino"/>
    <s v="Cores e Sabores"/>
    <x v="8"/>
    <n v="0"/>
  </r>
  <r>
    <x v="8"/>
    <n v="2024"/>
    <x v="7"/>
    <x v="2"/>
    <s v="Preservativo Masculino"/>
    <s v="Cores e Sabores"/>
    <x v="8"/>
    <n v="0"/>
  </r>
  <r>
    <x v="8"/>
    <n v="2024"/>
    <x v="8"/>
    <x v="2"/>
    <s v="Preservativo Masculino"/>
    <s v="Cores e Sabores"/>
    <x v="8"/>
    <n v="1833"/>
  </r>
  <r>
    <x v="8"/>
    <n v="2024"/>
    <x v="9"/>
    <x v="2"/>
    <s v="Preservativo Masculino"/>
    <s v="Cores e Sabores"/>
    <x v="8"/>
    <n v="1893"/>
  </r>
  <r>
    <x v="8"/>
    <n v="2024"/>
    <x v="10"/>
    <x v="2"/>
    <s v="Preservativo Masculino"/>
    <s v="Cores e Sabores"/>
    <x v="8"/>
    <n v="1234"/>
  </r>
  <r>
    <x v="8"/>
    <n v="2024"/>
    <x v="11"/>
    <x v="2"/>
    <s v="Preservativo Masculino"/>
    <s v="Cores e Sabores"/>
    <x v="8"/>
    <n v="2268"/>
  </r>
  <r>
    <x v="9"/>
    <n v="2024"/>
    <x v="0"/>
    <x v="2"/>
    <s v="Preservativo Masculino"/>
    <s v="Cores e Sabores"/>
    <x v="9"/>
    <n v="0"/>
  </r>
  <r>
    <x v="9"/>
    <n v="2024"/>
    <x v="1"/>
    <x v="2"/>
    <s v="Preservativo Masculino"/>
    <s v="Cores e Sabores"/>
    <x v="9"/>
    <n v="0"/>
  </r>
  <r>
    <x v="9"/>
    <n v="2024"/>
    <x v="2"/>
    <x v="2"/>
    <s v="Preservativo Masculino"/>
    <s v="Cores e Sabores"/>
    <x v="9"/>
    <n v="0"/>
  </r>
  <r>
    <x v="9"/>
    <n v="2024"/>
    <x v="3"/>
    <x v="2"/>
    <s v="Preservativo Masculino"/>
    <s v="Cores e Sabores"/>
    <x v="9"/>
    <n v="0"/>
  </r>
  <r>
    <x v="9"/>
    <n v="2024"/>
    <x v="4"/>
    <x v="2"/>
    <s v="Preservativo Masculino"/>
    <s v="Cores e Sabores"/>
    <x v="9"/>
    <n v="0"/>
  </r>
  <r>
    <x v="9"/>
    <n v="2024"/>
    <x v="5"/>
    <x v="2"/>
    <s v="Preservativo Masculino"/>
    <s v="Cores e Sabores"/>
    <x v="9"/>
    <n v="0"/>
  </r>
  <r>
    <x v="9"/>
    <n v="2024"/>
    <x v="6"/>
    <x v="2"/>
    <s v="Preservativo Masculino"/>
    <s v="Cores e Sabores"/>
    <x v="9"/>
    <n v="0"/>
  </r>
  <r>
    <x v="9"/>
    <n v="2024"/>
    <x v="7"/>
    <x v="2"/>
    <s v="Preservativo Masculino"/>
    <s v="Cores e Sabores"/>
    <x v="9"/>
    <n v="0"/>
  </r>
  <r>
    <x v="9"/>
    <n v="2024"/>
    <x v="8"/>
    <x v="2"/>
    <s v="Preservativo Masculino"/>
    <s v="Cores e Sabores"/>
    <x v="9"/>
    <n v="3"/>
  </r>
  <r>
    <x v="9"/>
    <n v="2024"/>
    <x v="9"/>
    <x v="2"/>
    <s v="Preservativo Masculino"/>
    <s v="Cores e Sabores"/>
    <x v="9"/>
    <n v="2979"/>
  </r>
  <r>
    <x v="9"/>
    <n v="2024"/>
    <x v="10"/>
    <x v="2"/>
    <s v="Preservativo Masculino"/>
    <s v="Cores e Sabores"/>
    <x v="9"/>
    <n v="15"/>
  </r>
  <r>
    <x v="9"/>
    <n v="2024"/>
    <x v="11"/>
    <x v="2"/>
    <s v="Preservativo Masculino"/>
    <s v="Cores e Sabores"/>
    <x v="9"/>
    <n v="4432"/>
  </r>
  <r>
    <x v="10"/>
    <n v="2024"/>
    <x v="0"/>
    <x v="2"/>
    <s v="Preservativo Masculino"/>
    <s v="Cores e Sabores"/>
    <x v="10"/>
    <n v="0"/>
  </r>
  <r>
    <x v="10"/>
    <n v="2024"/>
    <x v="1"/>
    <x v="2"/>
    <s v="Preservativo Masculino"/>
    <s v="Cores e Sabores"/>
    <x v="10"/>
    <n v="0"/>
  </r>
  <r>
    <x v="10"/>
    <n v="2024"/>
    <x v="2"/>
    <x v="2"/>
    <s v="Preservativo Masculino"/>
    <s v="Cores e Sabores"/>
    <x v="10"/>
    <n v="0"/>
  </r>
  <r>
    <x v="10"/>
    <n v="2024"/>
    <x v="3"/>
    <x v="2"/>
    <s v="Preservativo Masculino"/>
    <s v="Cores e Sabores"/>
    <x v="10"/>
    <n v="0"/>
  </r>
  <r>
    <x v="10"/>
    <n v="2024"/>
    <x v="4"/>
    <x v="2"/>
    <s v="Preservativo Masculino"/>
    <s v="Cores e Sabores"/>
    <x v="10"/>
    <n v="0"/>
  </r>
  <r>
    <x v="10"/>
    <n v="2024"/>
    <x v="5"/>
    <x v="2"/>
    <s v="Preservativo Masculino"/>
    <s v="Cores e Sabores"/>
    <x v="10"/>
    <n v="0"/>
  </r>
  <r>
    <x v="10"/>
    <n v="2024"/>
    <x v="6"/>
    <x v="2"/>
    <s v="Preservativo Masculino"/>
    <s v="Cores e Sabores"/>
    <x v="10"/>
    <n v="0"/>
  </r>
  <r>
    <x v="10"/>
    <n v="2024"/>
    <x v="7"/>
    <x v="2"/>
    <s v="Preservativo Masculino"/>
    <s v="Cores e Sabores"/>
    <x v="10"/>
    <n v="0"/>
  </r>
  <r>
    <x v="10"/>
    <n v="2024"/>
    <x v="8"/>
    <x v="2"/>
    <s v="Preservativo Masculino"/>
    <s v="Cores e Sabores"/>
    <x v="10"/>
    <n v="2"/>
  </r>
  <r>
    <x v="10"/>
    <n v="2024"/>
    <x v="9"/>
    <x v="2"/>
    <s v="Preservativo Masculino"/>
    <s v="Cores e Sabores"/>
    <x v="10"/>
    <n v="0"/>
  </r>
  <r>
    <x v="10"/>
    <n v="2024"/>
    <x v="10"/>
    <x v="2"/>
    <s v="Preservativo Masculino"/>
    <s v="Cores e Sabores"/>
    <x v="10"/>
    <n v="0"/>
  </r>
  <r>
    <x v="10"/>
    <n v="2024"/>
    <x v="11"/>
    <x v="2"/>
    <s v="Preservativo Masculino"/>
    <s v="Cores e Sabores"/>
    <x v="10"/>
    <n v="2011"/>
  </r>
  <r>
    <x v="11"/>
    <n v="2024"/>
    <x v="0"/>
    <x v="2"/>
    <s v="Preservativo Masculino"/>
    <s v="Cores e Sabores"/>
    <x v="11"/>
    <n v="0"/>
  </r>
  <r>
    <x v="11"/>
    <n v="2024"/>
    <x v="1"/>
    <x v="2"/>
    <s v="Preservativo Masculino"/>
    <s v="Cores e Sabores"/>
    <x v="11"/>
    <n v="0"/>
  </r>
  <r>
    <x v="11"/>
    <n v="2024"/>
    <x v="2"/>
    <x v="2"/>
    <s v="Preservativo Masculino"/>
    <s v="Cores e Sabores"/>
    <x v="11"/>
    <n v="0"/>
  </r>
  <r>
    <x v="11"/>
    <n v="2024"/>
    <x v="3"/>
    <x v="2"/>
    <s v="Preservativo Masculino"/>
    <s v="Cores e Sabores"/>
    <x v="11"/>
    <n v="0"/>
  </r>
  <r>
    <x v="11"/>
    <n v="2024"/>
    <x v="4"/>
    <x v="2"/>
    <s v="Preservativo Masculino"/>
    <s v="Cores e Sabores"/>
    <x v="11"/>
    <n v="0"/>
  </r>
  <r>
    <x v="11"/>
    <n v="2024"/>
    <x v="5"/>
    <x v="2"/>
    <s v="Preservativo Masculino"/>
    <s v="Cores e Sabores"/>
    <x v="11"/>
    <n v="0"/>
  </r>
  <r>
    <x v="11"/>
    <n v="2024"/>
    <x v="6"/>
    <x v="2"/>
    <s v="Preservativo Masculino"/>
    <s v="Cores e Sabores"/>
    <x v="11"/>
    <n v="0"/>
  </r>
  <r>
    <x v="11"/>
    <n v="2024"/>
    <x v="7"/>
    <x v="2"/>
    <s v="Preservativo Masculino"/>
    <s v="Cores e Sabores"/>
    <x v="11"/>
    <n v="0"/>
  </r>
  <r>
    <x v="11"/>
    <n v="2024"/>
    <x v="8"/>
    <x v="2"/>
    <s v="Preservativo Masculino"/>
    <s v="Cores e Sabores"/>
    <x v="11"/>
    <n v="1822"/>
  </r>
  <r>
    <x v="11"/>
    <n v="2024"/>
    <x v="9"/>
    <x v="2"/>
    <s v="Preservativo Masculino"/>
    <s v="Cores e Sabores"/>
    <x v="11"/>
    <n v="2095"/>
  </r>
  <r>
    <x v="11"/>
    <n v="2024"/>
    <x v="10"/>
    <x v="2"/>
    <s v="Preservativo Masculino"/>
    <s v="Cores e Sabores"/>
    <x v="11"/>
    <n v="54"/>
  </r>
  <r>
    <x v="11"/>
    <n v="2024"/>
    <x v="11"/>
    <x v="2"/>
    <s v="Preservativo Masculino"/>
    <s v="Cores e Sabores"/>
    <x v="11"/>
    <n v="3"/>
  </r>
  <r>
    <x v="12"/>
    <n v="2024"/>
    <x v="0"/>
    <x v="2"/>
    <s v="Preservativo Masculino"/>
    <s v="Cores e Sabores"/>
    <x v="12"/>
    <n v="0"/>
  </r>
  <r>
    <x v="12"/>
    <n v="2024"/>
    <x v="1"/>
    <x v="2"/>
    <s v="Preservativo Masculino"/>
    <s v="Cores e Sabores"/>
    <x v="12"/>
    <n v="0"/>
  </r>
  <r>
    <x v="12"/>
    <n v="2024"/>
    <x v="2"/>
    <x v="2"/>
    <s v="Preservativo Masculino"/>
    <s v="Cores e Sabores"/>
    <x v="12"/>
    <n v="0"/>
  </r>
  <r>
    <x v="12"/>
    <n v="2024"/>
    <x v="3"/>
    <x v="2"/>
    <s v="Preservativo Masculino"/>
    <s v="Cores e Sabores"/>
    <x v="12"/>
    <n v="0"/>
  </r>
  <r>
    <x v="12"/>
    <n v="2024"/>
    <x v="4"/>
    <x v="2"/>
    <s v="Preservativo Masculino"/>
    <s v="Cores e Sabores"/>
    <x v="12"/>
    <n v="0"/>
  </r>
  <r>
    <x v="12"/>
    <n v="2024"/>
    <x v="5"/>
    <x v="2"/>
    <s v="Preservativo Masculino"/>
    <s v="Cores e Sabores"/>
    <x v="12"/>
    <n v="0"/>
  </r>
  <r>
    <x v="12"/>
    <n v="2024"/>
    <x v="6"/>
    <x v="2"/>
    <s v="Preservativo Masculino"/>
    <s v="Cores e Sabores"/>
    <x v="12"/>
    <n v="0"/>
  </r>
  <r>
    <x v="12"/>
    <n v="2024"/>
    <x v="7"/>
    <x v="2"/>
    <s v="Preservativo Masculino"/>
    <s v="Cores e Sabores"/>
    <x v="12"/>
    <n v="0"/>
  </r>
  <r>
    <x v="12"/>
    <n v="2024"/>
    <x v="8"/>
    <x v="2"/>
    <s v="Preservativo Masculino"/>
    <s v="Cores e Sabores"/>
    <x v="12"/>
    <n v="1096"/>
  </r>
  <r>
    <x v="12"/>
    <n v="2024"/>
    <x v="9"/>
    <x v="2"/>
    <s v="Preservativo Masculino"/>
    <s v="Cores e Sabores"/>
    <x v="12"/>
    <n v="7"/>
  </r>
  <r>
    <x v="12"/>
    <n v="2024"/>
    <x v="10"/>
    <x v="2"/>
    <s v="Preservativo Masculino"/>
    <s v="Cores e Sabores"/>
    <x v="12"/>
    <n v="3"/>
  </r>
  <r>
    <x v="12"/>
    <n v="2024"/>
    <x v="11"/>
    <x v="2"/>
    <s v="Preservativo Masculino"/>
    <s v="Cores e Sabores"/>
    <x v="12"/>
    <n v="17"/>
  </r>
  <r>
    <x v="13"/>
    <n v="2024"/>
    <x v="0"/>
    <x v="2"/>
    <s v="Preservativo Masculino"/>
    <s v="Cores e Sabores"/>
    <x v="13"/>
    <n v="0"/>
  </r>
  <r>
    <x v="13"/>
    <n v="2024"/>
    <x v="1"/>
    <x v="2"/>
    <s v="Preservativo Masculino"/>
    <s v="Cores e Sabores"/>
    <x v="13"/>
    <n v="0"/>
  </r>
  <r>
    <x v="13"/>
    <n v="2024"/>
    <x v="2"/>
    <x v="2"/>
    <s v="Preservativo Masculino"/>
    <s v="Cores e Sabores"/>
    <x v="13"/>
    <n v="0"/>
  </r>
  <r>
    <x v="13"/>
    <n v="2024"/>
    <x v="3"/>
    <x v="2"/>
    <s v="Preservativo Masculino"/>
    <s v="Cores e Sabores"/>
    <x v="13"/>
    <n v="0"/>
  </r>
  <r>
    <x v="13"/>
    <n v="2024"/>
    <x v="4"/>
    <x v="2"/>
    <s v="Preservativo Masculino"/>
    <s v="Cores e Sabores"/>
    <x v="13"/>
    <n v="0"/>
  </r>
  <r>
    <x v="13"/>
    <n v="2024"/>
    <x v="5"/>
    <x v="2"/>
    <s v="Preservativo Masculino"/>
    <s v="Cores e Sabores"/>
    <x v="13"/>
    <n v="0"/>
  </r>
  <r>
    <x v="13"/>
    <n v="2024"/>
    <x v="6"/>
    <x v="2"/>
    <s v="Preservativo Masculino"/>
    <s v="Cores e Sabores"/>
    <x v="13"/>
    <n v="0"/>
  </r>
  <r>
    <x v="13"/>
    <n v="2024"/>
    <x v="7"/>
    <x v="2"/>
    <s v="Preservativo Masculino"/>
    <s v="Cores e Sabores"/>
    <x v="13"/>
    <n v="0"/>
  </r>
  <r>
    <x v="13"/>
    <n v="2024"/>
    <x v="8"/>
    <x v="2"/>
    <s v="Preservativo Masculino"/>
    <s v="Cores e Sabores"/>
    <x v="13"/>
    <n v="2"/>
  </r>
  <r>
    <x v="13"/>
    <n v="2024"/>
    <x v="9"/>
    <x v="2"/>
    <s v="Preservativo Masculino"/>
    <s v="Cores e Sabores"/>
    <x v="13"/>
    <n v="0"/>
  </r>
  <r>
    <x v="13"/>
    <n v="2024"/>
    <x v="10"/>
    <x v="2"/>
    <s v="Preservativo Masculino"/>
    <s v="Cores e Sabores"/>
    <x v="13"/>
    <n v="2621"/>
  </r>
  <r>
    <x v="13"/>
    <n v="2024"/>
    <x v="11"/>
    <x v="2"/>
    <s v="Preservativo Masculino"/>
    <s v="Cores e Sabores"/>
    <x v="13"/>
    <n v="1256"/>
  </r>
  <r>
    <x v="14"/>
    <n v="2024"/>
    <x v="0"/>
    <x v="2"/>
    <s v="Preservativo Masculino"/>
    <s v="Cores e Sabores"/>
    <x v="14"/>
    <n v="0"/>
  </r>
  <r>
    <x v="14"/>
    <n v="2024"/>
    <x v="1"/>
    <x v="2"/>
    <s v="Preservativo Masculino"/>
    <s v="Cores e Sabores"/>
    <x v="14"/>
    <n v="0"/>
  </r>
  <r>
    <x v="14"/>
    <n v="2024"/>
    <x v="2"/>
    <x v="2"/>
    <s v="Preservativo Masculino"/>
    <s v="Cores e Sabores"/>
    <x v="14"/>
    <n v="0"/>
  </r>
  <r>
    <x v="14"/>
    <n v="2024"/>
    <x v="3"/>
    <x v="2"/>
    <s v="Preservativo Masculino"/>
    <s v="Cores e Sabores"/>
    <x v="14"/>
    <n v="0"/>
  </r>
  <r>
    <x v="14"/>
    <n v="2024"/>
    <x v="4"/>
    <x v="2"/>
    <s v="Preservativo Masculino"/>
    <s v="Cores e Sabores"/>
    <x v="14"/>
    <n v="0"/>
  </r>
  <r>
    <x v="14"/>
    <n v="2024"/>
    <x v="5"/>
    <x v="2"/>
    <s v="Preservativo Masculino"/>
    <s v="Cores e Sabores"/>
    <x v="14"/>
    <n v="0"/>
  </r>
  <r>
    <x v="14"/>
    <n v="2024"/>
    <x v="6"/>
    <x v="2"/>
    <s v="Preservativo Masculino"/>
    <s v="Cores e Sabores"/>
    <x v="14"/>
    <n v="0"/>
  </r>
  <r>
    <x v="14"/>
    <n v="2024"/>
    <x v="7"/>
    <x v="2"/>
    <s v="Preservativo Masculino"/>
    <s v="Cores e Sabores"/>
    <x v="14"/>
    <n v="0"/>
  </r>
  <r>
    <x v="14"/>
    <n v="2024"/>
    <x v="8"/>
    <x v="2"/>
    <s v="Preservativo Masculino"/>
    <s v="Cores e Sabores"/>
    <x v="14"/>
    <n v="1313"/>
  </r>
  <r>
    <x v="14"/>
    <n v="2024"/>
    <x v="9"/>
    <x v="2"/>
    <s v="Preservativo Masculino"/>
    <s v="Cores e Sabores"/>
    <x v="14"/>
    <n v="1319"/>
  </r>
  <r>
    <x v="14"/>
    <n v="2024"/>
    <x v="10"/>
    <x v="2"/>
    <s v="Preservativo Masculino"/>
    <s v="Cores e Sabores"/>
    <x v="14"/>
    <n v="1240"/>
  </r>
  <r>
    <x v="14"/>
    <n v="2024"/>
    <x v="11"/>
    <x v="2"/>
    <s v="Preservativo Masculino"/>
    <s v="Cores e Sabores"/>
    <x v="14"/>
    <n v="1009"/>
  </r>
  <r>
    <x v="15"/>
    <n v="2024"/>
    <x v="0"/>
    <x v="2"/>
    <s v="Preservativo Masculino"/>
    <s v="Performance"/>
    <x v="15"/>
    <n v="0"/>
  </r>
  <r>
    <x v="15"/>
    <n v="2024"/>
    <x v="1"/>
    <x v="2"/>
    <s v="Preservativo Masculino"/>
    <s v="Performance"/>
    <x v="15"/>
    <n v="0"/>
  </r>
  <r>
    <x v="15"/>
    <n v="2024"/>
    <x v="2"/>
    <x v="2"/>
    <s v="Preservativo Masculino"/>
    <s v="Performance"/>
    <x v="15"/>
    <n v="0"/>
  </r>
  <r>
    <x v="15"/>
    <n v="2024"/>
    <x v="3"/>
    <x v="2"/>
    <s v="Preservativo Masculino"/>
    <s v="Performance"/>
    <x v="15"/>
    <n v="0"/>
  </r>
  <r>
    <x v="15"/>
    <n v="2024"/>
    <x v="4"/>
    <x v="2"/>
    <s v="Preservativo Masculino"/>
    <s v="Performance"/>
    <x v="15"/>
    <n v="0"/>
  </r>
  <r>
    <x v="15"/>
    <n v="2024"/>
    <x v="5"/>
    <x v="2"/>
    <s v="Preservativo Masculino"/>
    <s v="Performance"/>
    <x v="15"/>
    <n v="0"/>
  </r>
  <r>
    <x v="15"/>
    <n v="2024"/>
    <x v="6"/>
    <x v="2"/>
    <s v="Preservativo Masculino"/>
    <s v="Performance"/>
    <x v="15"/>
    <n v="0"/>
  </r>
  <r>
    <x v="15"/>
    <n v="2024"/>
    <x v="7"/>
    <x v="2"/>
    <s v="Preservativo Masculino"/>
    <s v="Performance"/>
    <x v="15"/>
    <n v="0"/>
  </r>
  <r>
    <x v="15"/>
    <n v="2024"/>
    <x v="8"/>
    <x v="2"/>
    <s v="Preservativo Masculino"/>
    <s v="Performance"/>
    <x v="15"/>
    <n v="9863"/>
  </r>
  <r>
    <x v="15"/>
    <n v="2024"/>
    <x v="9"/>
    <x v="2"/>
    <s v="Preservativo Masculino"/>
    <s v="Performance"/>
    <x v="15"/>
    <n v="5762"/>
  </r>
  <r>
    <x v="15"/>
    <n v="2024"/>
    <x v="10"/>
    <x v="2"/>
    <s v="Preservativo Masculino"/>
    <s v="Performance"/>
    <x v="15"/>
    <n v="4683"/>
  </r>
  <r>
    <x v="15"/>
    <n v="2024"/>
    <x v="11"/>
    <x v="2"/>
    <s v="Preservativo Masculino"/>
    <s v="Performance"/>
    <x v="15"/>
    <n v="4561"/>
  </r>
  <r>
    <x v="16"/>
    <n v="2024"/>
    <x v="0"/>
    <x v="2"/>
    <s v="Preservativo Masculino"/>
    <s v="Performance"/>
    <x v="16"/>
    <n v="0"/>
  </r>
  <r>
    <x v="16"/>
    <n v="2024"/>
    <x v="1"/>
    <x v="2"/>
    <s v="Preservativo Masculino"/>
    <s v="Performance"/>
    <x v="16"/>
    <n v="0"/>
  </r>
  <r>
    <x v="16"/>
    <n v="2024"/>
    <x v="2"/>
    <x v="2"/>
    <s v="Preservativo Masculino"/>
    <s v="Performance"/>
    <x v="16"/>
    <n v="0"/>
  </r>
  <r>
    <x v="16"/>
    <n v="2024"/>
    <x v="3"/>
    <x v="2"/>
    <s v="Preservativo Masculino"/>
    <s v="Performance"/>
    <x v="16"/>
    <n v="0"/>
  </r>
  <r>
    <x v="16"/>
    <n v="2024"/>
    <x v="4"/>
    <x v="2"/>
    <s v="Preservativo Masculino"/>
    <s v="Performance"/>
    <x v="16"/>
    <n v="0"/>
  </r>
  <r>
    <x v="16"/>
    <n v="2024"/>
    <x v="5"/>
    <x v="2"/>
    <s v="Preservativo Masculino"/>
    <s v="Performance"/>
    <x v="16"/>
    <n v="0"/>
  </r>
  <r>
    <x v="16"/>
    <n v="2024"/>
    <x v="6"/>
    <x v="2"/>
    <s v="Preservativo Masculino"/>
    <s v="Performance"/>
    <x v="16"/>
    <n v="0"/>
  </r>
  <r>
    <x v="16"/>
    <n v="2024"/>
    <x v="7"/>
    <x v="2"/>
    <s v="Preservativo Masculino"/>
    <s v="Performance"/>
    <x v="16"/>
    <n v="0"/>
  </r>
  <r>
    <x v="16"/>
    <n v="2024"/>
    <x v="8"/>
    <x v="2"/>
    <s v="Preservativo Masculino"/>
    <s v="Performance"/>
    <x v="16"/>
    <n v="5"/>
  </r>
  <r>
    <x v="16"/>
    <n v="2024"/>
    <x v="9"/>
    <x v="2"/>
    <s v="Preservativo Masculino"/>
    <s v="Performance"/>
    <x v="16"/>
    <n v="2"/>
  </r>
  <r>
    <x v="16"/>
    <n v="2024"/>
    <x v="10"/>
    <x v="2"/>
    <s v="Preservativo Masculino"/>
    <s v="Performance"/>
    <x v="16"/>
    <n v="2974"/>
  </r>
  <r>
    <x v="16"/>
    <n v="2024"/>
    <x v="11"/>
    <x v="2"/>
    <s v="Preservativo Masculino"/>
    <s v="Performance"/>
    <x v="16"/>
    <n v="3961"/>
  </r>
  <r>
    <x v="17"/>
    <n v="2024"/>
    <x v="0"/>
    <x v="2"/>
    <s v="Preservativo Masculino"/>
    <s v="Performance"/>
    <x v="17"/>
    <n v="0"/>
  </r>
  <r>
    <x v="17"/>
    <n v="2024"/>
    <x v="1"/>
    <x v="2"/>
    <s v="Preservativo Masculino"/>
    <s v="Performance"/>
    <x v="17"/>
    <n v="0"/>
  </r>
  <r>
    <x v="17"/>
    <n v="2024"/>
    <x v="2"/>
    <x v="2"/>
    <s v="Preservativo Masculino"/>
    <s v="Performance"/>
    <x v="17"/>
    <n v="0"/>
  </r>
  <r>
    <x v="17"/>
    <n v="2024"/>
    <x v="3"/>
    <x v="2"/>
    <s v="Preservativo Masculino"/>
    <s v="Performance"/>
    <x v="17"/>
    <n v="0"/>
  </r>
  <r>
    <x v="17"/>
    <n v="2024"/>
    <x v="4"/>
    <x v="2"/>
    <s v="Preservativo Masculino"/>
    <s v="Performance"/>
    <x v="17"/>
    <n v="0"/>
  </r>
  <r>
    <x v="17"/>
    <n v="2024"/>
    <x v="5"/>
    <x v="2"/>
    <s v="Preservativo Masculino"/>
    <s v="Performance"/>
    <x v="17"/>
    <n v="0"/>
  </r>
  <r>
    <x v="17"/>
    <n v="2024"/>
    <x v="6"/>
    <x v="2"/>
    <s v="Preservativo Masculino"/>
    <s v="Performance"/>
    <x v="17"/>
    <n v="0"/>
  </r>
  <r>
    <x v="17"/>
    <n v="2024"/>
    <x v="7"/>
    <x v="2"/>
    <s v="Preservativo Masculino"/>
    <s v="Performance"/>
    <x v="17"/>
    <n v="0"/>
  </r>
  <r>
    <x v="17"/>
    <n v="2024"/>
    <x v="8"/>
    <x v="2"/>
    <s v="Preservativo Masculino"/>
    <s v="Performance"/>
    <x v="17"/>
    <n v="175"/>
  </r>
  <r>
    <x v="17"/>
    <n v="2024"/>
    <x v="9"/>
    <x v="2"/>
    <s v="Preservativo Masculino"/>
    <s v="Performance"/>
    <x v="17"/>
    <n v="14"/>
  </r>
  <r>
    <x v="17"/>
    <n v="2024"/>
    <x v="10"/>
    <x v="2"/>
    <s v="Preservativo Masculino"/>
    <s v="Performance"/>
    <x v="17"/>
    <n v="8"/>
  </r>
  <r>
    <x v="17"/>
    <n v="2024"/>
    <x v="11"/>
    <x v="2"/>
    <s v="Preservativo Masculino"/>
    <s v="Performance"/>
    <x v="17"/>
    <n v="5372"/>
  </r>
  <r>
    <x v="18"/>
    <n v="2024"/>
    <x v="0"/>
    <x v="2"/>
    <s v="Preservativo Masculino"/>
    <s v="Performance"/>
    <x v="18"/>
    <n v="0"/>
  </r>
  <r>
    <x v="18"/>
    <n v="2024"/>
    <x v="1"/>
    <x v="2"/>
    <s v="Preservativo Masculino"/>
    <s v="Performance"/>
    <x v="18"/>
    <n v="0"/>
  </r>
  <r>
    <x v="18"/>
    <n v="2024"/>
    <x v="2"/>
    <x v="2"/>
    <s v="Preservativo Masculino"/>
    <s v="Performance"/>
    <x v="18"/>
    <n v="0"/>
  </r>
  <r>
    <x v="18"/>
    <n v="2024"/>
    <x v="3"/>
    <x v="2"/>
    <s v="Preservativo Masculino"/>
    <s v="Performance"/>
    <x v="18"/>
    <n v="0"/>
  </r>
  <r>
    <x v="18"/>
    <n v="2024"/>
    <x v="4"/>
    <x v="2"/>
    <s v="Preservativo Masculino"/>
    <s v="Performance"/>
    <x v="18"/>
    <n v="0"/>
  </r>
  <r>
    <x v="18"/>
    <n v="2024"/>
    <x v="5"/>
    <x v="2"/>
    <s v="Preservativo Masculino"/>
    <s v="Performance"/>
    <x v="18"/>
    <n v="0"/>
  </r>
  <r>
    <x v="18"/>
    <n v="2024"/>
    <x v="6"/>
    <x v="2"/>
    <s v="Preservativo Masculino"/>
    <s v="Performance"/>
    <x v="18"/>
    <n v="0"/>
  </r>
  <r>
    <x v="18"/>
    <n v="2024"/>
    <x v="7"/>
    <x v="2"/>
    <s v="Preservativo Masculino"/>
    <s v="Performance"/>
    <x v="18"/>
    <n v="0"/>
  </r>
  <r>
    <x v="18"/>
    <n v="2024"/>
    <x v="8"/>
    <x v="2"/>
    <s v="Preservativo Masculino"/>
    <s v="Performance"/>
    <x v="18"/>
    <n v="1"/>
  </r>
  <r>
    <x v="18"/>
    <n v="2024"/>
    <x v="9"/>
    <x v="2"/>
    <s v="Preservativo Masculino"/>
    <s v="Performance"/>
    <x v="18"/>
    <n v="39"/>
  </r>
  <r>
    <x v="18"/>
    <n v="2024"/>
    <x v="10"/>
    <x v="2"/>
    <s v="Preservativo Masculino"/>
    <s v="Performance"/>
    <x v="18"/>
    <n v="2"/>
  </r>
  <r>
    <x v="18"/>
    <n v="2024"/>
    <x v="11"/>
    <x v="2"/>
    <s v="Preservativo Masculino"/>
    <s v="Performance"/>
    <x v="18"/>
    <n v="2930"/>
  </r>
  <r>
    <x v="19"/>
    <n v="2024"/>
    <x v="0"/>
    <x v="2"/>
    <s v="Preservativo Masculino"/>
    <s v="Performance"/>
    <x v="19"/>
    <n v="0"/>
  </r>
  <r>
    <x v="19"/>
    <n v="2024"/>
    <x v="1"/>
    <x v="2"/>
    <s v="Preservativo Masculino"/>
    <s v="Performance"/>
    <x v="19"/>
    <n v="0"/>
  </r>
  <r>
    <x v="19"/>
    <n v="2024"/>
    <x v="2"/>
    <x v="2"/>
    <s v="Preservativo Masculino"/>
    <s v="Performance"/>
    <x v="19"/>
    <n v="0"/>
  </r>
  <r>
    <x v="19"/>
    <n v="2024"/>
    <x v="3"/>
    <x v="2"/>
    <s v="Preservativo Masculino"/>
    <s v="Performance"/>
    <x v="19"/>
    <n v="0"/>
  </r>
  <r>
    <x v="19"/>
    <n v="2024"/>
    <x v="4"/>
    <x v="2"/>
    <s v="Preservativo Masculino"/>
    <s v="Performance"/>
    <x v="19"/>
    <n v="0"/>
  </r>
  <r>
    <x v="19"/>
    <n v="2024"/>
    <x v="5"/>
    <x v="2"/>
    <s v="Preservativo Masculino"/>
    <s v="Performance"/>
    <x v="19"/>
    <n v="0"/>
  </r>
  <r>
    <x v="19"/>
    <n v="2024"/>
    <x v="6"/>
    <x v="2"/>
    <s v="Preservativo Masculino"/>
    <s v="Performance"/>
    <x v="19"/>
    <n v="0"/>
  </r>
  <r>
    <x v="19"/>
    <n v="2024"/>
    <x v="7"/>
    <x v="2"/>
    <s v="Preservativo Masculino"/>
    <s v="Performance"/>
    <x v="19"/>
    <n v="0"/>
  </r>
  <r>
    <x v="19"/>
    <n v="2024"/>
    <x v="8"/>
    <x v="2"/>
    <s v="Preservativo Masculino"/>
    <s v="Performance"/>
    <x v="19"/>
    <n v="2133"/>
  </r>
  <r>
    <x v="19"/>
    <n v="2024"/>
    <x v="9"/>
    <x v="2"/>
    <s v="Preservativo Masculino"/>
    <s v="Performance"/>
    <x v="19"/>
    <n v="2110"/>
  </r>
  <r>
    <x v="19"/>
    <n v="2024"/>
    <x v="10"/>
    <x v="2"/>
    <s v="Preservativo Masculino"/>
    <s v="Performance"/>
    <x v="19"/>
    <n v="3544"/>
  </r>
  <r>
    <x v="19"/>
    <n v="2024"/>
    <x v="11"/>
    <x v="2"/>
    <s v="Preservativo Masculino"/>
    <s v="Performance"/>
    <x v="19"/>
    <n v="3453"/>
  </r>
  <r>
    <x v="20"/>
    <n v="2024"/>
    <x v="0"/>
    <x v="2"/>
    <s v="Preservativo Masculino"/>
    <s v="Performance"/>
    <x v="20"/>
    <n v="0"/>
  </r>
  <r>
    <x v="20"/>
    <n v="2024"/>
    <x v="1"/>
    <x v="2"/>
    <s v="Preservativo Masculino"/>
    <s v="Performance"/>
    <x v="20"/>
    <n v="0"/>
  </r>
  <r>
    <x v="20"/>
    <n v="2024"/>
    <x v="2"/>
    <x v="2"/>
    <s v="Preservativo Masculino"/>
    <s v="Performance"/>
    <x v="20"/>
    <n v="0"/>
  </r>
  <r>
    <x v="20"/>
    <n v="2024"/>
    <x v="3"/>
    <x v="2"/>
    <s v="Preservativo Masculino"/>
    <s v="Performance"/>
    <x v="20"/>
    <n v="0"/>
  </r>
  <r>
    <x v="20"/>
    <n v="2024"/>
    <x v="4"/>
    <x v="2"/>
    <s v="Preservativo Masculino"/>
    <s v="Performance"/>
    <x v="20"/>
    <n v="0"/>
  </r>
  <r>
    <x v="20"/>
    <n v="2024"/>
    <x v="5"/>
    <x v="2"/>
    <s v="Preservativo Masculino"/>
    <s v="Performance"/>
    <x v="20"/>
    <n v="0"/>
  </r>
  <r>
    <x v="20"/>
    <n v="2024"/>
    <x v="6"/>
    <x v="2"/>
    <s v="Preservativo Masculino"/>
    <s v="Performance"/>
    <x v="20"/>
    <n v="0"/>
  </r>
  <r>
    <x v="20"/>
    <n v="2024"/>
    <x v="7"/>
    <x v="2"/>
    <s v="Preservativo Masculino"/>
    <s v="Performance"/>
    <x v="20"/>
    <n v="0"/>
  </r>
  <r>
    <x v="20"/>
    <n v="2024"/>
    <x v="8"/>
    <x v="2"/>
    <s v="Preservativo Masculino"/>
    <s v="Performance"/>
    <x v="20"/>
    <n v="3458"/>
  </r>
  <r>
    <x v="20"/>
    <n v="2024"/>
    <x v="9"/>
    <x v="2"/>
    <s v="Preservativo Masculino"/>
    <s v="Performance"/>
    <x v="20"/>
    <n v="3820"/>
  </r>
  <r>
    <x v="20"/>
    <n v="2024"/>
    <x v="10"/>
    <x v="2"/>
    <s v="Preservativo Masculino"/>
    <s v="Performance"/>
    <x v="20"/>
    <n v="3062"/>
  </r>
  <r>
    <x v="20"/>
    <n v="2024"/>
    <x v="11"/>
    <x v="2"/>
    <s v="Preservativo Masculino"/>
    <s v="Performance"/>
    <x v="20"/>
    <n v="3275"/>
  </r>
  <r>
    <x v="21"/>
    <n v="2024"/>
    <x v="0"/>
    <x v="2"/>
    <s v="Preservativo Masculino"/>
    <s v="Performance"/>
    <x v="21"/>
    <n v="0"/>
  </r>
  <r>
    <x v="21"/>
    <n v="2024"/>
    <x v="1"/>
    <x v="2"/>
    <s v="Preservativo Masculino"/>
    <s v="Performance"/>
    <x v="21"/>
    <n v="0"/>
  </r>
  <r>
    <x v="21"/>
    <n v="2024"/>
    <x v="2"/>
    <x v="2"/>
    <s v="Preservativo Masculino"/>
    <s v="Performance"/>
    <x v="21"/>
    <n v="0"/>
  </r>
  <r>
    <x v="21"/>
    <n v="2024"/>
    <x v="3"/>
    <x v="2"/>
    <s v="Preservativo Masculino"/>
    <s v="Performance"/>
    <x v="21"/>
    <n v="0"/>
  </r>
  <r>
    <x v="21"/>
    <n v="2024"/>
    <x v="4"/>
    <x v="2"/>
    <s v="Preservativo Masculino"/>
    <s v="Performance"/>
    <x v="21"/>
    <n v="0"/>
  </r>
  <r>
    <x v="21"/>
    <n v="2024"/>
    <x v="5"/>
    <x v="2"/>
    <s v="Preservativo Masculino"/>
    <s v="Performance"/>
    <x v="21"/>
    <n v="0"/>
  </r>
  <r>
    <x v="21"/>
    <n v="2024"/>
    <x v="6"/>
    <x v="2"/>
    <s v="Preservativo Masculino"/>
    <s v="Performance"/>
    <x v="21"/>
    <n v="0"/>
  </r>
  <r>
    <x v="21"/>
    <n v="2024"/>
    <x v="7"/>
    <x v="2"/>
    <s v="Preservativo Masculino"/>
    <s v="Performance"/>
    <x v="21"/>
    <n v="0"/>
  </r>
  <r>
    <x v="21"/>
    <n v="2024"/>
    <x v="8"/>
    <x v="2"/>
    <s v="Preservativo Masculino"/>
    <s v="Performance"/>
    <x v="21"/>
    <n v="2"/>
  </r>
  <r>
    <x v="21"/>
    <n v="2024"/>
    <x v="9"/>
    <x v="2"/>
    <s v="Preservativo Masculino"/>
    <s v="Performance"/>
    <x v="21"/>
    <n v="0"/>
  </r>
  <r>
    <x v="21"/>
    <n v="2024"/>
    <x v="10"/>
    <x v="2"/>
    <s v="Preservativo Masculino"/>
    <s v="Performance"/>
    <x v="21"/>
    <n v="0"/>
  </r>
  <r>
    <x v="21"/>
    <n v="2024"/>
    <x v="11"/>
    <x v="2"/>
    <s v="Preservativo Masculino"/>
    <s v="Performance"/>
    <x v="21"/>
    <n v="1259"/>
  </r>
  <r>
    <x v="22"/>
    <n v="2024"/>
    <x v="0"/>
    <x v="2"/>
    <s v="Preservativo Masculino"/>
    <s v="Cores e Sabores"/>
    <x v="22"/>
    <n v="0"/>
  </r>
  <r>
    <x v="22"/>
    <n v="2024"/>
    <x v="1"/>
    <x v="2"/>
    <s v="Preservativo Masculino"/>
    <s v="Cores e Sabores"/>
    <x v="22"/>
    <n v="0"/>
  </r>
  <r>
    <x v="22"/>
    <n v="2024"/>
    <x v="2"/>
    <x v="2"/>
    <s v="Preservativo Masculino"/>
    <s v="Cores e Sabores"/>
    <x v="22"/>
    <n v="0"/>
  </r>
  <r>
    <x v="22"/>
    <n v="2024"/>
    <x v="3"/>
    <x v="2"/>
    <s v="Preservativo Masculino"/>
    <s v="Cores e Sabores"/>
    <x v="22"/>
    <n v="0"/>
  </r>
  <r>
    <x v="22"/>
    <n v="2024"/>
    <x v="4"/>
    <x v="2"/>
    <s v="Preservativo Masculino"/>
    <s v="Cores e Sabores"/>
    <x v="22"/>
    <n v="0"/>
  </r>
  <r>
    <x v="22"/>
    <n v="2024"/>
    <x v="5"/>
    <x v="2"/>
    <s v="Preservativo Masculino"/>
    <s v="Cores e Sabores"/>
    <x v="22"/>
    <n v="0"/>
  </r>
  <r>
    <x v="22"/>
    <n v="2024"/>
    <x v="6"/>
    <x v="2"/>
    <s v="Preservativo Masculino"/>
    <s v="Cores e Sabores"/>
    <x v="22"/>
    <n v="0"/>
  </r>
  <r>
    <x v="22"/>
    <n v="2024"/>
    <x v="7"/>
    <x v="2"/>
    <s v="Preservativo Masculino"/>
    <s v="Cores e Sabores"/>
    <x v="22"/>
    <n v="0"/>
  </r>
  <r>
    <x v="22"/>
    <n v="2024"/>
    <x v="8"/>
    <x v="2"/>
    <s v="Preservativo Masculino"/>
    <s v="Cores e Sabores"/>
    <x v="22"/>
    <n v="0"/>
  </r>
  <r>
    <x v="22"/>
    <n v="2024"/>
    <x v="9"/>
    <x v="2"/>
    <s v="Preservativo Masculino"/>
    <s v="Cores e Sabores"/>
    <x v="22"/>
    <n v="0"/>
  </r>
  <r>
    <x v="22"/>
    <n v="2024"/>
    <x v="10"/>
    <x v="2"/>
    <s v="Preservativo Masculino"/>
    <s v="Cores e Sabores"/>
    <x v="22"/>
    <n v="0"/>
  </r>
  <r>
    <x v="22"/>
    <n v="2024"/>
    <x v="11"/>
    <x v="2"/>
    <s v="Preservativo Masculino"/>
    <s v="Cores e Sabores"/>
    <x v="22"/>
    <n v="0"/>
  </r>
  <r>
    <x v="23"/>
    <n v="2024"/>
    <x v="0"/>
    <x v="2"/>
    <s v="Preservativo Masculino"/>
    <s v="Performance"/>
    <x v="23"/>
    <n v="0"/>
  </r>
  <r>
    <x v="23"/>
    <n v="2024"/>
    <x v="1"/>
    <x v="2"/>
    <s v="Preservativo Masculino"/>
    <s v="Performance"/>
    <x v="23"/>
    <n v="0"/>
  </r>
  <r>
    <x v="23"/>
    <n v="2024"/>
    <x v="2"/>
    <x v="2"/>
    <s v="Preservativo Masculino"/>
    <s v="Performance"/>
    <x v="23"/>
    <n v="0"/>
  </r>
  <r>
    <x v="23"/>
    <n v="2024"/>
    <x v="3"/>
    <x v="2"/>
    <s v="Preservativo Masculino"/>
    <s v="Performance"/>
    <x v="23"/>
    <n v="0"/>
  </r>
  <r>
    <x v="23"/>
    <n v="2024"/>
    <x v="4"/>
    <x v="2"/>
    <s v="Preservativo Masculino"/>
    <s v="Performance"/>
    <x v="23"/>
    <n v="0"/>
  </r>
  <r>
    <x v="23"/>
    <n v="2024"/>
    <x v="5"/>
    <x v="2"/>
    <s v="Preservativo Masculino"/>
    <s v="Performance"/>
    <x v="23"/>
    <n v="0"/>
  </r>
  <r>
    <x v="23"/>
    <n v="2024"/>
    <x v="6"/>
    <x v="2"/>
    <s v="Preservativo Masculino"/>
    <s v="Performance"/>
    <x v="23"/>
    <n v="0"/>
  </r>
  <r>
    <x v="23"/>
    <n v="2024"/>
    <x v="7"/>
    <x v="2"/>
    <s v="Preservativo Masculino"/>
    <s v="Performance"/>
    <x v="23"/>
    <n v="0"/>
  </r>
  <r>
    <x v="23"/>
    <n v="2024"/>
    <x v="8"/>
    <x v="2"/>
    <s v="Preservativo Masculino"/>
    <s v="Performance"/>
    <x v="23"/>
    <n v="4"/>
  </r>
  <r>
    <x v="23"/>
    <n v="2024"/>
    <x v="9"/>
    <x v="2"/>
    <s v="Preservativo Masculino"/>
    <s v="Performance"/>
    <x v="23"/>
    <n v="0"/>
  </r>
  <r>
    <x v="23"/>
    <n v="2024"/>
    <x v="10"/>
    <x v="2"/>
    <s v="Preservativo Masculino"/>
    <s v="Performance"/>
    <x v="23"/>
    <n v="4"/>
  </r>
  <r>
    <x v="23"/>
    <n v="2024"/>
    <x v="11"/>
    <x v="2"/>
    <s v="Preservativo Masculino"/>
    <s v="Performance"/>
    <x v="23"/>
    <n v="0"/>
  </r>
  <r>
    <x v="24"/>
    <n v="2024"/>
    <x v="0"/>
    <x v="2"/>
    <s v="Preservativo Masculino"/>
    <s v="Performance"/>
    <x v="24"/>
    <n v="0"/>
  </r>
  <r>
    <x v="24"/>
    <n v="2024"/>
    <x v="1"/>
    <x v="2"/>
    <s v="Preservativo Masculino"/>
    <s v="Performance"/>
    <x v="24"/>
    <n v="0"/>
  </r>
  <r>
    <x v="24"/>
    <n v="2024"/>
    <x v="2"/>
    <x v="2"/>
    <s v="Preservativo Masculino"/>
    <s v="Performance"/>
    <x v="24"/>
    <n v="0"/>
  </r>
  <r>
    <x v="24"/>
    <n v="2024"/>
    <x v="3"/>
    <x v="2"/>
    <s v="Preservativo Masculino"/>
    <s v="Performance"/>
    <x v="24"/>
    <n v="0"/>
  </r>
  <r>
    <x v="24"/>
    <n v="2024"/>
    <x v="4"/>
    <x v="2"/>
    <s v="Preservativo Masculino"/>
    <s v="Performance"/>
    <x v="24"/>
    <n v="0"/>
  </r>
  <r>
    <x v="24"/>
    <n v="2024"/>
    <x v="5"/>
    <x v="2"/>
    <s v="Preservativo Masculino"/>
    <s v="Performance"/>
    <x v="24"/>
    <n v="0"/>
  </r>
  <r>
    <x v="24"/>
    <n v="2024"/>
    <x v="6"/>
    <x v="2"/>
    <s v="Preservativo Masculino"/>
    <s v="Performance"/>
    <x v="24"/>
    <n v="0"/>
  </r>
  <r>
    <x v="24"/>
    <n v="2024"/>
    <x v="7"/>
    <x v="2"/>
    <s v="Preservativo Masculino"/>
    <s v="Performance"/>
    <x v="24"/>
    <n v="0"/>
  </r>
  <r>
    <x v="24"/>
    <n v="2024"/>
    <x v="8"/>
    <x v="2"/>
    <s v="Preservativo Masculino"/>
    <s v="Performance"/>
    <x v="24"/>
    <n v="0"/>
  </r>
  <r>
    <x v="24"/>
    <n v="2024"/>
    <x v="9"/>
    <x v="2"/>
    <s v="Preservativo Masculino"/>
    <s v="Performance"/>
    <x v="24"/>
    <n v="760"/>
  </r>
  <r>
    <x v="24"/>
    <n v="2024"/>
    <x v="10"/>
    <x v="2"/>
    <s v="Preservativo Masculino"/>
    <s v="Performance"/>
    <x v="24"/>
    <n v="769"/>
  </r>
  <r>
    <x v="24"/>
    <n v="2024"/>
    <x v="11"/>
    <x v="2"/>
    <s v="Preservativo Masculino"/>
    <s v="Performance"/>
    <x v="24"/>
    <n v="408"/>
  </r>
  <r>
    <x v="25"/>
    <n v="2024"/>
    <x v="0"/>
    <x v="2"/>
    <s v="Preservativo Masculino"/>
    <s v="Performance"/>
    <x v="25"/>
    <n v="0"/>
  </r>
  <r>
    <x v="25"/>
    <n v="2024"/>
    <x v="1"/>
    <x v="2"/>
    <s v="Preservativo Masculino"/>
    <s v="Performance"/>
    <x v="25"/>
    <n v="0"/>
  </r>
  <r>
    <x v="25"/>
    <n v="2024"/>
    <x v="2"/>
    <x v="2"/>
    <s v="Preservativo Masculino"/>
    <s v="Performance"/>
    <x v="25"/>
    <n v="0"/>
  </r>
  <r>
    <x v="25"/>
    <n v="2024"/>
    <x v="3"/>
    <x v="2"/>
    <s v="Preservativo Masculino"/>
    <s v="Performance"/>
    <x v="25"/>
    <n v="0"/>
  </r>
  <r>
    <x v="25"/>
    <n v="2024"/>
    <x v="4"/>
    <x v="2"/>
    <s v="Preservativo Masculino"/>
    <s v="Performance"/>
    <x v="25"/>
    <n v="0"/>
  </r>
  <r>
    <x v="25"/>
    <n v="2024"/>
    <x v="5"/>
    <x v="2"/>
    <s v="Preservativo Masculino"/>
    <s v="Performance"/>
    <x v="25"/>
    <n v="0"/>
  </r>
  <r>
    <x v="25"/>
    <n v="2024"/>
    <x v="6"/>
    <x v="2"/>
    <s v="Preservativo Masculino"/>
    <s v="Performance"/>
    <x v="25"/>
    <n v="0"/>
  </r>
  <r>
    <x v="25"/>
    <n v="2024"/>
    <x v="7"/>
    <x v="2"/>
    <s v="Preservativo Masculino"/>
    <s v="Performance"/>
    <x v="25"/>
    <n v="0"/>
  </r>
  <r>
    <x v="25"/>
    <n v="2024"/>
    <x v="8"/>
    <x v="2"/>
    <s v="Preservativo Masculino"/>
    <s v="Performance"/>
    <x v="25"/>
    <n v="0"/>
  </r>
  <r>
    <x v="25"/>
    <n v="2024"/>
    <x v="9"/>
    <x v="2"/>
    <s v="Preservativo Masculino"/>
    <s v="Performance"/>
    <x v="25"/>
    <n v="0"/>
  </r>
  <r>
    <x v="25"/>
    <n v="2024"/>
    <x v="10"/>
    <x v="2"/>
    <s v="Preservativo Masculino"/>
    <s v="Performance"/>
    <x v="25"/>
    <n v="0"/>
  </r>
  <r>
    <x v="25"/>
    <n v="2024"/>
    <x v="11"/>
    <x v="2"/>
    <s v="Preservativo Masculino"/>
    <s v="Performance"/>
    <x v="25"/>
    <n v="632"/>
  </r>
  <r>
    <x v="26"/>
    <n v="2024"/>
    <x v="0"/>
    <x v="2"/>
    <s v="Preservativo Masculino"/>
    <s v="Low Price "/>
    <x v="26"/>
    <n v="0"/>
  </r>
  <r>
    <x v="26"/>
    <n v="2024"/>
    <x v="1"/>
    <x v="2"/>
    <s v="Preservativo Masculino"/>
    <s v="Low Price "/>
    <x v="26"/>
    <n v="0"/>
  </r>
  <r>
    <x v="26"/>
    <n v="2024"/>
    <x v="2"/>
    <x v="2"/>
    <s v="Preservativo Masculino"/>
    <s v="Low Price "/>
    <x v="26"/>
    <n v="0"/>
  </r>
  <r>
    <x v="26"/>
    <n v="2024"/>
    <x v="3"/>
    <x v="2"/>
    <s v="Preservativo Masculino"/>
    <s v="Low Price "/>
    <x v="26"/>
    <n v="0"/>
  </r>
  <r>
    <x v="26"/>
    <n v="2024"/>
    <x v="4"/>
    <x v="2"/>
    <s v="Preservativo Masculino"/>
    <s v="Low Price "/>
    <x v="26"/>
    <n v="0"/>
  </r>
  <r>
    <x v="26"/>
    <n v="2024"/>
    <x v="5"/>
    <x v="2"/>
    <s v="Preservativo Masculino"/>
    <s v="Low Price "/>
    <x v="26"/>
    <n v="0"/>
  </r>
  <r>
    <x v="26"/>
    <n v="2024"/>
    <x v="6"/>
    <x v="2"/>
    <s v="Preservativo Masculino"/>
    <s v="Low Price "/>
    <x v="26"/>
    <n v="0"/>
  </r>
  <r>
    <x v="26"/>
    <n v="2024"/>
    <x v="7"/>
    <x v="2"/>
    <s v="Preservativo Masculino"/>
    <s v="Low Price "/>
    <x v="26"/>
    <n v="0"/>
  </r>
  <r>
    <x v="26"/>
    <n v="2024"/>
    <x v="8"/>
    <x v="2"/>
    <s v="Preservativo Masculino"/>
    <s v="Low Price "/>
    <x v="26"/>
    <n v="0"/>
  </r>
  <r>
    <x v="26"/>
    <n v="2024"/>
    <x v="9"/>
    <x v="2"/>
    <s v="Preservativo Masculino"/>
    <s v="Low Price "/>
    <x v="26"/>
    <n v="0"/>
  </r>
  <r>
    <x v="26"/>
    <n v="2024"/>
    <x v="10"/>
    <x v="2"/>
    <s v="Preservativo Masculino"/>
    <s v="Low Price "/>
    <x v="26"/>
    <n v="0"/>
  </r>
  <r>
    <x v="26"/>
    <n v="2024"/>
    <x v="11"/>
    <x v="2"/>
    <s v="Preservativo Masculino"/>
    <s v="Low Price "/>
    <x v="26"/>
    <n v="2898"/>
  </r>
  <r>
    <x v="27"/>
    <n v="2024"/>
    <x v="0"/>
    <x v="2"/>
    <s v="Preservativo Masculino"/>
    <s v="Low Price "/>
    <x v="27"/>
    <n v="0"/>
  </r>
  <r>
    <x v="27"/>
    <n v="2024"/>
    <x v="1"/>
    <x v="2"/>
    <s v="Preservativo Masculino"/>
    <s v="Low Price "/>
    <x v="27"/>
    <n v="0"/>
  </r>
  <r>
    <x v="27"/>
    <n v="2024"/>
    <x v="2"/>
    <x v="2"/>
    <s v="Preservativo Masculino"/>
    <s v="Low Price "/>
    <x v="27"/>
    <n v="0"/>
  </r>
  <r>
    <x v="27"/>
    <n v="2024"/>
    <x v="3"/>
    <x v="2"/>
    <s v="Preservativo Masculino"/>
    <s v="Low Price "/>
    <x v="27"/>
    <n v="0"/>
  </r>
  <r>
    <x v="27"/>
    <n v="2024"/>
    <x v="4"/>
    <x v="2"/>
    <s v="Preservativo Masculino"/>
    <s v="Low Price "/>
    <x v="27"/>
    <n v="0"/>
  </r>
  <r>
    <x v="27"/>
    <n v="2024"/>
    <x v="5"/>
    <x v="2"/>
    <s v="Preservativo Masculino"/>
    <s v="Low Price "/>
    <x v="27"/>
    <n v="0"/>
  </r>
  <r>
    <x v="27"/>
    <n v="2024"/>
    <x v="6"/>
    <x v="2"/>
    <s v="Preservativo Masculino"/>
    <s v="Low Price "/>
    <x v="27"/>
    <n v="0"/>
  </r>
  <r>
    <x v="27"/>
    <n v="2024"/>
    <x v="7"/>
    <x v="2"/>
    <s v="Preservativo Masculino"/>
    <s v="Low Price "/>
    <x v="27"/>
    <n v="0"/>
  </r>
  <r>
    <x v="27"/>
    <n v="2024"/>
    <x v="8"/>
    <x v="2"/>
    <s v="Preservativo Masculino"/>
    <s v="Low Price "/>
    <x v="27"/>
    <n v="0"/>
  </r>
  <r>
    <x v="27"/>
    <n v="2024"/>
    <x v="9"/>
    <x v="2"/>
    <s v="Preservativo Masculino"/>
    <s v="Low Price "/>
    <x v="27"/>
    <n v="0"/>
  </r>
  <r>
    <x v="27"/>
    <n v="2024"/>
    <x v="10"/>
    <x v="2"/>
    <s v="Preservativo Masculino"/>
    <s v="Low Price "/>
    <x v="27"/>
    <n v="1986"/>
  </r>
  <r>
    <x v="27"/>
    <n v="2024"/>
    <x v="11"/>
    <x v="2"/>
    <s v="Preservativo Masculino"/>
    <s v="Low Price "/>
    <x v="27"/>
    <n v="976"/>
  </r>
  <r>
    <x v="28"/>
    <n v="2024"/>
    <x v="0"/>
    <x v="2"/>
    <s v="Preservativo Masculino"/>
    <s v="Low Price "/>
    <x v="28"/>
    <n v="0"/>
  </r>
  <r>
    <x v="28"/>
    <n v="2024"/>
    <x v="1"/>
    <x v="2"/>
    <s v="Preservativo Masculino"/>
    <s v="Low Price "/>
    <x v="28"/>
    <n v="0"/>
  </r>
  <r>
    <x v="28"/>
    <n v="2024"/>
    <x v="2"/>
    <x v="2"/>
    <s v="Preservativo Masculino"/>
    <s v="Low Price "/>
    <x v="28"/>
    <n v="0"/>
  </r>
  <r>
    <x v="28"/>
    <n v="2024"/>
    <x v="3"/>
    <x v="2"/>
    <s v="Preservativo Masculino"/>
    <s v="Low Price "/>
    <x v="28"/>
    <n v="0"/>
  </r>
  <r>
    <x v="28"/>
    <n v="2024"/>
    <x v="4"/>
    <x v="2"/>
    <s v="Preservativo Masculino"/>
    <s v="Low Price "/>
    <x v="28"/>
    <n v="0"/>
  </r>
  <r>
    <x v="28"/>
    <n v="2024"/>
    <x v="5"/>
    <x v="2"/>
    <s v="Preservativo Masculino"/>
    <s v="Low Price "/>
    <x v="28"/>
    <n v="0"/>
  </r>
  <r>
    <x v="28"/>
    <n v="2024"/>
    <x v="6"/>
    <x v="2"/>
    <s v="Preservativo Masculino"/>
    <s v="Low Price "/>
    <x v="28"/>
    <n v="0"/>
  </r>
  <r>
    <x v="28"/>
    <n v="2024"/>
    <x v="7"/>
    <x v="2"/>
    <s v="Preservativo Masculino"/>
    <s v="Low Price "/>
    <x v="28"/>
    <n v="0"/>
  </r>
  <r>
    <x v="28"/>
    <n v="2024"/>
    <x v="8"/>
    <x v="2"/>
    <s v="Preservativo Masculino"/>
    <s v="Low Price "/>
    <x v="28"/>
    <n v="0"/>
  </r>
  <r>
    <x v="28"/>
    <n v="2024"/>
    <x v="9"/>
    <x v="2"/>
    <s v="Preservativo Masculino"/>
    <s v="Low Price "/>
    <x v="28"/>
    <n v="0"/>
  </r>
  <r>
    <x v="28"/>
    <n v="2024"/>
    <x v="10"/>
    <x v="2"/>
    <s v="Preservativo Masculino"/>
    <s v="Low Price "/>
    <x v="28"/>
    <n v="0"/>
  </r>
  <r>
    <x v="28"/>
    <n v="2024"/>
    <x v="11"/>
    <x v="2"/>
    <s v="Preservativo Masculino"/>
    <s v="Low Price "/>
    <x v="28"/>
    <n v="3753"/>
  </r>
  <r>
    <x v="29"/>
    <n v="2024"/>
    <x v="0"/>
    <x v="2"/>
    <s v="Preservativo Masculino"/>
    <s v="Low Price "/>
    <x v="29"/>
    <n v="0"/>
  </r>
  <r>
    <x v="29"/>
    <n v="2024"/>
    <x v="1"/>
    <x v="2"/>
    <s v="Preservativo Masculino"/>
    <s v="Low Price "/>
    <x v="29"/>
    <n v="0"/>
  </r>
  <r>
    <x v="29"/>
    <n v="2024"/>
    <x v="2"/>
    <x v="2"/>
    <s v="Preservativo Masculino"/>
    <s v="Low Price "/>
    <x v="29"/>
    <n v="0"/>
  </r>
  <r>
    <x v="29"/>
    <n v="2024"/>
    <x v="3"/>
    <x v="2"/>
    <s v="Preservativo Masculino"/>
    <s v="Low Price "/>
    <x v="29"/>
    <n v="0"/>
  </r>
  <r>
    <x v="29"/>
    <n v="2024"/>
    <x v="4"/>
    <x v="2"/>
    <s v="Preservativo Masculino"/>
    <s v="Low Price "/>
    <x v="29"/>
    <n v="0"/>
  </r>
  <r>
    <x v="29"/>
    <n v="2024"/>
    <x v="5"/>
    <x v="2"/>
    <s v="Preservativo Masculino"/>
    <s v="Low Price "/>
    <x v="29"/>
    <n v="0"/>
  </r>
  <r>
    <x v="29"/>
    <n v="2024"/>
    <x v="6"/>
    <x v="2"/>
    <s v="Preservativo Masculino"/>
    <s v="Low Price "/>
    <x v="29"/>
    <n v="0"/>
  </r>
  <r>
    <x v="29"/>
    <n v="2024"/>
    <x v="7"/>
    <x v="2"/>
    <s v="Preservativo Masculino"/>
    <s v="Low Price "/>
    <x v="29"/>
    <n v="0"/>
  </r>
  <r>
    <x v="29"/>
    <n v="2024"/>
    <x v="8"/>
    <x v="2"/>
    <s v="Preservativo Masculino"/>
    <s v="Low Price "/>
    <x v="29"/>
    <n v="1353"/>
  </r>
  <r>
    <x v="29"/>
    <n v="2024"/>
    <x v="9"/>
    <x v="2"/>
    <s v="Preservativo Masculino"/>
    <s v="Low Price "/>
    <x v="29"/>
    <n v="78"/>
  </r>
  <r>
    <x v="29"/>
    <n v="2024"/>
    <x v="10"/>
    <x v="2"/>
    <s v="Preservativo Masculino"/>
    <s v="Low Price "/>
    <x v="29"/>
    <n v="1987"/>
  </r>
  <r>
    <x v="29"/>
    <n v="2024"/>
    <x v="11"/>
    <x v="2"/>
    <s v="Preservativo Masculino"/>
    <s v="Low Price "/>
    <x v="29"/>
    <n v="2123"/>
  </r>
  <r>
    <x v="30"/>
    <n v="2024"/>
    <x v="0"/>
    <x v="2"/>
    <s v="Preservativo Masculino"/>
    <s v="Básico"/>
    <x v="30"/>
    <n v="0"/>
  </r>
  <r>
    <x v="30"/>
    <n v="2024"/>
    <x v="1"/>
    <x v="2"/>
    <s v="Preservativo Masculino"/>
    <s v="Básico"/>
    <x v="30"/>
    <n v="0"/>
  </r>
  <r>
    <x v="30"/>
    <n v="2024"/>
    <x v="2"/>
    <x v="2"/>
    <s v="Preservativo Masculino"/>
    <s v="Básico"/>
    <x v="30"/>
    <n v="0"/>
  </r>
  <r>
    <x v="30"/>
    <n v="2024"/>
    <x v="3"/>
    <x v="2"/>
    <s v="Preservativo Masculino"/>
    <s v="Básico"/>
    <x v="30"/>
    <n v="0"/>
  </r>
  <r>
    <x v="30"/>
    <n v="2024"/>
    <x v="4"/>
    <x v="2"/>
    <s v="Preservativo Masculino"/>
    <s v="Básico"/>
    <x v="30"/>
    <n v="0"/>
  </r>
  <r>
    <x v="30"/>
    <n v="2024"/>
    <x v="5"/>
    <x v="2"/>
    <s v="Preservativo Masculino"/>
    <s v="Básico"/>
    <x v="30"/>
    <n v="0"/>
  </r>
  <r>
    <x v="30"/>
    <n v="2024"/>
    <x v="6"/>
    <x v="2"/>
    <s v="Preservativo Masculino"/>
    <s v="Básico"/>
    <x v="30"/>
    <n v="0"/>
  </r>
  <r>
    <x v="30"/>
    <n v="2024"/>
    <x v="7"/>
    <x v="2"/>
    <s v="Preservativo Masculino"/>
    <s v="Básico"/>
    <x v="30"/>
    <n v="0"/>
  </r>
  <r>
    <x v="30"/>
    <n v="2024"/>
    <x v="8"/>
    <x v="2"/>
    <s v="Preservativo Masculino"/>
    <s v="Básico"/>
    <x v="30"/>
    <n v="4045"/>
  </r>
  <r>
    <x v="30"/>
    <n v="2024"/>
    <x v="9"/>
    <x v="2"/>
    <s v="Preservativo Masculino"/>
    <s v="Básico"/>
    <x v="30"/>
    <n v="1998"/>
  </r>
  <r>
    <x v="30"/>
    <n v="2024"/>
    <x v="10"/>
    <x v="2"/>
    <s v="Preservativo Masculino"/>
    <s v="Básico"/>
    <x v="30"/>
    <n v="1067"/>
  </r>
  <r>
    <x v="30"/>
    <n v="2024"/>
    <x v="11"/>
    <x v="2"/>
    <s v="Preservativo Masculino"/>
    <s v="Básico"/>
    <x v="30"/>
    <n v="2903"/>
  </r>
  <r>
    <x v="31"/>
    <n v="2024"/>
    <x v="0"/>
    <x v="2"/>
    <s v="Preservativo Masculino"/>
    <s v="Básico"/>
    <x v="31"/>
    <n v="0"/>
  </r>
  <r>
    <x v="31"/>
    <n v="2024"/>
    <x v="1"/>
    <x v="2"/>
    <s v="Preservativo Masculino"/>
    <s v="Básico"/>
    <x v="31"/>
    <n v="0"/>
  </r>
  <r>
    <x v="31"/>
    <n v="2024"/>
    <x v="2"/>
    <x v="2"/>
    <s v="Preservativo Masculino"/>
    <s v="Básico"/>
    <x v="31"/>
    <n v="0"/>
  </r>
  <r>
    <x v="31"/>
    <n v="2024"/>
    <x v="3"/>
    <x v="2"/>
    <s v="Preservativo Masculino"/>
    <s v="Básico"/>
    <x v="31"/>
    <n v="0"/>
  </r>
  <r>
    <x v="31"/>
    <n v="2024"/>
    <x v="4"/>
    <x v="2"/>
    <s v="Preservativo Masculino"/>
    <s v="Básico"/>
    <x v="31"/>
    <n v="0"/>
  </r>
  <r>
    <x v="31"/>
    <n v="2024"/>
    <x v="5"/>
    <x v="2"/>
    <s v="Preservativo Masculino"/>
    <s v="Básico"/>
    <x v="31"/>
    <n v="0"/>
  </r>
  <r>
    <x v="31"/>
    <n v="2024"/>
    <x v="6"/>
    <x v="2"/>
    <s v="Preservativo Masculino"/>
    <s v="Básico"/>
    <x v="31"/>
    <n v="0"/>
  </r>
  <r>
    <x v="31"/>
    <n v="2024"/>
    <x v="7"/>
    <x v="2"/>
    <s v="Preservativo Masculino"/>
    <s v="Básico"/>
    <x v="31"/>
    <n v="0"/>
  </r>
  <r>
    <x v="31"/>
    <n v="2024"/>
    <x v="8"/>
    <x v="2"/>
    <s v="Preservativo Masculino"/>
    <s v="Básico"/>
    <x v="31"/>
    <n v="4875"/>
  </r>
  <r>
    <x v="31"/>
    <n v="2024"/>
    <x v="9"/>
    <x v="2"/>
    <s v="Preservativo Masculino"/>
    <s v="Básico"/>
    <x v="31"/>
    <n v="4407"/>
  </r>
  <r>
    <x v="31"/>
    <n v="2024"/>
    <x v="10"/>
    <x v="2"/>
    <s v="Preservativo Masculino"/>
    <s v="Básico"/>
    <x v="31"/>
    <n v="5020"/>
  </r>
  <r>
    <x v="31"/>
    <n v="2024"/>
    <x v="11"/>
    <x v="2"/>
    <s v="Preservativo Masculino"/>
    <s v="Básico"/>
    <x v="31"/>
    <n v="5127"/>
  </r>
  <r>
    <x v="32"/>
    <n v="2024"/>
    <x v="0"/>
    <x v="2"/>
    <s v="Preservativo Masculino"/>
    <s v="Básico"/>
    <x v="32"/>
    <n v="0"/>
  </r>
  <r>
    <x v="32"/>
    <n v="2024"/>
    <x v="1"/>
    <x v="2"/>
    <s v="Preservativo Masculino"/>
    <s v="Básico"/>
    <x v="32"/>
    <n v="0"/>
  </r>
  <r>
    <x v="32"/>
    <n v="2024"/>
    <x v="2"/>
    <x v="2"/>
    <s v="Preservativo Masculino"/>
    <s v="Básico"/>
    <x v="32"/>
    <n v="0"/>
  </r>
  <r>
    <x v="32"/>
    <n v="2024"/>
    <x v="3"/>
    <x v="2"/>
    <s v="Preservativo Masculino"/>
    <s v="Básico"/>
    <x v="32"/>
    <n v="0"/>
  </r>
  <r>
    <x v="32"/>
    <n v="2024"/>
    <x v="4"/>
    <x v="2"/>
    <s v="Preservativo Masculino"/>
    <s v="Básico"/>
    <x v="32"/>
    <n v="0"/>
  </r>
  <r>
    <x v="32"/>
    <n v="2024"/>
    <x v="5"/>
    <x v="2"/>
    <s v="Preservativo Masculino"/>
    <s v="Básico"/>
    <x v="32"/>
    <n v="0"/>
  </r>
  <r>
    <x v="32"/>
    <n v="2024"/>
    <x v="6"/>
    <x v="2"/>
    <s v="Preservativo Masculino"/>
    <s v="Básico"/>
    <x v="32"/>
    <n v="0"/>
  </r>
  <r>
    <x v="32"/>
    <n v="2024"/>
    <x v="7"/>
    <x v="2"/>
    <s v="Preservativo Masculino"/>
    <s v="Básico"/>
    <x v="32"/>
    <n v="0"/>
  </r>
  <r>
    <x v="32"/>
    <n v="2024"/>
    <x v="8"/>
    <x v="2"/>
    <s v="Preservativo Masculino"/>
    <s v="Básico"/>
    <x v="32"/>
    <n v="5590"/>
  </r>
  <r>
    <x v="32"/>
    <n v="2024"/>
    <x v="9"/>
    <x v="2"/>
    <s v="Preservativo Masculino"/>
    <s v="Básico"/>
    <x v="32"/>
    <n v="3589"/>
  </r>
  <r>
    <x v="32"/>
    <n v="2024"/>
    <x v="10"/>
    <x v="2"/>
    <s v="Preservativo Masculino"/>
    <s v="Básico"/>
    <x v="32"/>
    <n v="2821"/>
  </r>
  <r>
    <x v="32"/>
    <n v="2024"/>
    <x v="11"/>
    <x v="2"/>
    <s v="Preservativo Masculino"/>
    <s v="Básico"/>
    <x v="32"/>
    <n v="4044"/>
  </r>
  <r>
    <x v="33"/>
    <n v="2024"/>
    <x v="0"/>
    <x v="2"/>
    <s v="Preservativo Masculino"/>
    <s v="Performance"/>
    <x v="33"/>
    <n v="0"/>
  </r>
  <r>
    <x v="33"/>
    <n v="2024"/>
    <x v="1"/>
    <x v="2"/>
    <s v="Preservativo Masculino"/>
    <s v="Performance"/>
    <x v="33"/>
    <n v="0"/>
  </r>
  <r>
    <x v="33"/>
    <n v="2024"/>
    <x v="2"/>
    <x v="2"/>
    <s v="Preservativo Masculino"/>
    <s v="Performance"/>
    <x v="33"/>
    <n v="0"/>
  </r>
  <r>
    <x v="33"/>
    <n v="2024"/>
    <x v="3"/>
    <x v="2"/>
    <s v="Preservativo Masculino"/>
    <s v="Performance"/>
    <x v="33"/>
    <n v="0"/>
  </r>
  <r>
    <x v="33"/>
    <n v="2024"/>
    <x v="4"/>
    <x v="2"/>
    <s v="Preservativo Masculino"/>
    <s v="Performance"/>
    <x v="33"/>
    <n v="0"/>
  </r>
  <r>
    <x v="33"/>
    <n v="2024"/>
    <x v="5"/>
    <x v="2"/>
    <s v="Preservativo Masculino"/>
    <s v="Performance"/>
    <x v="33"/>
    <n v="0"/>
  </r>
  <r>
    <x v="33"/>
    <n v="2024"/>
    <x v="6"/>
    <x v="2"/>
    <s v="Preservativo Masculino"/>
    <s v="Performance"/>
    <x v="33"/>
    <n v="0"/>
  </r>
  <r>
    <x v="33"/>
    <n v="2024"/>
    <x v="7"/>
    <x v="2"/>
    <s v="Preservativo Masculino"/>
    <s v="Performance"/>
    <x v="33"/>
    <n v="0"/>
  </r>
  <r>
    <x v="33"/>
    <n v="2024"/>
    <x v="8"/>
    <x v="2"/>
    <s v="Preservativo Masculino"/>
    <s v="Performance"/>
    <x v="33"/>
    <n v="2095"/>
  </r>
  <r>
    <x v="33"/>
    <n v="2024"/>
    <x v="9"/>
    <x v="2"/>
    <s v="Preservativo Masculino"/>
    <s v="Performance"/>
    <x v="33"/>
    <n v="1096"/>
  </r>
  <r>
    <x v="33"/>
    <n v="2024"/>
    <x v="10"/>
    <x v="2"/>
    <s v="Preservativo Masculino"/>
    <s v="Performance"/>
    <x v="33"/>
    <n v="13"/>
  </r>
  <r>
    <x v="33"/>
    <n v="2024"/>
    <x v="11"/>
    <x v="2"/>
    <s v="Preservativo Masculino"/>
    <s v="Performance"/>
    <x v="33"/>
    <n v="12"/>
  </r>
  <r>
    <x v="34"/>
    <n v="2024"/>
    <x v="0"/>
    <x v="2"/>
    <s v="Preservativo Masculino"/>
    <s v="Performance"/>
    <x v="34"/>
    <n v="0"/>
  </r>
  <r>
    <x v="34"/>
    <n v="2024"/>
    <x v="1"/>
    <x v="2"/>
    <s v="Preservativo Masculino"/>
    <s v="Performance"/>
    <x v="34"/>
    <n v="0"/>
  </r>
  <r>
    <x v="34"/>
    <n v="2024"/>
    <x v="2"/>
    <x v="2"/>
    <s v="Preservativo Masculino"/>
    <s v="Performance"/>
    <x v="34"/>
    <n v="0"/>
  </r>
  <r>
    <x v="34"/>
    <n v="2024"/>
    <x v="3"/>
    <x v="2"/>
    <s v="Preservativo Masculino"/>
    <s v="Performance"/>
    <x v="34"/>
    <n v="0"/>
  </r>
  <r>
    <x v="34"/>
    <n v="2024"/>
    <x v="4"/>
    <x v="2"/>
    <s v="Preservativo Masculino"/>
    <s v="Performance"/>
    <x v="34"/>
    <n v="0"/>
  </r>
  <r>
    <x v="34"/>
    <n v="2024"/>
    <x v="5"/>
    <x v="2"/>
    <s v="Preservativo Masculino"/>
    <s v="Performance"/>
    <x v="34"/>
    <n v="0"/>
  </r>
  <r>
    <x v="34"/>
    <n v="2024"/>
    <x v="6"/>
    <x v="2"/>
    <s v="Preservativo Masculino"/>
    <s v="Performance"/>
    <x v="34"/>
    <n v="0"/>
  </r>
  <r>
    <x v="34"/>
    <n v="2024"/>
    <x v="7"/>
    <x v="2"/>
    <s v="Preservativo Masculino"/>
    <s v="Performance"/>
    <x v="34"/>
    <n v="0"/>
  </r>
  <r>
    <x v="34"/>
    <n v="2024"/>
    <x v="8"/>
    <x v="2"/>
    <s v="Preservativo Masculino"/>
    <s v="Performance"/>
    <x v="34"/>
    <n v="2875"/>
  </r>
  <r>
    <x v="34"/>
    <n v="2024"/>
    <x v="9"/>
    <x v="2"/>
    <s v="Preservativo Masculino"/>
    <s v="Performance"/>
    <x v="34"/>
    <n v="2345"/>
  </r>
  <r>
    <x v="34"/>
    <n v="2024"/>
    <x v="10"/>
    <x v="2"/>
    <s v="Preservativo Masculino"/>
    <s v="Performance"/>
    <x v="34"/>
    <n v="2060"/>
  </r>
  <r>
    <x v="34"/>
    <n v="2024"/>
    <x v="11"/>
    <x v="2"/>
    <s v="Preservativo Masculino"/>
    <s v="Performance"/>
    <x v="34"/>
    <n v="2024"/>
  </r>
  <r>
    <x v="35"/>
    <n v="2024"/>
    <x v="0"/>
    <x v="2"/>
    <s v="Preservativo Masculino"/>
    <s v="Performance"/>
    <x v="35"/>
    <n v="0"/>
  </r>
  <r>
    <x v="35"/>
    <n v="2024"/>
    <x v="1"/>
    <x v="2"/>
    <s v="Preservativo Masculino"/>
    <s v="Performance"/>
    <x v="35"/>
    <n v="0"/>
  </r>
  <r>
    <x v="35"/>
    <n v="2024"/>
    <x v="2"/>
    <x v="2"/>
    <s v="Preservativo Masculino"/>
    <s v="Performance"/>
    <x v="35"/>
    <n v="0"/>
  </r>
  <r>
    <x v="35"/>
    <n v="2024"/>
    <x v="3"/>
    <x v="2"/>
    <s v="Preservativo Masculino"/>
    <s v="Performance"/>
    <x v="35"/>
    <n v="0"/>
  </r>
  <r>
    <x v="35"/>
    <n v="2024"/>
    <x v="4"/>
    <x v="2"/>
    <s v="Preservativo Masculino"/>
    <s v="Performance"/>
    <x v="35"/>
    <n v="0"/>
  </r>
  <r>
    <x v="35"/>
    <n v="2024"/>
    <x v="5"/>
    <x v="2"/>
    <s v="Preservativo Masculino"/>
    <s v="Performance"/>
    <x v="35"/>
    <n v="0"/>
  </r>
  <r>
    <x v="35"/>
    <n v="2024"/>
    <x v="6"/>
    <x v="2"/>
    <s v="Preservativo Masculino"/>
    <s v="Performance"/>
    <x v="35"/>
    <n v="0"/>
  </r>
  <r>
    <x v="35"/>
    <n v="2024"/>
    <x v="7"/>
    <x v="2"/>
    <s v="Preservativo Masculino"/>
    <s v="Performance"/>
    <x v="35"/>
    <n v="0"/>
  </r>
  <r>
    <x v="35"/>
    <n v="2024"/>
    <x v="8"/>
    <x v="2"/>
    <s v="Preservativo Masculino"/>
    <s v="Performance"/>
    <x v="35"/>
    <n v="1231"/>
  </r>
  <r>
    <x v="35"/>
    <n v="2024"/>
    <x v="9"/>
    <x v="2"/>
    <s v="Preservativo Masculino"/>
    <s v="Performance"/>
    <x v="35"/>
    <n v="1318"/>
  </r>
  <r>
    <x v="35"/>
    <n v="2024"/>
    <x v="10"/>
    <x v="2"/>
    <s v="Preservativo Masculino"/>
    <s v="Performance"/>
    <x v="35"/>
    <n v="895"/>
  </r>
  <r>
    <x v="35"/>
    <n v="2024"/>
    <x v="11"/>
    <x v="2"/>
    <s v="Preservativo Masculino"/>
    <s v="Performance"/>
    <x v="35"/>
    <n v="724"/>
  </r>
  <r>
    <x v="36"/>
    <n v="2024"/>
    <x v="0"/>
    <x v="2"/>
    <s v="Preservativo Masculino"/>
    <s v="Performance"/>
    <x v="36"/>
    <n v="0"/>
  </r>
  <r>
    <x v="36"/>
    <n v="2024"/>
    <x v="1"/>
    <x v="2"/>
    <s v="Preservativo Masculino"/>
    <s v="Performance"/>
    <x v="36"/>
    <n v="0"/>
  </r>
  <r>
    <x v="36"/>
    <n v="2024"/>
    <x v="2"/>
    <x v="2"/>
    <s v="Preservativo Masculino"/>
    <s v="Performance"/>
    <x v="36"/>
    <n v="0"/>
  </r>
  <r>
    <x v="36"/>
    <n v="2024"/>
    <x v="3"/>
    <x v="2"/>
    <s v="Preservativo Masculino"/>
    <s v="Performance"/>
    <x v="36"/>
    <n v="0"/>
  </r>
  <r>
    <x v="36"/>
    <n v="2024"/>
    <x v="4"/>
    <x v="2"/>
    <s v="Preservativo Masculino"/>
    <s v="Performance"/>
    <x v="36"/>
    <n v="0"/>
  </r>
  <r>
    <x v="36"/>
    <n v="2024"/>
    <x v="5"/>
    <x v="2"/>
    <s v="Preservativo Masculino"/>
    <s v="Performance"/>
    <x v="36"/>
    <n v="0"/>
  </r>
  <r>
    <x v="36"/>
    <n v="2024"/>
    <x v="6"/>
    <x v="2"/>
    <s v="Preservativo Masculino"/>
    <s v="Performance"/>
    <x v="36"/>
    <n v="0"/>
  </r>
  <r>
    <x v="36"/>
    <n v="2024"/>
    <x v="7"/>
    <x v="2"/>
    <s v="Preservativo Masculino"/>
    <s v="Performance"/>
    <x v="36"/>
    <n v="0"/>
  </r>
  <r>
    <x v="36"/>
    <n v="2024"/>
    <x v="8"/>
    <x v="2"/>
    <s v="Preservativo Masculino"/>
    <s v="Performance"/>
    <x v="36"/>
    <n v="856"/>
  </r>
  <r>
    <x v="36"/>
    <n v="2024"/>
    <x v="9"/>
    <x v="2"/>
    <s v="Preservativo Masculino"/>
    <s v="Performance"/>
    <x v="36"/>
    <n v="1516"/>
  </r>
  <r>
    <x v="36"/>
    <n v="2024"/>
    <x v="10"/>
    <x v="2"/>
    <s v="Preservativo Masculino"/>
    <s v="Performance"/>
    <x v="36"/>
    <n v="127"/>
  </r>
  <r>
    <x v="36"/>
    <n v="2024"/>
    <x v="11"/>
    <x v="2"/>
    <s v="Preservativo Masculino"/>
    <s v="Performance"/>
    <x v="36"/>
    <n v="0"/>
  </r>
  <r>
    <x v="37"/>
    <n v="2024"/>
    <x v="0"/>
    <x v="2"/>
    <s v="Preservativo Masculino"/>
    <s v="Performance"/>
    <x v="37"/>
    <n v="0"/>
  </r>
  <r>
    <x v="37"/>
    <n v="2024"/>
    <x v="1"/>
    <x v="2"/>
    <s v="Preservativo Masculino"/>
    <s v="Performance"/>
    <x v="37"/>
    <n v="0"/>
  </r>
  <r>
    <x v="37"/>
    <n v="2024"/>
    <x v="2"/>
    <x v="2"/>
    <s v="Preservativo Masculino"/>
    <s v="Performance"/>
    <x v="37"/>
    <n v="0"/>
  </r>
  <r>
    <x v="37"/>
    <n v="2024"/>
    <x v="3"/>
    <x v="2"/>
    <s v="Preservativo Masculino"/>
    <s v="Performance"/>
    <x v="37"/>
    <n v="0"/>
  </r>
  <r>
    <x v="37"/>
    <n v="2024"/>
    <x v="4"/>
    <x v="2"/>
    <s v="Preservativo Masculino"/>
    <s v="Performance"/>
    <x v="37"/>
    <n v="0"/>
  </r>
  <r>
    <x v="37"/>
    <n v="2024"/>
    <x v="5"/>
    <x v="2"/>
    <s v="Preservativo Masculino"/>
    <s v="Performance"/>
    <x v="37"/>
    <n v="0"/>
  </r>
  <r>
    <x v="37"/>
    <n v="2024"/>
    <x v="6"/>
    <x v="2"/>
    <s v="Preservativo Masculino"/>
    <s v="Performance"/>
    <x v="37"/>
    <n v="0"/>
  </r>
  <r>
    <x v="37"/>
    <n v="2024"/>
    <x v="7"/>
    <x v="2"/>
    <s v="Preservativo Masculino"/>
    <s v="Performance"/>
    <x v="37"/>
    <n v="0"/>
  </r>
  <r>
    <x v="37"/>
    <n v="2024"/>
    <x v="8"/>
    <x v="2"/>
    <s v="Preservativo Masculino"/>
    <s v="Performance"/>
    <x v="37"/>
    <n v="871"/>
  </r>
  <r>
    <x v="37"/>
    <n v="2024"/>
    <x v="9"/>
    <x v="2"/>
    <s v="Preservativo Masculino"/>
    <s v="Performance"/>
    <x v="37"/>
    <n v="13"/>
  </r>
  <r>
    <x v="37"/>
    <n v="2024"/>
    <x v="10"/>
    <x v="2"/>
    <s v="Preservativo Masculino"/>
    <s v="Performance"/>
    <x v="37"/>
    <n v="2"/>
  </r>
  <r>
    <x v="37"/>
    <n v="2024"/>
    <x v="11"/>
    <x v="2"/>
    <s v="Preservativo Masculino"/>
    <s v="Performance"/>
    <x v="37"/>
    <n v="1034"/>
  </r>
  <r>
    <x v="38"/>
    <n v="2024"/>
    <x v="0"/>
    <x v="2"/>
    <s v="Preservativo Masculino"/>
    <s v="Performance"/>
    <x v="38"/>
    <n v="0"/>
  </r>
  <r>
    <x v="38"/>
    <n v="2024"/>
    <x v="1"/>
    <x v="2"/>
    <s v="Preservativo Masculino"/>
    <s v="Performance"/>
    <x v="38"/>
    <n v="0"/>
  </r>
  <r>
    <x v="38"/>
    <n v="2024"/>
    <x v="2"/>
    <x v="2"/>
    <s v="Preservativo Masculino"/>
    <s v="Performance"/>
    <x v="38"/>
    <n v="0"/>
  </r>
  <r>
    <x v="38"/>
    <n v="2024"/>
    <x v="3"/>
    <x v="2"/>
    <s v="Preservativo Masculino"/>
    <s v="Performance"/>
    <x v="38"/>
    <n v="0"/>
  </r>
  <r>
    <x v="38"/>
    <n v="2024"/>
    <x v="4"/>
    <x v="2"/>
    <s v="Preservativo Masculino"/>
    <s v="Performance"/>
    <x v="38"/>
    <n v="0"/>
  </r>
  <r>
    <x v="38"/>
    <n v="2024"/>
    <x v="5"/>
    <x v="2"/>
    <s v="Preservativo Masculino"/>
    <s v="Performance"/>
    <x v="38"/>
    <n v="0"/>
  </r>
  <r>
    <x v="38"/>
    <n v="2024"/>
    <x v="6"/>
    <x v="2"/>
    <s v="Preservativo Masculino"/>
    <s v="Performance"/>
    <x v="38"/>
    <n v="0"/>
  </r>
  <r>
    <x v="38"/>
    <n v="2024"/>
    <x v="7"/>
    <x v="2"/>
    <s v="Preservativo Masculino"/>
    <s v="Performance"/>
    <x v="38"/>
    <n v="0"/>
  </r>
  <r>
    <x v="38"/>
    <n v="2024"/>
    <x v="8"/>
    <x v="2"/>
    <s v="Preservativo Masculino"/>
    <s v="Performance"/>
    <x v="38"/>
    <n v="541"/>
  </r>
  <r>
    <x v="38"/>
    <n v="2024"/>
    <x v="9"/>
    <x v="2"/>
    <s v="Preservativo Masculino"/>
    <s v="Performance"/>
    <x v="38"/>
    <n v="481"/>
  </r>
  <r>
    <x v="38"/>
    <n v="2024"/>
    <x v="10"/>
    <x v="2"/>
    <s v="Preservativo Masculino"/>
    <s v="Performance"/>
    <x v="38"/>
    <n v="217"/>
  </r>
  <r>
    <x v="38"/>
    <n v="2024"/>
    <x v="11"/>
    <x v="2"/>
    <s v="Preservativo Masculino"/>
    <s v="Performance"/>
    <x v="38"/>
    <n v="277"/>
  </r>
  <r>
    <x v="39"/>
    <n v="2024"/>
    <x v="0"/>
    <x v="2"/>
    <s v="Preservativo Masculino"/>
    <s v="Performance"/>
    <x v="39"/>
    <n v="0"/>
  </r>
  <r>
    <x v="39"/>
    <n v="2024"/>
    <x v="1"/>
    <x v="2"/>
    <s v="Preservativo Masculino"/>
    <s v="Performance"/>
    <x v="39"/>
    <n v="0"/>
  </r>
  <r>
    <x v="39"/>
    <n v="2024"/>
    <x v="2"/>
    <x v="2"/>
    <s v="Preservativo Masculino"/>
    <s v="Performance"/>
    <x v="39"/>
    <n v="0"/>
  </r>
  <r>
    <x v="39"/>
    <n v="2024"/>
    <x v="3"/>
    <x v="2"/>
    <s v="Preservativo Masculino"/>
    <s v="Performance"/>
    <x v="39"/>
    <n v="0"/>
  </r>
  <r>
    <x v="39"/>
    <n v="2024"/>
    <x v="4"/>
    <x v="2"/>
    <s v="Preservativo Masculino"/>
    <s v="Performance"/>
    <x v="39"/>
    <n v="0"/>
  </r>
  <r>
    <x v="39"/>
    <n v="2024"/>
    <x v="5"/>
    <x v="2"/>
    <s v="Preservativo Masculino"/>
    <s v="Performance"/>
    <x v="39"/>
    <n v="0"/>
  </r>
  <r>
    <x v="39"/>
    <n v="2024"/>
    <x v="6"/>
    <x v="2"/>
    <s v="Preservativo Masculino"/>
    <s v="Performance"/>
    <x v="39"/>
    <n v="0"/>
  </r>
  <r>
    <x v="39"/>
    <n v="2024"/>
    <x v="7"/>
    <x v="2"/>
    <s v="Preservativo Masculino"/>
    <s v="Performance"/>
    <x v="39"/>
    <n v="0"/>
  </r>
  <r>
    <x v="39"/>
    <n v="2024"/>
    <x v="8"/>
    <x v="2"/>
    <s v="Preservativo Masculino"/>
    <s v="Performance"/>
    <x v="39"/>
    <n v="481"/>
  </r>
  <r>
    <x v="39"/>
    <n v="2024"/>
    <x v="9"/>
    <x v="2"/>
    <s v="Preservativo Masculino"/>
    <s v="Performance"/>
    <x v="39"/>
    <n v="772"/>
  </r>
  <r>
    <x v="39"/>
    <n v="2024"/>
    <x v="10"/>
    <x v="2"/>
    <s v="Preservativo Masculino"/>
    <s v="Performance"/>
    <x v="39"/>
    <n v="418"/>
  </r>
  <r>
    <x v="39"/>
    <n v="2024"/>
    <x v="11"/>
    <x v="2"/>
    <s v="Preservativo Masculino"/>
    <s v="Performance"/>
    <x v="39"/>
    <n v="72"/>
  </r>
  <r>
    <x v="40"/>
    <n v="2024"/>
    <x v="0"/>
    <x v="2"/>
    <s v="Gel Lubrificante"/>
    <s v="Lub 100G"/>
    <x v="40"/>
    <n v="0"/>
  </r>
  <r>
    <x v="40"/>
    <n v="2024"/>
    <x v="1"/>
    <x v="2"/>
    <s v="Gel Lubrificante"/>
    <s v="Lub 100G"/>
    <x v="40"/>
    <n v="0"/>
  </r>
  <r>
    <x v="40"/>
    <n v="2024"/>
    <x v="2"/>
    <x v="2"/>
    <s v="Gel Lubrificante"/>
    <s v="Lub 100G"/>
    <x v="40"/>
    <n v="0"/>
  </r>
  <r>
    <x v="40"/>
    <n v="2024"/>
    <x v="3"/>
    <x v="2"/>
    <s v="Gel Lubrificante"/>
    <s v="Lub 100G"/>
    <x v="40"/>
    <n v="0"/>
  </r>
  <r>
    <x v="40"/>
    <n v="2024"/>
    <x v="4"/>
    <x v="2"/>
    <s v="Gel Lubrificante"/>
    <s v="Lub 100G"/>
    <x v="40"/>
    <n v="0"/>
  </r>
  <r>
    <x v="40"/>
    <n v="2024"/>
    <x v="5"/>
    <x v="2"/>
    <s v="Gel Lubrificante"/>
    <s v="Lub 100G"/>
    <x v="40"/>
    <n v="0"/>
  </r>
  <r>
    <x v="40"/>
    <n v="2024"/>
    <x v="6"/>
    <x v="2"/>
    <s v="Gel Lubrificante"/>
    <s v="Lub 100G"/>
    <x v="40"/>
    <n v="0"/>
  </r>
  <r>
    <x v="40"/>
    <n v="2024"/>
    <x v="7"/>
    <x v="2"/>
    <s v="Gel Lubrificante"/>
    <s v="Lub 100G"/>
    <x v="40"/>
    <n v="0"/>
  </r>
  <r>
    <x v="40"/>
    <n v="2024"/>
    <x v="8"/>
    <x v="2"/>
    <s v="Gel Lubrificante"/>
    <s v="Lub 100G"/>
    <x v="40"/>
    <n v="0"/>
  </r>
  <r>
    <x v="40"/>
    <n v="2024"/>
    <x v="9"/>
    <x v="2"/>
    <s v="Gel Lubrificante"/>
    <s v="Lub 100G"/>
    <x v="40"/>
    <n v="0"/>
  </r>
  <r>
    <x v="40"/>
    <n v="2024"/>
    <x v="10"/>
    <x v="2"/>
    <s v="Gel Lubrificante"/>
    <s v="Lub 100G"/>
    <x v="40"/>
    <n v="0"/>
  </r>
  <r>
    <x v="40"/>
    <n v="2024"/>
    <x v="11"/>
    <x v="2"/>
    <s v="Gel Lubrificante"/>
    <s v="Lub 100G"/>
    <x v="40"/>
    <n v="0"/>
  </r>
  <r>
    <x v="41"/>
    <n v="2024"/>
    <x v="0"/>
    <x v="2"/>
    <s v="Gel Lubrificante"/>
    <s v="Lub 100G"/>
    <x v="41"/>
    <n v="0"/>
  </r>
  <r>
    <x v="41"/>
    <n v="2024"/>
    <x v="1"/>
    <x v="2"/>
    <s v="Gel Lubrificante"/>
    <s v="Lub 100G"/>
    <x v="41"/>
    <n v="0"/>
  </r>
  <r>
    <x v="41"/>
    <n v="2024"/>
    <x v="2"/>
    <x v="2"/>
    <s v="Gel Lubrificante"/>
    <s v="Lub 100G"/>
    <x v="41"/>
    <n v="0"/>
  </r>
  <r>
    <x v="41"/>
    <n v="2024"/>
    <x v="3"/>
    <x v="2"/>
    <s v="Gel Lubrificante"/>
    <s v="Lub 100G"/>
    <x v="41"/>
    <n v="0"/>
  </r>
  <r>
    <x v="41"/>
    <n v="2024"/>
    <x v="4"/>
    <x v="2"/>
    <s v="Gel Lubrificante"/>
    <s v="Lub 100G"/>
    <x v="41"/>
    <n v="0"/>
  </r>
  <r>
    <x v="41"/>
    <n v="2024"/>
    <x v="5"/>
    <x v="2"/>
    <s v="Gel Lubrificante"/>
    <s v="Lub 100G"/>
    <x v="41"/>
    <n v="0"/>
  </r>
  <r>
    <x v="41"/>
    <n v="2024"/>
    <x v="6"/>
    <x v="2"/>
    <s v="Gel Lubrificante"/>
    <s v="Lub 100G"/>
    <x v="41"/>
    <n v="0"/>
  </r>
  <r>
    <x v="41"/>
    <n v="2024"/>
    <x v="7"/>
    <x v="2"/>
    <s v="Gel Lubrificante"/>
    <s v="Lub 100G"/>
    <x v="41"/>
    <n v="0"/>
  </r>
  <r>
    <x v="41"/>
    <n v="2024"/>
    <x v="8"/>
    <x v="2"/>
    <s v="Gel Lubrificante"/>
    <s v="Lub 100G"/>
    <x v="41"/>
    <n v="0"/>
  </r>
  <r>
    <x v="41"/>
    <n v="2024"/>
    <x v="9"/>
    <x v="2"/>
    <s v="Gel Lubrificante"/>
    <s v="Lub 100G"/>
    <x v="41"/>
    <n v="0"/>
  </r>
  <r>
    <x v="41"/>
    <n v="2024"/>
    <x v="10"/>
    <x v="2"/>
    <s v="Gel Lubrificante"/>
    <s v="Lub 100G"/>
    <x v="41"/>
    <n v="0"/>
  </r>
  <r>
    <x v="41"/>
    <n v="2024"/>
    <x v="11"/>
    <x v="2"/>
    <s v="Gel Lubrificante"/>
    <s v="Lub 100G"/>
    <x v="41"/>
    <n v="0"/>
  </r>
  <r>
    <x v="42"/>
    <n v="2024"/>
    <x v="0"/>
    <x v="2"/>
    <s v="Gel Lubrificante"/>
    <s v="Lub 100G"/>
    <x v="42"/>
    <n v="0"/>
  </r>
  <r>
    <x v="42"/>
    <n v="2024"/>
    <x v="1"/>
    <x v="2"/>
    <s v="Gel Lubrificante"/>
    <s v="Lub 100G"/>
    <x v="42"/>
    <n v="0"/>
  </r>
  <r>
    <x v="42"/>
    <n v="2024"/>
    <x v="2"/>
    <x v="2"/>
    <s v="Gel Lubrificante"/>
    <s v="Lub 100G"/>
    <x v="42"/>
    <n v="0"/>
  </r>
  <r>
    <x v="42"/>
    <n v="2024"/>
    <x v="3"/>
    <x v="2"/>
    <s v="Gel Lubrificante"/>
    <s v="Lub 100G"/>
    <x v="42"/>
    <n v="0"/>
  </r>
  <r>
    <x v="42"/>
    <n v="2024"/>
    <x v="4"/>
    <x v="2"/>
    <s v="Gel Lubrificante"/>
    <s v="Lub 100G"/>
    <x v="42"/>
    <n v="0"/>
  </r>
  <r>
    <x v="42"/>
    <n v="2024"/>
    <x v="5"/>
    <x v="2"/>
    <s v="Gel Lubrificante"/>
    <s v="Lub 100G"/>
    <x v="42"/>
    <n v="0"/>
  </r>
  <r>
    <x v="42"/>
    <n v="2024"/>
    <x v="6"/>
    <x v="2"/>
    <s v="Gel Lubrificante"/>
    <s v="Lub 100G"/>
    <x v="42"/>
    <n v="0"/>
  </r>
  <r>
    <x v="42"/>
    <n v="2024"/>
    <x v="7"/>
    <x v="2"/>
    <s v="Gel Lubrificante"/>
    <s v="Lub 100G"/>
    <x v="42"/>
    <n v="0"/>
  </r>
  <r>
    <x v="42"/>
    <n v="2024"/>
    <x v="8"/>
    <x v="2"/>
    <s v="Gel Lubrificante"/>
    <s v="Lub 100G"/>
    <x v="42"/>
    <n v="0"/>
  </r>
  <r>
    <x v="42"/>
    <n v="2024"/>
    <x v="9"/>
    <x v="2"/>
    <s v="Gel Lubrificante"/>
    <s v="Lub 100G"/>
    <x v="42"/>
    <n v="0"/>
  </r>
  <r>
    <x v="42"/>
    <n v="2024"/>
    <x v="10"/>
    <x v="2"/>
    <s v="Gel Lubrificante"/>
    <s v="Lub 100G"/>
    <x v="42"/>
    <n v="0"/>
  </r>
  <r>
    <x v="42"/>
    <n v="2024"/>
    <x v="11"/>
    <x v="2"/>
    <s v="Gel Lubrificante"/>
    <s v="Lub 100G"/>
    <x v="42"/>
    <n v="0"/>
  </r>
  <r>
    <x v="43"/>
    <n v="2024"/>
    <x v="0"/>
    <x v="2"/>
    <s v="Gel Lubrificante"/>
    <s v="Lub 100G"/>
    <x v="43"/>
    <n v="0"/>
  </r>
  <r>
    <x v="43"/>
    <n v="2024"/>
    <x v="1"/>
    <x v="2"/>
    <s v="Gel Lubrificante"/>
    <s v="Lub 100G"/>
    <x v="43"/>
    <n v="0"/>
  </r>
  <r>
    <x v="43"/>
    <n v="2024"/>
    <x v="2"/>
    <x v="2"/>
    <s v="Gel Lubrificante"/>
    <s v="Lub 100G"/>
    <x v="43"/>
    <n v="0"/>
  </r>
  <r>
    <x v="43"/>
    <n v="2024"/>
    <x v="3"/>
    <x v="2"/>
    <s v="Gel Lubrificante"/>
    <s v="Lub 100G"/>
    <x v="43"/>
    <n v="0"/>
  </r>
  <r>
    <x v="43"/>
    <n v="2024"/>
    <x v="4"/>
    <x v="2"/>
    <s v="Gel Lubrificante"/>
    <s v="Lub 100G"/>
    <x v="43"/>
    <n v="0"/>
  </r>
  <r>
    <x v="43"/>
    <n v="2024"/>
    <x v="5"/>
    <x v="2"/>
    <s v="Gel Lubrificante"/>
    <s v="Lub 100G"/>
    <x v="43"/>
    <n v="0"/>
  </r>
  <r>
    <x v="43"/>
    <n v="2024"/>
    <x v="6"/>
    <x v="2"/>
    <s v="Gel Lubrificante"/>
    <s v="Lub 100G"/>
    <x v="43"/>
    <n v="0"/>
  </r>
  <r>
    <x v="43"/>
    <n v="2024"/>
    <x v="7"/>
    <x v="2"/>
    <s v="Gel Lubrificante"/>
    <s v="Lub 100G"/>
    <x v="43"/>
    <n v="0"/>
  </r>
  <r>
    <x v="43"/>
    <n v="2024"/>
    <x v="8"/>
    <x v="2"/>
    <s v="Gel Lubrificante"/>
    <s v="Lub 100G"/>
    <x v="43"/>
    <n v="0"/>
  </r>
  <r>
    <x v="43"/>
    <n v="2024"/>
    <x v="9"/>
    <x v="2"/>
    <s v="Gel Lubrificante"/>
    <s v="Lub 100G"/>
    <x v="43"/>
    <n v="0"/>
  </r>
  <r>
    <x v="43"/>
    <n v="2024"/>
    <x v="10"/>
    <x v="2"/>
    <s v="Gel Lubrificante"/>
    <s v="Lub 100G"/>
    <x v="43"/>
    <n v="0"/>
  </r>
  <r>
    <x v="43"/>
    <n v="2024"/>
    <x v="11"/>
    <x v="2"/>
    <s v="Gel Lubrificante"/>
    <s v="Lub 100G"/>
    <x v="43"/>
    <n v="0"/>
  </r>
  <r>
    <x v="44"/>
    <n v="2024"/>
    <x v="0"/>
    <x v="2"/>
    <s v="Gel Lubrificante"/>
    <s v="Lub 60G"/>
    <x v="44"/>
    <n v="0"/>
  </r>
  <r>
    <x v="44"/>
    <n v="2024"/>
    <x v="1"/>
    <x v="2"/>
    <s v="Gel Lubrificante"/>
    <s v="Lub 60G"/>
    <x v="44"/>
    <n v="0"/>
  </r>
  <r>
    <x v="44"/>
    <n v="2024"/>
    <x v="2"/>
    <x v="2"/>
    <s v="Gel Lubrificante"/>
    <s v="Lub 60G"/>
    <x v="44"/>
    <n v="0"/>
  </r>
  <r>
    <x v="44"/>
    <n v="2024"/>
    <x v="3"/>
    <x v="2"/>
    <s v="Gel Lubrificante"/>
    <s v="Lub 60G"/>
    <x v="44"/>
    <n v="0"/>
  </r>
  <r>
    <x v="44"/>
    <n v="2024"/>
    <x v="4"/>
    <x v="2"/>
    <s v="Gel Lubrificante"/>
    <s v="Lub 60G"/>
    <x v="44"/>
    <n v="0"/>
  </r>
  <r>
    <x v="44"/>
    <n v="2024"/>
    <x v="5"/>
    <x v="2"/>
    <s v="Gel Lubrificante"/>
    <s v="Lub 60G"/>
    <x v="44"/>
    <n v="0"/>
  </r>
  <r>
    <x v="44"/>
    <n v="2024"/>
    <x v="6"/>
    <x v="2"/>
    <s v="Gel Lubrificante"/>
    <s v="Lub 60G"/>
    <x v="44"/>
    <n v="0"/>
  </r>
  <r>
    <x v="44"/>
    <n v="2024"/>
    <x v="7"/>
    <x v="2"/>
    <s v="Gel Lubrificante"/>
    <s v="Lub 60G"/>
    <x v="44"/>
    <n v="0"/>
  </r>
  <r>
    <x v="44"/>
    <n v="2024"/>
    <x v="8"/>
    <x v="2"/>
    <s v="Gel Lubrificante"/>
    <s v="Lub 60G"/>
    <x v="44"/>
    <n v="0"/>
  </r>
  <r>
    <x v="44"/>
    <n v="2024"/>
    <x v="9"/>
    <x v="2"/>
    <s v="Gel Lubrificante"/>
    <s v="Lub 60G"/>
    <x v="44"/>
    <n v="0"/>
  </r>
  <r>
    <x v="44"/>
    <n v="2024"/>
    <x v="10"/>
    <x v="2"/>
    <s v="Gel Lubrificante"/>
    <s v="Lub 60G"/>
    <x v="44"/>
    <n v="0"/>
  </r>
  <r>
    <x v="44"/>
    <n v="2024"/>
    <x v="11"/>
    <x v="2"/>
    <s v="Gel Lubrificante"/>
    <s v="Lub 60G"/>
    <x v="44"/>
    <n v="0"/>
  </r>
  <r>
    <x v="45"/>
    <n v="2024"/>
    <x v="0"/>
    <x v="2"/>
    <s v="Intima"/>
    <s v="Wipes &amp; Softcup"/>
    <x v="45"/>
    <n v="0"/>
  </r>
  <r>
    <x v="45"/>
    <n v="2024"/>
    <x v="1"/>
    <x v="2"/>
    <s v="Intima"/>
    <s v="Wipes &amp; Softcup"/>
    <x v="45"/>
    <n v="0"/>
  </r>
  <r>
    <x v="45"/>
    <n v="2024"/>
    <x v="2"/>
    <x v="2"/>
    <s v="Intima"/>
    <s v="Wipes &amp; Softcup"/>
    <x v="45"/>
    <n v="0"/>
  </r>
  <r>
    <x v="45"/>
    <n v="2024"/>
    <x v="3"/>
    <x v="2"/>
    <s v="Intima"/>
    <s v="Wipes &amp; Softcup"/>
    <x v="45"/>
    <n v="0"/>
  </r>
  <r>
    <x v="45"/>
    <n v="2024"/>
    <x v="4"/>
    <x v="2"/>
    <s v="Intima"/>
    <s v="Wipes &amp; Softcup"/>
    <x v="45"/>
    <n v="0"/>
  </r>
  <r>
    <x v="45"/>
    <n v="2024"/>
    <x v="5"/>
    <x v="2"/>
    <s v="Intima"/>
    <s v="Wipes &amp; Softcup"/>
    <x v="45"/>
    <n v="0"/>
  </r>
  <r>
    <x v="45"/>
    <n v="2024"/>
    <x v="6"/>
    <x v="2"/>
    <s v="Intima"/>
    <s v="Wipes &amp; Softcup"/>
    <x v="45"/>
    <n v="0"/>
  </r>
  <r>
    <x v="45"/>
    <n v="2024"/>
    <x v="7"/>
    <x v="2"/>
    <s v="Intima"/>
    <s v="Wipes &amp; Softcup"/>
    <x v="45"/>
    <n v="0"/>
  </r>
  <r>
    <x v="45"/>
    <n v="2024"/>
    <x v="8"/>
    <x v="2"/>
    <s v="Intima"/>
    <s v="Wipes &amp; Softcup"/>
    <x v="45"/>
    <n v="884"/>
  </r>
  <r>
    <x v="45"/>
    <n v="2024"/>
    <x v="9"/>
    <x v="2"/>
    <s v="Intima"/>
    <s v="Wipes &amp; Softcup"/>
    <x v="45"/>
    <n v="596"/>
  </r>
  <r>
    <x v="45"/>
    <n v="2024"/>
    <x v="10"/>
    <x v="2"/>
    <s v="Intima"/>
    <s v="Wipes &amp; Softcup"/>
    <x v="45"/>
    <n v="620"/>
  </r>
  <r>
    <x v="45"/>
    <n v="2024"/>
    <x v="11"/>
    <x v="2"/>
    <s v="Intima"/>
    <s v="Wipes &amp; Softcup"/>
    <x v="45"/>
    <n v="993"/>
  </r>
  <r>
    <x v="46"/>
    <n v="2024"/>
    <x v="0"/>
    <x v="2"/>
    <s v="Intima"/>
    <s v="Wipes &amp; Softcup"/>
    <x v="46"/>
    <n v="0"/>
  </r>
  <r>
    <x v="46"/>
    <n v="2024"/>
    <x v="1"/>
    <x v="2"/>
    <s v="Intima"/>
    <s v="Wipes &amp; Softcup"/>
    <x v="46"/>
    <n v="0"/>
  </r>
  <r>
    <x v="46"/>
    <n v="2024"/>
    <x v="2"/>
    <x v="2"/>
    <s v="Intima"/>
    <s v="Wipes &amp; Softcup"/>
    <x v="46"/>
    <n v="0"/>
  </r>
  <r>
    <x v="46"/>
    <n v="2024"/>
    <x v="3"/>
    <x v="2"/>
    <s v="Intima"/>
    <s v="Wipes &amp; Softcup"/>
    <x v="46"/>
    <n v="0"/>
  </r>
  <r>
    <x v="46"/>
    <n v="2024"/>
    <x v="4"/>
    <x v="2"/>
    <s v="Intima"/>
    <s v="Wipes &amp; Softcup"/>
    <x v="46"/>
    <n v="0"/>
  </r>
  <r>
    <x v="46"/>
    <n v="2024"/>
    <x v="5"/>
    <x v="2"/>
    <s v="Intima"/>
    <s v="Wipes &amp; Softcup"/>
    <x v="46"/>
    <n v="0"/>
  </r>
  <r>
    <x v="46"/>
    <n v="2024"/>
    <x v="6"/>
    <x v="2"/>
    <s v="Intima"/>
    <s v="Wipes &amp; Softcup"/>
    <x v="46"/>
    <n v="0"/>
  </r>
  <r>
    <x v="46"/>
    <n v="2024"/>
    <x v="7"/>
    <x v="2"/>
    <s v="Intima"/>
    <s v="Wipes &amp; Softcup"/>
    <x v="46"/>
    <n v="0"/>
  </r>
  <r>
    <x v="46"/>
    <n v="2024"/>
    <x v="8"/>
    <x v="2"/>
    <s v="Intima"/>
    <s v="Wipes &amp; Softcup"/>
    <x v="46"/>
    <n v="0"/>
  </r>
  <r>
    <x v="46"/>
    <n v="2024"/>
    <x v="9"/>
    <x v="2"/>
    <s v="Intima"/>
    <s v="Wipes &amp; Softcup"/>
    <x v="46"/>
    <n v="0"/>
  </r>
  <r>
    <x v="46"/>
    <n v="2024"/>
    <x v="10"/>
    <x v="2"/>
    <s v="Intima"/>
    <s v="Wipes &amp; Softcup"/>
    <x v="46"/>
    <n v="0"/>
  </r>
  <r>
    <x v="46"/>
    <n v="2024"/>
    <x v="11"/>
    <x v="2"/>
    <s v="Intima"/>
    <s v="Wipes &amp; Softcup"/>
    <x v="46"/>
    <n v="0"/>
  </r>
  <r>
    <x v="47"/>
    <n v="2024"/>
    <x v="0"/>
    <x v="2"/>
    <s v="RX"/>
    <s v="Aspirators"/>
    <x v="47"/>
    <n v="0"/>
  </r>
  <r>
    <x v="47"/>
    <n v="2024"/>
    <x v="1"/>
    <x v="2"/>
    <s v="RX"/>
    <s v="Aspirators"/>
    <x v="47"/>
    <n v="0"/>
  </r>
  <r>
    <x v="47"/>
    <n v="2024"/>
    <x v="2"/>
    <x v="2"/>
    <s v="RX"/>
    <s v="Aspirators"/>
    <x v="47"/>
    <n v="0"/>
  </r>
  <r>
    <x v="47"/>
    <n v="2024"/>
    <x v="3"/>
    <x v="2"/>
    <s v="RX"/>
    <s v="Aspirators"/>
    <x v="47"/>
    <n v="0"/>
  </r>
  <r>
    <x v="47"/>
    <n v="2024"/>
    <x v="4"/>
    <x v="2"/>
    <s v="RX"/>
    <s v="Aspirators"/>
    <x v="47"/>
    <n v="0"/>
  </r>
  <r>
    <x v="47"/>
    <n v="2024"/>
    <x v="5"/>
    <x v="2"/>
    <s v="RX"/>
    <s v="Aspirators"/>
    <x v="47"/>
    <n v="0"/>
  </r>
  <r>
    <x v="47"/>
    <n v="2024"/>
    <x v="6"/>
    <x v="2"/>
    <s v="RX"/>
    <s v="Aspirators"/>
    <x v="47"/>
    <n v="0"/>
  </r>
  <r>
    <x v="47"/>
    <n v="2024"/>
    <x v="7"/>
    <x v="2"/>
    <s v="RX"/>
    <s v="Aspirators"/>
    <x v="47"/>
    <n v="0"/>
  </r>
  <r>
    <x v="47"/>
    <n v="2024"/>
    <x v="8"/>
    <x v="2"/>
    <s v="RX"/>
    <s v="Aspirators"/>
    <x v="47"/>
    <n v="316"/>
  </r>
  <r>
    <x v="47"/>
    <n v="2024"/>
    <x v="9"/>
    <x v="2"/>
    <s v="RX"/>
    <s v="Aspirators"/>
    <x v="47"/>
    <n v="1117"/>
  </r>
  <r>
    <x v="47"/>
    <n v="2024"/>
    <x v="10"/>
    <x v="2"/>
    <s v="RX"/>
    <s v="Aspirators"/>
    <x v="47"/>
    <n v="624"/>
  </r>
  <r>
    <x v="47"/>
    <n v="2024"/>
    <x v="11"/>
    <x v="2"/>
    <s v="RX"/>
    <s v="Aspirators"/>
    <x v="47"/>
    <n v="796"/>
  </r>
  <r>
    <x v="48"/>
    <n v="2024"/>
    <x v="0"/>
    <x v="2"/>
    <s v="RX"/>
    <s v="Aspirators"/>
    <x v="48"/>
    <n v="0"/>
  </r>
  <r>
    <x v="48"/>
    <n v="2024"/>
    <x v="1"/>
    <x v="2"/>
    <s v="RX"/>
    <s v="Aspirators"/>
    <x v="48"/>
    <n v="0"/>
  </r>
  <r>
    <x v="48"/>
    <n v="2024"/>
    <x v="2"/>
    <x v="2"/>
    <s v="RX"/>
    <s v="Aspirators"/>
    <x v="48"/>
    <n v="0"/>
  </r>
  <r>
    <x v="48"/>
    <n v="2024"/>
    <x v="3"/>
    <x v="2"/>
    <s v="RX"/>
    <s v="Aspirators"/>
    <x v="48"/>
    <n v="0"/>
  </r>
  <r>
    <x v="48"/>
    <n v="2024"/>
    <x v="4"/>
    <x v="2"/>
    <s v="RX"/>
    <s v="Aspirators"/>
    <x v="48"/>
    <n v="0"/>
  </r>
  <r>
    <x v="48"/>
    <n v="2024"/>
    <x v="5"/>
    <x v="2"/>
    <s v="RX"/>
    <s v="Aspirators"/>
    <x v="48"/>
    <n v="0"/>
  </r>
  <r>
    <x v="48"/>
    <n v="2024"/>
    <x v="6"/>
    <x v="2"/>
    <s v="RX"/>
    <s v="Aspirators"/>
    <x v="48"/>
    <n v="0"/>
  </r>
  <r>
    <x v="48"/>
    <n v="2024"/>
    <x v="7"/>
    <x v="2"/>
    <s v="RX"/>
    <s v="Aspirators"/>
    <x v="48"/>
    <n v="0"/>
  </r>
  <r>
    <x v="48"/>
    <n v="2024"/>
    <x v="8"/>
    <x v="2"/>
    <s v="RX"/>
    <s v="Aspirators"/>
    <x v="48"/>
    <n v="150"/>
  </r>
  <r>
    <x v="48"/>
    <n v="2024"/>
    <x v="9"/>
    <x v="2"/>
    <s v="RX"/>
    <s v="Aspirators"/>
    <x v="48"/>
    <n v="540"/>
  </r>
  <r>
    <x v="48"/>
    <n v="2024"/>
    <x v="10"/>
    <x v="2"/>
    <s v="RX"/>
    <s v="Aspirators"/>
    <x v="48"/>
    <n v="269"/>
  </r>
  <r>
    <x v="48"/>
    <n v="2024"/>
    <x v="11"/>
    <x v="2"/>
    <s v="RX"/>
    <s v="Aspirators"/>
    <x v="48"/>
    <n v="86"/>
  </r>
  <r>
    <x v="49"/>
    <n v="2024"/>
    <x v="0"/>
    <x v="2"/>
    <s v="RX"/>
    <s v="Cannulae"/>
    <x v="49"/>
    <n v="0"/>
  </r>
  <r>
    <x v="49"/>
    <n v="2024"/>
    <x v="1"/>
    <x v="2"/>
    <s v="RX"/>
    <s v="Cannulae"/>
    <x v="49"/>
    <n v="0"/>
  </r>
  <r>
    <x v="49"/>
    <n v="2024"/>
    <x v="2"/>
    <x v="2"/>
    <s v="RX"/>
    <s v="Cannulae"/>
    <x v="49"/>
    <n v="0"/>
  </r>
  <r>
    <x v="49"/>
    <n v="2024"/>
    <x v="3"/>
    <x v="2"/>
    <s v="RX"/>
    <s v="Cannulae"/>
    <x v="49"/>
    <n v="0"/>
  </r>
  <r>
    <x v="49"/>
    <n v="2024"/>
    <x v="4"/>
    <x v="2"/>
    <s v="RX"/>
    <s v="Cannulae"/>
    <x v="49"/>
    <n v="0"/>
  </r>
  <r>
    <x v="49"/>
    <n v="2024"/>
    <x v="5"/>
    <x v="2"/>
    <s v="RX"/>
    <s v="Cannulae"/>
    <x v="49"/>
    <n v="0"/>
  </r>
  <r>
    <x v="49"/>
    <n v="2024"/>
    <x v="6"/>
    <x v="2"/>
    <s v="RX"/>
    <s v="Cannulae"/>
    <x v="49"/>
    <n v="0"/>
  </r>
  <r>
    <x v="49"/>
    <n v="2024"/>
    <x v="7"/>
    <x v="2"/>
    <s v="RX"/>
    <s v="Cannulae"/>
    <x v="49"/>
    <n v="0"/>
  </r>
  <r>
    <x v="49"/>
    <n v="2024"/>
    <x v="8"/>
    <x v="2"/>
    <s v="RX"/>
    <s v="Cannulae"/>
    <x v="49"/>
    <n v="220"/>
  </r>
  <r>
    <x v="49"/>
    <n v="2024"/>
    <x v="9"/>
    <x v="2"/>
    <s v="RX"/>
    <s v="Cannulae"/>
    <x v="49"/>
    <n v="452"/>
  </r>
  <r>
    <x v="49"/>
    <n v="2024"/>
    <x v="10"/>
    <x v="2"/>
    <s v="RX"/>
    <s v="Cannulae"/>
    <x v="49"/>
    <n v="430"/>
  </r>
  <r>
    <x v="49"/>
    <n v="2024"/>
    <x v="11"/>
    <x v="2"/>
    <s v="RX"/>
    <s v="Cannulae"/>
    <x v="49"/>
    <n v="302"/>
  </r>
  <r>
    <x v="50"/>
    <n v="2024"/>
    <x v="0"/>
    <x v="2"/>
    <s v="RX"/>
    <s v="Cannulae"/>
    <x v="50"/>
    <n v="0"/>
  </r>
  <r>
    <x v="50"/>
    <n v="2024"/>
    <x v="1"/>
    <x v="2"/>
    <s v="RX"/>
    <s v="Cannulae"/>
    <x v="50"/>
    <n v="0"/>
  </r>
  <r>
    <x v="50"/>
    <n v="2024"/>
    <x v="2"/>
    <x v="2"/>
    <s v="RX"/>
    <s v="Cannulae"/>
    <x v="50"/>
    <n v="0"/>
  </r>
  <r>
    <x v="50"/>
    <n v="2024"/>
    <x v="3"/>
    <x v="2"/>
    <s v="RX"/>
    <s v="Cannulae"/>
    <x v="50"/>
    <n v="0"/>
  </r>
  <r>
    <x v="50"/>
    <n v="2024"/>
    <x v="4"/>
    <x v="2"/>
    <s v="RX"/>
    <s v="Cannulae"/>
    <x v="50"/>
    <n v="0"/>
  </r>
  <r>
    <x v="50"/>
    <n v="2024"/>
    <x v="5"/>
    <x v="2"/>
    <s v="RX"/>
    <s v="Cannulae"/>
    <x v="50"/>
    <n v="0"/>
  </r>
  <r>
    <x v="50"/>
    <n v="2024"/>
    <x v="6"/>
    <x v="2"/>
    <s v="RX"/>
    <s v="Cannulae"/>
    <x v="50"/>
    <n v="0"/>
  </r>
  <r>
    <x v="50"/>
    <n v="2024"/>
    <x v="7"/>
    <x v="2"/>
    <s v="RX"/>
    <s v="Cannulae"/>
    <x v="50"/>
    <n v="0"/>
  </r>
  <r>
    <x v="50"/>
    <n v="2024"/>
    <x v="8"/>
    <x v="2"/>
    <s v="RX"/>
    <s v="Cannulae"/>
    <x v="50"/>
    <n v="577"/>
  </r>
  <r>
    <x v="50"/>
    <n v="2024"/>
    <x v="9"/>
    <x v="2"/>
    <s v="RX"/>
    <s v="Cannulae"/>
    <x v="50"/>
    <n v="422"/>
  </r>
  <r>
    <x v="50"/>
    <n v="2024"/>
    <x v="10"/>
    <x v="2"/>
    <s v="RX"/>
    <s v="Cannulae"/>
    <x v="50"/>
    <n v="465"/>
  </r>
  <r>
    <x v="50"/>
    <n v="2024"/>
    <x v="11"/>
    <x v="2"/>
    <s v="RX"/>
    <s v="Cannulae"/>
    <x v="50"/>
    <n v="465"/>
  </r>
  <r>
    <x v="51"/>
    <n v="2024"/>
    <x v="0"/>
    <x v="2"/>
    <s v="RX"/>
    <s v="Cannulae"/>
    <x v="51"/>
    <n v="0"/>
  </r>
  <r>
    <x v="51"/>
    <n v="2024"/>
    <x v="1"/>
    <x v="2"/>
    <s v="RX"/>
    <s v="Cannulae"/>
    <x v="51"/>
    <n v="0"/>
  </r>
  <r>
    <x v="51"/>
    <n v="2024"/>
    <x v="2"/>
    <x v="2"/>
    <s v="RX"/>
    <s v="Cannulae"/>
    <x v="51"/>
    <n v="0"/>
  </r>
  <r>
    <x v="51"/>
    <n v="2024"/>
    <x v="3"/>
    <x v="2"/>
    <s v="RX"/>
    <s v="Cannulae"/>
    <x v="51"/>
    <n v="0"/>
  </r>
  <r>
    <x v="51"/>
    <n v="2024"/>
    <x v="4"/>
    <x v="2"/>
    <s v="RX"/>
    <s v="Cannulae"/>
    <x v="51"/>
    <n v="0"/>
  </r>
  <r>
    <x v="51"/>
    <n v="2024"/>
    <x v="5"/>
    <x v="2"/>
    <s v="RX"/>
    <s v="Cannulae"/>
    <x v="51"/>
    <n v="0"/>
  </r>
  <r>
    <x v="51"/>
    <n v="2024"/>
    <x v="6"/>
    <x v="2"/>
    <s v="RX"/>
    <s v="Cannulae"/>
    <x v="51"/>
    <n v="0"/>
  </r>
  <r>
    <x v="51"/>
    <n v="2024"/>
    <x v="7"/>
    <x v="2"/>
    <s v="RX"/>
    <s v="Cannulae"/>
    <x v="51"/>
    <n v="0"/>
  </r>
  <r>
    <x v="51"/>
    <n v="2024"/>
    <x v="8"/>
    <x v="2"/>
    <s v="RX"/>
    <s v="Cannulae"/>
    <x v="51"/>
    <n v="471"/>
  </r>
  <r>
    <x v="51"/>
    <n v="2024"/>
    <x v="9"/>
    <x v="2"/>
    <s v="RX"/>
    <s v="Cannulae"/>
    <x v="51"/>
    <n v="633"/>
  </r>
  <r>
    <x v="51"/>
    <n v="2024"/>
    <x v="10"/>
    <x v="2"/>
    <s v="RX"/>
    <s v="Cannulae"/>
    <x v="51"/>
    <n v="671"/>
  </r>
  <r>
    <x v="51"/>
    <n v="2024"/>
    <x v="11"/>
    <x v="2"/>
    <s v="RX"/>
    <s v="Cannulae"/>
    <x v="51"/>
    <n v="490"/>
  </r>
  <r>
    <x v="52"/>
    <n v="2024"/>
    <x v="0"/>
    <x v="2"/>
    <s v="RX"/>
    <s v="Cannulae"/>
    <x v="52"/>
    <n v="0"/>
  </r>
  <r>
    <x v="52"/>
    <n v="2024"/>
    <x v="1"/>
    <x v="2"/>
    <s v="RX"/>
    <s v="Cannulae"/>
    <x v="52"/>
    <n v="0"/>
  </r>
  <r>
    <x v="52"/>
    <n v="2024"/>
    <x v="2"/>
    <x v="2"/>
    <s v="RX"/>
    <s v="Cannulae"/>
    <x v="52"/>
    <n v="0"/>
  </r>
  <r>
    <x v="52"/>
    <n v="2024"/>
    <x v="3"/>
    <x v="2"/>
    <s v="RX"/>
    <s v="Cannulae"/>
    <x v="52"/>
    <n v="0"/>
  </r>
  <r>
    <x v="52"/>
    <n v="2024"/>
    <x v="4"/>
    <x v="2"/>
    <s v="RX"/>
    <s v="Cannulae"/>
    <x v="52"/>
    <n v="0"/>
  </r>
  <r>
    <x v="52"/>
    <n v="2024"/>
    <x v="5"/>
    <x v="2"/>
    <s v="RX"/>
    <s v="Cannulae"/>
    <x v="52"/>
    <n v="0"/>
  </r>
  <r>
    <x v="52"/>
    <n v="2024"/>
    <x v="6"/>
    <x v="2"/>
    <s v="RX"/>
    <s v="Cannulae"/>
    <x v="52"/>
    <n v="0"/>
  </r>
  <r>
    <x v="52"/>
    <n v="2024"/>
    <x v="7"/>
    <x v="2"/>
    <s v="RX"/>
    <s v="Cannulae"/>
    <x v="52"/>
    <n v="0"/>
  </r>
  <r>
    <x v="52"/>
    <n v="2024"/>
    <x v="8"/>
    <x v="2"/>
    <s v="RX"/>
    <s v="Cannulae"/>
    <x v="52"/>
    <n v="671"/>
  </r>
  <r>
    <x v="52"/>
    <n v="2024"/>
    <x v="9"/>
    <x v="2"/>
    <s v="RX"/>
    <s v="Cannulae"/>
    <x v="52"/>
    <n v="1191"/>
  </r>
  <r>
    <x v="52"/>
    <n v="2024"/>
    <x v="10"/>
    <x v="2"/>
    <s v="RX"/>
    <s v="Cannulae"/>
    <x v="52"/>
    <n v="629"/>
  </r>
  <r>
    <x v="52"/>
    <n v="2024"/>
    <x v="11"/>
    <x v="2"/>
    <s v="RX"/>
    <s v="Cannulae"/>
    <x v="52"/>
    <n v="856"/>
  </r>
  <r>
    <x v="53"/>
    <n v="2024"/>
    <x v="0"/>
    <x v="2"/>
    <s v="RX"/>
    <s v="Cannulae"/>
    <x v="53"/>
    <n v="0"/>
  </r>
  <r>
    <x v="53"/>
    <n v="2024"/>
    <x v="1"/>
    <x v="2"/>
    <s v="RX"/>
    <s v="Cannulae"/>
    <x v="53"/>
    <n v="0"/>
  </r>
  <r>
    <x v="53"/>
    <n v="2024"/>
    <x v="2"/>
    <x v="2"/>
    <s v="RX"/>
    <s v="Cannulae"/>
    <x v="53"/>
    <n v="0"/>
  </r>
  <r>
    <x v="53"/>
    <n v="2024"/>
    <x v="3"/>
    <x v="2"/>
    <s v="RX"/>
    <s v="Cannulae"/>
    <x v="53"/>
    <n v="0"/>
  </r>
  <r>
    <x v="53"/>
    <n v="2024"/>
    <x v="4"/>
    <x v="2"/>
    <s v="RX"/>
    <s v="Cannulae"/>
    <x v="53"/>
    <n v="0"/>
  </r>
  <r>
    <x v="53"/>
    <n v="2024"/>
    <x v="5"/>
    <x v="2"/>
    <s v="RX"/>
    <s v="Cannulae"/>
    <x v="53"/>
    <n v="0"/>
  </r>
  <r>
    <x v="53"/>
    <n v="2024"/>
    <x v="6"/>
    <x v="2"/>
    <s v="RX"/>
    <s v="Cannulae"/>
    <x v="53"/>
    <n v="0"/>
  </r>
  <r>
    <x v="53"/>
    <n v="2024"/>
    <x v="7"/>
    <x v="2"/>
    <s v="RX"/>
    <s v="Cannulae"/>
    <x v="53"/>
    <n v="0"/>
  </r>
  <r>
    <x v="53"/>
    <n v="2024"/>
    <x v="8"/>
    <x v="2"/>
    <s v="RX"/>
    <s v="Cannulae"/>
    <x v="53"/>
    <n v="768"/>
  </r>
  <r>
    <x v="53"/>
    <n v="2024"/>
    <x v="9"/>
    <x v="2"/>
    <s v="RX"/>
    <s v="Cannulae"/>
    <x v="53"/>
    <n v="716"/>
  </r>
  <r>
    <x v="53"/>
    <n v="2024"/>
    <x v="10"/>
    <x v="2"/>
    <s v="RX"/>
    <s v="Cannulae"/>
    <x v="53"/>
    <n v="509"/>
  </r>
  <r>
    <x v="53"/>
    <n v="2024"/>
    <x v="11"/>
    <x v="2"/>
    <s v="RX"/>
    <s v="Cannulae"/>
    <x v="53"/>
    <n v="611"/>
  </r>
  <r>
    <x v="54"/>
    <n v="2024"/>
    <x v="0"/>
    <x v="2"/>
    <s v="RX"/>
    <s v="Cannulae"/>
    <x v="54"/>
    <n v="0"/>
  </r>
  <r>
    <x v="54"/>
    <n v="2024"/>
    <x v="1"/>
    <x v="2"/>
    <s v="RX"/>
    <s v="Cannulae"/>
    <x v="54"/>
    <n v="0"/>
  </r>
  <r>
    <x v="54"/>
    <n v="2024"/>
    <x v="2"/>
    <x v="2"/>
    <s v="RX"/>
    <s v="Cannulae"/>
    <x v="54"/>
    <n v="0"/>
  </r>
  <r>
    <x v="54"/>
    <n v="2024"/>
    <x v="3"/>
    <x v="2"/>
    <s v="RX"/>
    <s v="Cannulae"/>
    <x v="54"/>
    <n v="0"/>
  </r>
  <r>
    <x v="54"/>
    <n v="2024"/>
    <x v="4"/>
    <x v="2"/>
    <s v="RX"/>
    <s v="Cannulae"/>
    <x v="54"/>
    <n v="0"/>
  </r>
  <r>
    <x v="54"/>
    <n v="2024"/>
    <x v="5"/>
    <x v="2"/>
    <s v="RX"/>
    <s v="Cannulae"/>
    <x v="54"/>
    <n v="0"/>
  </r>
  <r>
    <x v="54"/>
    <n v="2024"/>
    <x v="6"/>
    <x v="2"/>
    <s v="RX"/>
    <s v="Cannulae"/>
    <x v="54"/>
    <n v="0"/>
  </r>
  <r>
    <x v="54"/>
    <n v="2024"/>
    <x v="7"/>
    <x v="2"/>
    <s v="RX"/>
    <s v="Cannulae"/>
    <x v="54"/>
    <n v="0"/>
  </r>
  <r>
    <x v="54"/>
    <n v="2024"/>
    <x v="8"/>
    <x v="2"/>
    <s v="RX"/>
    <s v="Cannulae"/>
    <x v="54"/>
    <n v="672"/>
  </r>
  <r>
    <x v="54"/>
    <n v="2024"/>
    <x v="9"/>
    <x v="2"/>
    <s v="RX"/>
    <s v="Cannulae"/>
    <x v="54"/>
    <n v="470"/>
  </r>
  <r>
    <x v="54"/>
    <n v="2024"/>
    <x v="10"/>
    <x v="2"/>
    <s v="RX"/>
    <s v="Cannulae"/>
    <x v="54"/>
    <n v="483"/>
  </r>
  <r>
    <x v="54"/>
    <n v="2024"/>
    <x v="11"/>
    <x v="2"/>
    <s v="RX"/>
    <s v="Cannulae"/>
    <x v="54"/>
    <n v="341"/>
  </r>
  <r>
    <x v="55"/>
    <n v="2024"/>
    <x v="0"/>
    <x v="2"/>
    <s v="RX"/>
    <s v="Cannulae"/>
    <x v="55"/>
    <n v="0"/>
  </r>
  <r>
    <x v="55"/>
    <n v="2024"/>
    <x v="1"/>
    <x v="2"/>
    <s v="RX"/>
    <s v="Cannulae"/>
    <x v="55"/>
    <n v="0"/>
  </r>
  <r>
    <x v="55"/>
    <n v="2024"/>
    <x v="2"/>
    <x v="2"/>
    <s v="RX"/>
    <s v="Cannulae"/>
    <x v="55"/>
    <n v="0"/>
  </r>
  <r>
    <x v="55"/>
    <n v="2024"/>
    <x v="3"/>
    <x v="2"/>
    <s v="RX"/>
    <s v="Cannulae"/>
    <x v="55"/>
    <n v="0"/>
  </r>
  <r>
    <x v="55"/>
    <n v="2024"/>
    <x v="4"/>
    <x v="2"/>
    <s v="RX"/>
    <s v="Cannulae"/>
    <x v="55"/>
    <n v="0"/>
  </r>
  <r>
    <x v="55"/>
    <n v="2024"/>
    <x v="5"/>
    <x v="2"/>
    <s v="RX"/>
    <s v="Cannulae"/>
    <x v="55"/>
    <n v="0"/>
  </r>
  <r>
    <x v="55"/>
    <n v="2024"/>
    <x v="6"/>
    <x v="2"/>
    <s v="RX"/>
    <s v="Cannulae"/>
    <x v="55"/>
    <n v="0"/>
  </r>
  <r>
    <x v="55"/>
    <n v="2024"/>
    <x v="7"/>
    <x v="2"/>
    <s v="RX"/>
    <s v="Cannulae"/>
    <x v="55"/>
    <n v="0"/>
  </r>
  <r>
    <x v="55"/>
    <n v="2024"/>
    <x v="8"/>
    <x v="2"/>
    <s v="RX"/>
    <s v="Cannulae"/>
    <x v="55"/>
    <n v="313"/>
  </r>
  <r>
    <x v="55"/>
    <n v="2024"/>
    <x v="9"/>
    <x v="2"/>
    <s v="RX"/>
    <s v="Cannulae"/>
    <x v="55"/>
    <n v="305"/>
  </r>
  <r>
    <x v="55"/>
    <n v="2024"/>
    <x v="10"/>
    <x v="2"/>
    <s v="RX"/>
    <s v="Cannulae"/>
    <x v="55"/>
    <n v="513"/>
  </r>
  <r>
    <x v="55"/>
    <n v="2024"/>
    <x v="11"/>
    <x v="2"/>
    <s v="RX"/>
    <s v="Cannulae"/>
    <x v="55"/>
    <n v="344"/>
  </r>
  <r>
    <x v="56"/>
    <n v="2024"/>
    <x v="0"/>
    <x v="2"/>
    <s v="RX"/>
    <s v="Cannulae"/>
    <x v="56"/>
    <n v="0"/>
  </r>
  <r>
    <x v="56"/>
    <n v="2024"/>
    <x v="1"/>
    <x v="2"/>
    <s v="RX"/>
    <s v="Cannulae"/>
    <x v="56"/>
    <n v="0"/>
  </r>
  <r>
    <x v="56"/>
    <n v="2024"/>
    <x v="2"/>
    <x v="2"/>
    <s v="RX"/>
    <s v="Cannulae"/>
    <x v="56"/>
    <n v="0"/>
  </r>
  <r>
    <x v="56"/>
    <n v="2024"/>
    <x v="3"/>
    <x v="2"/>
    <s v="RX"/>
    <s v="Cannulae"/>
    <x v="56"/>
    <n v="0"/>
  </r>
  <r>
    <x v="56"/>
    <n v="2024"/>
    <x v="4"/>
    <x v="2"/>
    <s v="RX"/>
    <s v="Cannulae"/>
    <x v="56"/>
    <n v="0"/>
  </r>
  <r>
    <x v="56"/>
    <n v="2024"/>
    <x v="5"/>
    <x v="2"/>
    <s v="RX"/>
    <s v="Cannulae"/>
    <x v="56"/>
    <n v="0"/>
  </r>
  <r>
    <x v="56"/>
    <n v="2024"/>
    <x v="6"/>
    <x v="2"/>
    <s v="RX"/>
    <s v="Cannulae"/>
    <x v="56"/>
    <n v="0"/>
  </r>
  <r>
    <x v="56"/>
    <n v="2024"/>
    <x v="7"/>
    <x v="2"/>
    <s v="RX"/>
    <s v="Cannulae"/>
    <x v="56"/>
    <n v="0"/>
  </r>
  <r>
    <x v="56"/>
    <n v="2024"/>
    <x v="8"/>
    <x v="2"/>
    <s v="RX"/>
    <s v="Cannulae"/>
    <x v="56"/>
    <n v="528"/>
  </r>
  <r>
    <x v="56"/>
    <n v="2024"/>
    <x v="9"/>
    <x v="2"/>
    <s v="RX"/>
    <s v="Cannulae"/>
    <x v="56"/>
    <n v="88"/>
  </r>
  <r>
    <x v="56"/>
    <n v="2024"/>
    <x v="10"/>
    <x v="2"/>
    <s v="RX"/>
    <s v="Cannulae"/>
    <x v="56"/>
    <n v="205"/>
  </r>
  <r>
    <x v="56"/>
    <n v="2024"/>
    <x v="11"/>
    <x v="2"/>
    <s v="RX"/>
    <s v="Cannulae"/>
    <x v="56"/>
    <n v="336"/>
  </r>
  <r>
    <x v="57"/>
    <n v="2024"/>
    <x v="0"/>
    <x v="2"/>
    <s v="RX"/>
    <s v="Dilators"/>
    <x v="57"/>
    <n v="0"/>
  </r>
  <r>
    <x v="57"/>
    <n v="2024"/>
    <x v="1"/>
    <x v="2"/>
    <s v="RX"/>
    <s v="Dilators"/>
    <x v="57"/>
    <n v="0"/>
  </r>
  <r>
    <x v="57"/>
    <n v="2024"/>
    <x v="2"/>
    <x v="2"/>
    <s v="RX"/>
    <s v="Dilators"/>
    <x v="57"/>
    <n v="0"/>
  </r>
  <r>
    <x v="57"/>
    <n v="2024"/>
    <x v="3"/>
    <x v="2"/>
    <s v="RX"/>
    <s v="Dilators"/>
    <x v="57"/>
    <n v="0"/>
  </r>
  <r>
    <x v="57"/>
    <n v="2024"/>
    <x v="4"/>
    <x v="2"/>
    <s v="RX"/>
    <s v="Dilators"/>
    <x v="57"/>
    <n v="0"/>
  </r>
  <r>
    <x v="57"/>
    <n v="2024"/>
    <x v="5"/>
    <x v="2"/>
    <s v="RX"/>
    <s v="Dilators"/>
    <x v="57"/>
    <n v="0"/>
  </r>
  <r>
    <x v="57"/>
    <n v="2024"/>
    <x v="6"/>
    <x v="2"/>
    <s v="RX"/>
    <s v="Dilators"/>
    <x v="57"/>
    <n v="0"/>
  </r>
  <r>
    <x v="57"/>
    <n v="2024"/>
    <x v="7"/>
    <x v="2"/>
    <s v="RX"/>
    <s v="Dilators"/>
    <x v="57"/>
    <n v="0"/>
  </r>
  <r>
    <x v="57"/>
    <n v="2024"/>
    <x v="8"/>
    <x v="2"/>
    <s v="RX"/>
    <s v="Dilators"/>
    <x v="57"/>
    <n v="3588"/>
  </r>
  <r>
    <x v="57"/>
    <n v="2024"/>
    <x v="9"/>
    <x v="2"/>
    <s v="RX"/>
    <s v="Dilators"/>
    <x v="57"/>
    <n v="3318"/>
  </r>
  <r>
    <x v="57"/>
    <n v="2024"/>
    <x v="10"/>
    <x v="2"/>
    <s v="RX"/>
    <s v="Dilators"/>
    <x v="57"/>
    <n v="6180"/>
  </r>
  <r>
    <x v="57"/>
    <n v="2024"/>
    <x v="11"/>
    <x v="2"/>
    <s v="RX"/>
    <s v="Dilators"/>
    <x v="57"/>
    <n v="1923"/>
  </r>
  <r>
    <x v="58"/>
    <n v="2024"/>
    <x v="0"/>
    <x v="2"/>
    <s v="RX"/>
    <s v="IUDs Cu &amp; IUS &amp; IUB"/>
    <x v="58"/>
    <n v="0"/>
  </r>
  <r>
    <x v="58"/>
    <n v="2024"/>
    <x v="1"/>
    <x v="2"/>
    <s v="RX"/>
    <s v="IUDs Cu &amp; IUS &amp; IUB"/>
    <x v="58"/>
    <n v="0"/>
  </r>
  <r>
    <x v="58"/>
    <n v="2024"/>
    <x v="2"/>
    <x v="2"/>
    <s v="RX"/>
    <s v="IUDs Cu &amp; IUS &amp; IUB"/>
    <x v="58"/>
    <n v="0"/>
  </r>
  <r>
    <x v="58"/>
    <n v="2024"/>
    <x v="3"/>
    <x v="2"/>
    <s v="RX"/>
    <s v="IUDs Cu &amp; IUS &amp; IUB"/>
    <x v="58"/>
    <n v="0"/>
  </r>
  <r>
    <x v="58"/>
    <n v="2024"/>
    <x v="4"/>
    <x v="2"/>
    <s v="RX"/>
    <s v="IUDs Cu &amp; IUS &amp; IUB"/>
    <x v="58"/>
    <n v="0"/>
  </r>
  <r>
    <x v="58"/>
    <n v="2024"/>
    <x v="5"/>
    <x v="2"/>
    <s v="RX"/>
    <s v="IUDs Cu &amp; IUS &amp; IUB"/>
    <x v="58"/>
    <n v="0"/>
  </r>
  <r>
    <x v="58"/>
    <n v="2024"/>
    <x v="6"/>
    <x v="2"/>
    <s v="RX"/>
    <s v="IUDs Cu &amp; IUS &amp; IUB"/>
    <x v="58"/>
    <n v="0"/>
  </r>
  <r>
    <x v="58"/>
    <n v="2024"/>
    <x v="7"/>
    <x v="2"/>
    <s v="RX"/>
    <s v="IUDs Cu &amp; IUS &amp; IUB"/>
    <x v="58"/>
    <n v="0"/>
  </r>
  <r>
    <x v="58"/>
    <n v="2024"/>
    <x v="8"/>
    <x v="2"/>
    <s v="RX"/>
    <s v="IUDs Cu &amp; IUS &amp; IUB"/>
    <x v="58"/>
    <n v="0"/>
  </r>
  <r>
    <x v="58"/>
    <n v="2024"/>
    <x v="9"/>
    <x v="2"/>
    <s v="RX"/>
    <s v="IUDs Cu &amp; IUS &amp; IUB"/>
    <x v="58"/>
    <n v="455"/>
  </r>
  <r>
    <x v="58"/>
    <n v="2024"/>
    <x v="10"/>
    <x v="2"/>
    <s v="RX"/>
    <s v="IUDs Cu &amp; IUS &amp; IUB"/>
    <x v="58"/>
    <n v="614"/>
  </r>
  <r>
    <x v="58"/>
    <n v="2024"/>
    <x v="11"/>
    <x v="2"/>
    <s v="RX"/>
    <s v="IUDs Cu &amp; IUS &amp; IUB"/>
    <x v="58"/>
    <n v="120"/>
  </r>
  <r>
    <x v="59"/>
    <n v="2024"/>
    <x v="0"/>
    <x v="2"/>
    <s v="RX"/>
    <s v="IUDs Cu &amp; IUS &amp; IUB"/>
    <x v="59"/>
    <n v="0"/>
  </r>
  <r>
    <x v="59"/>
    <n v="2024"/>
    <x v="1"/>
    <x v="2"/>
    <s v="RX"/>
    <s v="IUDs Cu &amp; IUS &amp; IUB"/>
    <x v="59"/>
    <n v="0"/>
  </r>
  <r>
    <x v="59"/>
    <n v="2024"/>
    <x v="2"/>
    <x v="2"/>
    <s v="RX"/>
    <s v="IUDs Cu &amp; IUS &amp; IUB"/>
    <x v="59"/>
    <n v="0"/>
  </r>
  <r>
    <x v="59"/>
    <n v="2024"/>
    <x v="3"/>
    <x v="2"/>
    <s v="RX"/>
    <s v="IUDs Cu &amp; IUS &amp; IUB"/>
    <x v="59"/>
    <n v="0"/>
  </r>
  <r>
    <x v="59"/>
    <n v="2024"/>
    <x v="4"/>
    <x v="2"/>
    <s v="RX"/>
    <s v="IUDs Cu &amp; IUS &amp; IUB"/>
    <x v="59"/>
    <n v="0"/>
  </r>
  <r>
    <x v="59"/>
    <n v="2024"/>
    <x v="5"/>
    <x v="2"/>
    <s v="RX"/>
    <s v="IUDs Cu &amp; IUS &amp; IUB"/>
    <x v="59"/>
    <n v="0"/>
  </r>
  <r>
    <x v="59"/>
    <n v="2024"/>
    <x v="6"/>
    <x v="2"/>
    <s v="RX"/>
    <s v="IUDs Cu &amp; IUS &amp; IUB"/>
    <x v="59"/>
    <n v="0"/>
  </r>
  <r>
    <x v="59"/>
    <n v="2024"/>
    <x v="7"/>
    <x v="2"/>
    <s v="RX"/>
    <s v="IUDs Cu &amp; IUS &amp; IUB"/>
    <x v="59"/>
    <n v="0"/>
  </r>
  <r>
    <x v="59"/>
    <n v="2024"/>
    <x v="8"/>
    <x v="2"/>
    <s v="RX"/>
    <s v="IUDs Cu &amp; IUS &amp; IUB"/>
    <x v="59"/>
    <n v="0"/>
  </r>
  <r>
    <x v="59"/>
    <n v="2024"/>
    <x v="9"/>
    <x v="2"/>
    <s v="RX"/>
    <s v="IUDs Cu &amp; IUS &amp; IUB"/>
    <x v="59"/>
    <n v="1026"/>
  </r>
  <r>
    <x v="59"/>
    <n v="2024"/>
    <x v="10"/>
    <x v="2"/>
    <s v="RX"/>
    <s v="IUDs Cu &amp; IUS &amp; IUB"/>
    <x v="59"/>
    <n v="802"/>
  </r>
  <r>
    <x v="59"/>
    <n v="2024"/>
    <x v="11"/>
    <x v="2"/>
    <s v="RX"/>
    <s v="IUDs Cu &amp; IUS &amp; IUB"/>
    <x v="59"/>
    <n v="788"/>
  </r>
  <r>
    <x v="60"/>
    <n v="2024"/>
    <x v="0"/>
    <x v="2"/>
    <s v="RX"/>
    <s v="IUDs Cu &amp; IUS &amp; IUB"/>
    <x v="60"/>
    <n v="0"/>
  </r>
  <r>
    <x v="60"/>
    <n v="2024"/>
    <x v="1"/>
    <x v="2"/>
    <s v="RX"/>
    <s v="IUDs Cu &amp; IUS &amp; IUB"/>
    <x v="60"/>
    <n v="0"/>
  </r>
  <r>
    <x v="60"/>
    <n v="2024"/>
    <x v="2"/>
    <x v="2"/>
    <s v="RX"/>
    <s v="IUDs Cu &amp; IUS &amp; IUB"/>
    <x v="60"/>
    <n v="0"/>
  </r>
  <r>
    <x v="60"/>
    <n v="2024"/>
    <x v="3"/>
    <x v="2"/>
    <s v="RX"/>
    <s v="IUDs Cu &amp; IUS &amp; IUB"/>
    <x v="60"/>
    <n v="0"/>
  </r>
  <r>
    <x v="60"/>
    <n v="2024"/>
    <x v="4"/>
    <x v="2"/>
    <s v="RX"/>
    <s v="IUDs Cu &amp; IUS &amp; IUB"/>
    <x v="60"/>
    <n v="0"/>
  </r>
  <r>
    <x v="60"/>
    <n v="2024"/>
    <x v="5"/>
    <x v="2"/>
    <s v="RX"/>
    <s v="IUDs Cu &amp; IUS &amp; IUB"/>
    <x v="60"/>
    <n v="0"/>
  </r>
  <r>
    <x v="60"/>
    <n v="2024"/>
    <x v="6"/>
    <x v="2"/>
    <s v="RX"/>
    <s v="IUDs Cu &amp; IUS &amp; IUB"/>
    <x v="60"/>
    <n v="0"/>
  </r>
  <r>
    <x v="60"/>
    <n v="2024"/>
    <x v="7"/>
    <x v="2"/>
    <s v="RX"/>
    <s v="IUDs Cu &amp; IUS &amp; IUB"/>
    <x v="60"/>
    <n v="0"/>
  </r>
  <r>
    <x v="60"/>
    <n v="2024"/>
    <x v="8"/>
    <x v="2"/>
    <s v="RX"/>
    <s v="IUDs Cu &amp; IUS &amp; IUB"/>
    <x v="60"/>
    <n v="4132"/>
  </r>
  <r>
    <x v="60"/>
    <n v="2024"/>
    <x v="9"/>
    <x v="2"/>
    <s v="RX"/>
    <s v="IUDs Cu &amp; IUS &amp; IUB"/>
    <x v="60"/>
    <n v="494"/>
  </r>
  <r>
    <x v="60"/>
    <n v="2024"/>
    <x v="10"/>
    <x v="2"/>
    <s v="RX"/>
    <s v="IUDs Cu &amp; IUS &amp; IUB"/>
    <x v="60"/>
    <n v="3129"/>
  </r>
  <r>
    <x v="60"/>
    <n v="2024"/>
    <x v="11"/>
    <x v="2"/>
    <s v="RX"/>
    <s v="IUDs Cu &amp; IUS &amp; IUB"/>
    <x v="60"/>
    <n v="2331"/>
  </r>
  <r>
    <x v="61"/>
    <n v="2024"/>
    <x v="0"/>
    <x v="2"/>
    <s v="RX"/>
    <s v="IUDs Cu &amp; IUS &amp; IUB"/>
    <x v="61"/>
    <n v="0"/>
  </r>
  <r>
    <x v="61"/>
    <n v="2024"/>
    <x v="1"/>
    <x v="2"/>
    <s v="RX"/>
    <s v="IUDs Cu &amp; IUS &amp; IUB"/>
    <x v="61"/>
    <n v="0"/>
  </r>
  <r>
    <x v="61"/>
    <n v="2024"/>
    <x v="2"/>
    <x v="2"/>
    <s v="RX"/>
    <s v="IUDs Cu &amp; IUS &amp; IUB"/>
    <x v="61"/>
    <n v="0"/>
  </r>
  <r>
    <x v="61"/>
    <n v="2024"/>
    <x v="3"/>
    <x v="2"/>
    <s v="RX"/>
    <s v="IUDs Cu &amp; IUS &amp; IUB"/>
    <x v="61"/>
    <n v="0"/>
  </r>
  <r>
    <x v="61"/>
    <n v="2024"/>
    <x v="4"/>
    <x v="2"/>
    <s v="RX"/>
    <s v="IUDs Cu &amp; IUS &amp; IUB"/>
    <x v="61"/>
    <n v="0"/>
  </r>
  <r>
    <x v="61"/>
    <n v="2024"/>
    <x v="5"/>
    <x v="2"/>
    <s v="RX"/>
    <s v="IUDs Cu &amp; IUS &amp; IUB"/>
    <x v="61"/>
    <n v="0"/>
  </r>
  <r>
    <x v="61"/>
    <n v="2024"/>
    <x v="6"/>
    <x v="2"/>
    <s v="RX"/>
    <s v="IUDs Cu &amp; IUS &amp; IUB"/>
    <x v="61"/>
    <n v="0"/>
  </r>
  <r>
    <x v="61"/>
    <n v="2024"/>
    <x v="7"/>
    <x v="2"/>
    <s v="RX"/>
    <s v="IUDs Cu &amp; IUS &amp; IUB"/>
    <x v="61"/>
    <n v="0"/>
  </r>
  <r>
    <x v="61"/>
    <n v="2024"/>
    <x v="8"/>
    <x v="2"/>
    <s v="RX"/>
    <s v="IUDs Cu &amp; IUS &amp; IUB"/>
    <x v="61"/>
    <n v="1685"/>
  </r>
  <r>
    <x v="61"/>
    <n v="2024"/>
    <x v="9"/>
    <x v="2"/>
    <s v="RX"/>
    <s v="IUDs Cu &amp; IUS &amp; IUB"/>
    <x v="61"/>
    <n v="1064"/>
  </r>
  <r>
    <x v="61"/>
    <n v="2024"/>
    <x v="10"/>
    <x v="2"/>
    <s v="RX"/>
    <s v="IUDs Cu &amp; IUS &amp; IUB"/>
    <x v="61"/>
    <n v="1095"/>
  </r>
  <r>
    <x v="61"/>
    <n v="2024"/>
    <x v="11"/>
    <x v="2"/>
    <s v="RX"/>
    <s v="IUDs Cu &amp; IUS &amp; IUB"/>
    <x v="61"/>
    <n v="966"/>
  </r>
  <r>
    <x v="62"/>
    <n v="2024"/>
    <x v="0"/>
    <x v="2"/>
    <s v="RX"/>
    <s v="IUDs Cu &amp; IUS &amp; IUB"/>
    <x v="62"/>
    <n v="0"/>
  </r>
  <r>
    <x v="62"/>
    <n v="2024"/>
    <x v="1"/>
    <x v="2"/>
    <s v="RX"/>
    <s v="IUDs Cu &amp; IUS &amp; IUB"/>
    <x v="62"/>
    <n v="0"/>
  </r>
  <r>
    <x v="62"/>
    <n v="2024"/>
    <x v="2"/>
    <x v="2"/>
    <s v="RX"/>
    <s v="IUDs Cu &amp; IUS &amp; IUB"/>
    <x v="62"/>
    <n v="0"/>
  </r>
  <r>
    <x v="62"/>
    <n v="2024"/>
    <x v="3"/>
    <x v="2"/>
    <s v="RX"/>
    <s v="IUDs Cu &amp; IUS &amp; IUB"/>
    <x v="62"/>
    <n v="0"/>
  </r>
  <r>
    <x v="62"/>
    <n v="2024"/>
    <x v="4"/>
    <x v="2"/>
    <s v="RX"/>
    <s v="IUDs Cu &amp; IUS &amp; IUB"/>
    <x v="62"/>
    <n v="0"/>
  </r>
  <r>
    <x v="62"/>
    <n v="2024"/>
    <x v="5"/>
    <x v="2"/>
    <s v="RX"/>
    <s v="IUDs Cu &amp; IUS &amp; IUB"/>
    <x v="62"/>
    <n v="0"/>
  </r>
  <r>
    <x v="62"/>
    <n v="2024"/>
    <x v="6"/>
    <x v="2"/>
    <s v="RX"/>
    <s v="IUDs Cu &amp; IUS &amp; IUB"/>
    <x v="62"/>
    <n v="0"/>
  </r>
  <r>
    <x v="62"/>
    <n v="2024"/>
    <x v="7"/>
    <x v="2"/>
    <s v="RX"/>
    <s v="IUDs Cu &amp; IUS &amp; IUB"/>
    <x v="62"/>
    <n v="0"/>
  </r>
  <r>
    <x v="62"/>
    <n v="2024"/>
    <x v="8"/>
    <x v="2"/>
    <s v="RX"/>
    <s v="IUDs Cu &amp; IUS &amp; IUB"/>
    <x v="62"/>
    <n v="24"/>
  </r>
  <r>
    <x v="62"/>
    <n v="2024"/>
    <x v="9"/>
    <x v="2"/>
    <s v="RX"/>
    <s v="IUDs Cu &amp; IUS &amp; IUB"/>
    <x v="62"/>
    <n v="45"/>
  </r>
  <r>
    <x v="62"/>
    <n v="2024"/>
    <x v="10"/>
    <x v="2"/>
    <s v="RX"/>
    <s v="IUDs Cu &amp; IUS &amp; IUB"/>
    <x v="62"/>
    <n v="22"/>
  </r>
  <r>
    <x v="62"/>
    <n v="2024"/>
    <x v="11"/>
    <x v="2"/>
    <s v="RX"/>
    <s v="IUDs Cu &amp; IUS &amp; IUB"/>
    <x v="62"/>
    <n v="41"/>
  </r>
  <r>
    <x v="63"/>
    <n v="2024"/>
    <x v="0"/>
    <x v="2"/>
    <s v="RX"/>
    <s v="IUDs Cu &amp; IUS &amp; IUB"/>
    <x v="63"/>
    <n v="0"/>
  </r>
  <r>
    <x v="63"/>
    <n v="2024"/>
    <x v="1"/>
    <x v="2"/>
    <s v="RX"/>
    <s v="IUDs Cu &amp; IUS &amp; IUB"/>
    <x v="63"/>
    <n v="0"/>
  </r>
  <r>
    <x v="63"/>
    <n v="2024"/>
    <x v="2"/>
    <x v="2"/>
    <s v="RX"/>
    <s v="IUDs Cu &amp; IUS &amp; IUB"/>
    <x v="63"/>
    <n v="0"/>
  </r>
  <r>
    <x v="63"/>
    <n v="2024"/>
    <x v="3"/>
    <x v="2"/>
    <s v="RX"/>
    <s v="IUDs Cu &amp; IUS &amp; IUB"/>
    <x v="63"/>
    <n v="0"/>
  </r>
  <r>
    <x v="63"/>
    <n v="2024"/>
    <x v="4"/>
    <x v="2"/>
    <s v="RX"/>
    <s v="IUDs Cu &amp; IUS &amp; IUB"/>
    <x v="63"/>
    <n v="0"/>
  </r>
  <r>
    <x v="63"/>
    <n v="2024"/>
    <x v="5"/>
    <x v="2"/>
    <s v="RX"/>
    <s v="IUDs Cu &amp; IUS &amp; IUB"/>
    <x v="63"/>
    <n v="0"/>
  </r>
  <r>
    <x v="63"/>
    <n v="2024"/>
    <x v="6"/>
    <x v="2"/>
    <s v="RX"/>
    <s v="IUDs Cu &amp; IUS &amp; IUB"/>
    <x v="63"/>
    <n v="0"/>
  </r>
  <r>
    <x v="63"/>
    <n v="2024"/>
    <x v="7"/>
    <x v="2"/>
    <s v="RX"/>
    <s v="IUDs Cu &amp; IUS &amp; IUB"/>
    <x v="63"/>
    <n v="0"/>
  </r>
  <r>
    <x v="63"/>
    <n v="2024"/>
    <x v="8"/>
    <x v="2"/>
    <s v="RX"/>
    <s v="IUDs Cu &amp; IUS &amp; IUB"/>
    <x v="63"/>
    <n v="3"/>
  </r>
  <r>
    <x v="63"/>
    <n v="2024"/>
    <x v="9"/>
    <x v="2"/>
    <s v="RX"/>
    <s v="IUDs Cu &amp; IUS &amp; IUB"/>
    <x v="63"/>
    <n v="85"/>
  </r>
  <r>
    <x v="63"/>
    <n v="2024"/>
    <x v="10"/>
    <x v="2"/>
    <s v="RX"/>
    <s v="IUDs Cu &amp; IUS &amp; IUB"/>
    <x v="63"/>
    <n v="106"/>
  </r>
  <r>
    <x v="63"/>
    <n v="2024"/>
    <x v="11"/>
    <x v="2"/>
    <s v="RX"/>
    <s v="IUDs Cu &amp; IUS &amp; IUB"/>
    <x v="63"/>
    <n v="37"/>
  </r>
  <r>
    <x v="64"/>
    <n v="2024"/>
    <x v="0"/>
    <x v="2"/>
    <s v="RX"/>
    <s v="Hysterometer"/>
    <x v="64"/>
    <n v="0"/>
  </r>
  <r>
    <x v="64"/>
    <n v="2024"/>
    <x v="1"/>
    <x v="2"/>
    <s v="RX"/>
    <s v="Hysterometer"/>
    <x v="64"/>
    <n v="0"/>
  </r>
  <r>
    <x v="64"/>
    <n v="2024"/>
    <x v="2"/>
    <x v="2"/>
    <s v="RX"/>
    <s v="Hysterometer"/>
    <x v="64"/>
    <n v="0"/>
  </r>
  <r>
    <x v="64"/>
    <n v="2024"/>
    <x v="3"/>
    <x v="2"/>
    <s v="RX"/>
    <s v="Hysterometer"/>
    <x v="64"/>
    <n v="0"/>
  </r>
  <r>
    <x v="64"/>
    <n v="2024"/>
    <x v="4"/>
    <x v="2"/>
    <s v="RX"/>
    <s v="Hysterometer"/>
    <x v="64"/>
    <n v="0"/>
  </r>
  <r>
    <x v="64"/>
    <n v="2024"/>
    <x v="5"/>
    <x v="2"/>
    <s v="RX"/>
    <s v="Hysterometer"/>
    <x v="64"/>
    <n v="0"/>
  </r>
  <r>
    <x v="64"/>
    <n v="2024"/>
    <x v="6"/>
    <x v="2"/>
    <s v="RX"/>
    <s v="Hysterometer"/>
    <x v="64"/>
    <n v="0"/>
  </r>
  <r>
    <x v="64"/>
    <n v="2024"/>
    <x v="7"/>
    <x v="2"/>
    <s v="RX"/>
    <s v="Hysterometer"/>
    <x v="64"/>
    <n v="0"/>
  </r>
  <r>
    <x v="64"/>
    <n v="2024"/>
    <x v="8"/>
    <x v="2"/>
    <s v="RX"/>
    <s v="Hysterometer"/>
    <x v="64"/>
    <n v="440"/>
  </r>
  <r>
    <x v="64"/>
    <n v="2024"/>
    <x v="9"/>
    <x v="2"/>
    <s v="RX"/>
    <s v="Hysterometer"/>
    <x v="64"/>
    <n v="3282"/>
  </r>
  <r>
    <x v="64"/>
    <n v="2024"/>
    <x v="10"/>
    <x v="2"/>
    <s v="RX"/>
    <s v="Hysterometer"/>
    <x v="64"/>
    <n v="7926"/>
  </r>
  <r>
    <x v="64"/>
    <n v="2024"/>
    <x v="11"/>
    <x v="2"/>
    <s v="RX"/>
    <s v="Hysterometer"/>
    <x v="64"/>
    <n v="1915"/>
  </r>
  <r>
    <x v="65"/>
    <n v="2024"/>
    <x v="0"/>
    <x v="2"/>
    <s v="RX"/>
    <s v="Injetable"/>
    <x v="65"/>
    <n v="0"/>
  </r>
  <r>
    <x v="65"/>
    <n v="2024"/>
    <x v="1"/>
    <x v="2"/>
    <s v="RX"/>
    <s v="Injetable"/>
    <x v="65"/>
    <n v="0"/>
  </r>
  <r>
    <x v="65"/>
    <n v="2024"/>
    <x v="2"/>
    <x v="2"/>
    <s v="RX"/>
    <s v="Injetable"/>
    <x v="65"/>
    <n v="0"/>
  </r>
  <r>
    <x v="65"/>
    <n v="2024"/>
    <x v="3"/>
    <x v="2"/>
    <s v="RX"/>
    <s v="Injetable"/>
    <x v="65"/>
    <n v="0"/>
  </r>
  <r>
    <x v="65"/>
    <n v="2024"/>
    <x v="4"/>
    <x v="2"/>
    <s v="RX"/>
    <s v="Injetable"/>
    <x v="65"/>
    <n v="0"/>
  </r>
  <r>
    <x v="65"/>
    <n v="2024"/>
    <x v="5"/>
    <x v="2"/>
    <s v="RX"/>
    <s v="Injetable"/>
    <x v="65"/>
    <n v="0"/>
  </r>
  <r>
    <x v="65"/>
    <n v="2024"/>
    <x v="6"/>
    <x v="2"/>
    <s v="RX"/>
    <s v="Injetable"/>
    <x v="65"/>
    <n v="0"/>
  </r>
  <r>
    <x v="65"/>
    <n v="2024"/>
    <x v="7"/>
    <x v="2"/>
    <s v="RX"/>
    <s v="Injetable"/>
    <x v="65"/>
    <n v="0"/>
  </r>
  <r>
    <x v="65"/>
    <n v="2024"/>
    <x v="8"/>
    <x v="2"/>
    <s v="RX"/>
    <s v="Injetable"/>
    <x v="65"/>
    <n v="1100"/>
  </r>
  <r>
    <x v="65"/>
    <n v="2024"/>
    <x v="9"/>
    <x v="2"/>
    <s v="RX"/>
    <s v="Injetable"/>
    <x v="65"/>
    <n v="500"/>
  </r>
  <r>
    <x v="65"/>
    <n v="2024"/>
    <x v="10"/>
    <x v="2"/>
    <s v="RX"/>
    <s v="Injetable"/>
    <x v="65"/>
    <n v="1700"/>
  </r>
  <r>
    <x v="65"/>
    <n v="2024"/>
    <x v="11"/>
    <x v="2"/>
    <s v="RX"/>
    <s v="Injetable"/>
    <x v="65"/>
    <n v="600"/>
  </r>
  <r>
    <x v="66"/>
    <n v="2024"/>
    <x v="0"/>
    <x v="2"/>
    <s v="RX"/>
    <s v="EC"/>
    <x v="66"/>
    <n v="0"/>
  </r>
  <r>
    <x v="66"/>
    <n v="2024"/>
    <x v="1"/>
    <x v="2"/>
    <s v="RX"/>
    <s v="EC"/>
    <x v="66"/>
    <n v="0"/>
  </r>
  <r>
    <x v="66"/>
    <n v="2024"/>
    <x v="2"/>
    <x v="2"/>
    <s v="RX"/>
    <s v="EC"/>
    <x v="66"/>
    <n v="0"/>
  </r>
  <r>
    <x v="66"/>
    <n v="2024"/>
    <x v="3"/>
    <x v="2"/>
    <s v="RX"/>
    <s v="EC"/>
    <x v="66"/>
    <n v="0"/>
  </r>
  <r>
    <x v="66"/>
    <n v="2024"/>
    <x v="4"/>
    <x v="2"/>
    <s v="RX"/>
    <s v="EC"/>
    <x v="66"/>
    <n v="0"/>
  </r>
  <r>
    <x v="66"/>
    <n v="2024"/>
    <x v="5"/>
    <x v="2"/>
    <s v="RX"/>
    <s v="EC"/>
    <x v="66"/>
    <n v="0"/>
  </r>
  <r>
    <x v="66"/>
    <n v="2024"/>
    <x v="6"/>
    <x v="2"/>
    <s v="RX"/>
    <s v="EC"/>
    <x v="66"/>
    <n v="0"/>
  </r>
  <r>
    <x v="66"/>
    <n v="2024"/>
    <x v="7"/>
    <x v="2"/>
    <s v="RX"/>
    <s v="EC"/>
    <x v="66"/>
    <n v="0"/>
  </r>
  <r>
    <x v="66"/>
    <n v="2024"/>
    <x v="8"/>
    <x v="2"/>
    <s v="RX"/>
    <s v="EC"/>
    <x v="66"/>
    <n v="45720"/>
  </r>
  <r>
    <x v="66"/>
    <n v="2024"/>
    <x v="9"/>
    <x v="2"/>
    <s v="RX"/>
    <s v="EC"/>
    <x v="66"/>
    <n v="23238"/>
  </r>
  <r>
    <x v="66"/>
    <n v="2024"/>
    <x v="10"/>
    <x v="2"/>
    <s v="RX"/>
    <s v="EC"/>
    <x v="66"/>
    <n v="42300"/>
  </r>
  <r>
    <x v="66"/>
    <n v="2024"/>
    <x v="11"/>
    <x v="2"/>
    <s v="RX"/>
    <s v="EC"/>
    <x v="66"/>
    <n v="1260"/>
  </r>
  <r>
    <x v="0"/>
    <n v="2025"/>
    <x v="0"/>
    <x v="2"/>
    <s v="Preservativo Masculino"/>
    <s v="Básico"/>
    <x v="0"/>
    <n v="12009"/>
  </r>
  <r>
    <x v="0"/>
    <n v="2025"/>
    <x v="1"/>
    <x v="2"/>
    <s v="Preservativo Masculino"/>
    <s v="Básico"/>
    <x v="0"/>
    <n v="6416"/>
  </r>
  <r>
    <x v="0"/>
    <n v="2025"/>
    <x v="2"/>
    <x v="2"/>
    <s v="Preservativo Masculino"/>
    <s v="Básico"/>
    <x v="0"/>
    <n v="12859"/>
  </r>
  <r>
    <x v="0"/>
    <n v="2025"/>
    <x v="3"/>
    <x v="2"/>
    <s v="Preservativo Masculino"/>
    <s v="Básico"/>
    <x v="0"/>
    <n v="5403"/>
  </r>
  <r>
    <x v="0"/>
    <n v="2025"/>
    <x v="4"/>
    <x v="2"/>
    <s v="Preservativo Masculino"/>
    <s v="Básico"/>
    <x v="0"/>
    <n v="355"/>
  </r>
  <r>
    <x v="0"/>
    <n v="2025"/>
    <x v="5"/>
    <x v="2"/>
    <s v="Preservativo Masculino"/>
    <s v="Básico"/>
    <x v="0"/>
    <n v="6650.6548599999996"/>
  </r>
  <r>
    <x v="0"/>
    <n v="2025"/>
    <x v="6"/>
    <x v="2"/>
    <s v="Preservativo Masculino"/>
    <s v="Básico"/>
    <x v="0"/>
    <n v="11780.88754"/>
  </r>
  <r>
    <x v="0"/>
    <n v="2025"/>
    <x v="7"/>
    <x v="2"/>
    <s v="Preservativo Masculino"/>
    <s v="Básico"/>
    <x v="0"/>
    <n v="14465.271219999999"/>
  </r>
  <r>
    <x v="0"/>
    <n v="2025"/>
    <x v="8"/>
    <x v="2"/>
    <s v="Preservativo Masculino"/>
    <s v="Básico"/>
    <x v="0"/>
    <n v="21465.271219999999"/>
  </r>
  <r>
    <x v="0"/>
    <n v="2025"/>
    <x v="9"/>
    <x v="2"/>
    <s v="Preservativo Masculino"/>
    <s v="Básico"/>
    <x v="0"/>
    <n v="25465.271219999995"/>
  </r>
  <r>
    <x v="0"/>
    <n v="2025"/>
    <x v="10"/>
    <x v="2"/>
    <s v="Preservativo Masculino"/>
    <s v="Básico"/>
    <x v="0"/>
    <n v="30665.271219999995"/>
  </r>
  <r>
    <x v="0"/>
    <n v="2025"/>
    <x v="11"/>
    <x v="2"/>
    <s v="Preservativo Masculino"/>
    <s v="Básico"/>
    <x v="0"/>
    <n v="34665.271219999995"/>
  </r>
  <r>
    <x v="1"/>
    <n v="2025"/>
    <x v="0"/>
    <x v="2"/>
    <s v="Preservativo Masculino"/>
    <s v="Básico"/>
    <x v="1"/>
    <n v="3967"/>
  </r>
  <r>
    <x v="1"/>
    <n v="2025"/>
    <x v="1"/>
    <x v="2"/>
    <s v="Preservativo Masculino"/>
    <s v="Básico"/>
    <x v="1"/>
    <n v="3940"/>
  </r>
  <r>
    <x v="1"/>
    <n v="2025"/>
    <x v="2"/>
    <x v="2"/>
    <s v="Preservativo Masculino"/>
    <s v="Básico"/>
    <x v="1"/>
    <n v="10079"/>
  </r>
  <r>
    <x v="1"/>
    <n v="2025"/>
    <x v="3"/>
    <x v="2"/>
    <s v="Preservativo Masculino"/>
    <s v="Básico"/>
    <x v="1"/>
    <n v="4122"/>
  </r>
  <r>
    <x v="1"/>
    <n v="2025"/>
    <x v="4"/>
    <x v="2"/>
    <s v="Preservativo Masculino"/>
    <s v="Básico"/>
    <x v="1"/>
    <n v="25962"/>
  </r>
  <r>
    <x v="1"/>
    <n v="2025"/>
    <x v="5"/>
    <x v="2"/>
    <s v="Preservativo Masculino"/>
    <s v="Básico"/>
    <x v="1"/>
    <n v="23243"/>
  </r>
  <r>
    <x v="1"/>
    <n v="2025"/>
    <x v="6"/>
    <x v="2"/>
    <s v="Preservativo Masculino"/>
    <s v="Básico"/>
    <x v="1"/>
    <n v="24380"/>
  </r>
  <r>
    <x v="1"/>
    <n v="2025"/>
    <x v="7"/>
    <x v="2"/>
    <s v="Preservativo Masculino"/>
    <s v="Básico"/>
    <x v="1"/>
    <n v="26507"/>
  </r>
  <r>
    <x v="1"/>
    <n v="2025"/>
    <x v="8"/>
    <x v="2"/>
    <s v="Preservativo Masculino"/>
    <s v="Básico"/>
    <x v="1"/>
    <n v="45749"/>
  </r>
  <r>
    <x v="1"/>
    <n v="2025"/>
    <x v="9"/>
    <x v="2"/>
    <s v="Preservativo Masculino"/>
    <s v="Básico"/>
    <x v="1"/>
    <n v="62075"/>
  </r>
  <r>
    <x v="1"/>
    <n v="2025"/>
    <x v="10"/>
    <x v="2"/>
    <s v="Preservativo Masculino"/>
    <s v="Básico"/>
    <x v="1"/>
    <n v="57075"/>
  </r>
  <r>
    <x v="1"/>
    <n v="2025"/>
    <x v="11"/>
    <x v="2"/>
    <s v="Preservativo Masculino"/>
    <s v="Básico"/>
    <x v="1"/>
    <n v="52075"/>
  </r>
  <r>
    <x v="2"/>
    <n v="2025"/>
    <x v="0"/>
    <x v="2"/>
    <s v="Preservativo Masculino"/>
    <s v="Básico"/>
    <x v="2"/>
    <n v="1249"/>
  </r>
  <r>
    <x v="2"/>
    <n v="2025"/>
    <x v="1"/>
    <x v="2"/>
    <s v="Preservativo Masculino"/>
    <s v="Básico"/>
    <x v="2"/>
    <n v="1943"/>
  </r>
  <r>
    <x v="2"/>
    <n v="2025"/>
    <x v="2"/>
    <x v="2"/>
    <s v="Preservativo Masculino"/>
    <s v="Básico"/>
    <x v="2"/>
    <n v="3323"/>
  </r>
  <r>
    <x v="2"/>
    <n v="2025"/>
    <x v="3"/>
    <x v="2"/>
    <s v="Preservativo Masculino"/>
    <s v="Básico"/>
    <x v="2"/>
    <n v="1558"/>
  </r>
  <r>
    <x v="2"/>
    <n v="2025"/>
    <x v="4"/>
    <x v="2"/>
    <s v="Preservativo Masculino"/>
    <s v="Básico"/>
    <x v="2"/>
    <n v="22954"/>
  </r>
  <r>
    <x v="2"/>
    <n v="2025"/>
    <x v="5"/>
    <x v="2"/>
    <s v="Preservativo Masculino"/>
    <s v="Básico"/>
    <x v="2"/>
    <n v="18469"/>
  </r>
  <r>
    <x v="2"/>
    <n v="2025"/>
    <x v="6"/>
    <x v="2"/>
    <s v="Preservativo Masculino"/>
    <s v="Básico"/>
    <x v="2"/>
    <n v="13738"/>
  </r>
  <r>
    <x v="2"/>
    <n v="2025"/>
    <x v="7"/>
    <x v="2"/>
    <s v="Preservativo Masculino"/>
    <s v="Básico"/>
    <x v="2"/>
    <n v="15014"/>
  </r>
  <r>
    <x v="2"/>
    <n v="2025"/>
    <x v="8"/>
    <x v="2"/>
    <s v="Preservativo Masculino"/>
    <s v="Básico"/>
    <x v="2"/>
    <n v="16148"/>
  </r>
  <r>
    <x v="2"/>
    <n v="2025"/>
    <x v="9"/>
    <x v="2"/>
    <s v="Preservativo Masculino"/>
    <s v="Básico"/>
    <x v="2"/>
    <n v="25933"/>
  </r>
  <r>
    <x v="2"/>
    <n v="2025"/>
    <x v="10"/>
    <x v="2"/>
    <s v="Preservativo Masculino"/>
    <s v="Básico"/>
    <x v="2"/>
    <n v="23333"/>
  </r>
  <r>
    <x v="2"/>
    <n v="2025"/>
    <x v="11"/>
    <x v="2"/>
    <s v="Preservativo Masculino"/>
    <s v="Básico"/>
    <x v="2"/>
    <n v="20833"/>
  </r>
  <r>
    <x v="3"/>
    <n v="2025"/>
    <x v="0"/>
    <x v="2"/>
    <s v="Preservativo Masculino"/>
    <s v="Cores e Sabores"/>
    <x v="3"/>
    <n v="3032"/>
  </r>
  <r>
    <x v="3"/>
    <n v="2025"/>
    <x v="1"/>
    <x v="2"/>
    <s v="Preservativo Masculino"/>
    <s v="Cores e Sabores"/>
    <x v="3"/>
    <n v="4612"/>
  </r>
  <r>
    <x v="3"/>
    <n v="2025"/>
    <x v="2"/>
    <x v="2"/>
    <s v="Preservativo Masculino"/>
    <s v="Cores e Sabores"/>
    <x v="3"/>
    <n v="5281"/>
  </r>
  <r>
    <x v="3"/>
    <n v="2025"/>
    <x v="3"/>
    <x v="2"/>
    <s v="Preservativo Masculino"/>
    <s v="Cores e Sabores"/>
    <x v="3"/>
    <n v="2133"/>
  </r>
  <r>
    <x v="3"/>
    <n v="2025"/>
    <x v="4"/>
    <x v="2"/>
    <s v="Preservativo Masculino"/>
    <s v="Cores e Sabores"/>
    <x v="3"/>
    <n v="5700"/>
  </r>
  <r>
    <x v="3"/>
    <n v="2025"/>
    <x v="5"/>
    <x v="2"/>
    <s v="Preservativo Masculino"/>
    <s v="Cores e Sabores"/>
    <x v="3"/>
    <n v="3080"/>
  </r>
  <r>
    <x v="3"/>
    <n v="2025"/>
    <x v="6"/>
    <x v="2"/>
    <s v="Preservativo Masculino"/>
    <s v="Cores e Sabores"/>
    <x v="3"/>
    <n v="3089"/>
  </r>
  <r>
    <x v="3"/>
    <n v="2025"/>
    <x v="7"/>
    <x v="2"/>
    <s v="Preservativo Masculino"/>
    <s v="Cores e Sabores"/>
    <x v="3"/>
    <n v="11082"/>
  </r>
  <r>
    <x v="3"/>
    <n v="2025"/>
    <x v="8"/>
    <x v="2"/>
    <s v="Preservativo Masculino"/>
    <s v="Cores e Sabores"/>
    <x v="3"/>
    <n v="13662"/>
  </r>
  <r>
    <x v="3"/>
    <n v="2025"/>
    <x v="9"/>
    <x v="2"/>
    <s v="Preservativo Masculino"/>
    <s v="Cores e Sabores"/>
    <x v="3"/>
    <n v="18608"/>
  </r>
  <r>
    <x v="3"/>
    <n v="2025"/>
    <x v="10"/>
    <x v="2"/>
    <s v="Preservativo Masculino"/>
    <s v="Cores e Sabores"/>
    <x v="3"/>
    <n v="19608"/>
  </r>
  <r>
    <x v="3"/>
    <n v="2025"/>
    <x v="11"/>
    <x v="2"/>
    <s v="Preservativo Masculino"/>
    <s v="Cores e Sabores"/>
    <x v="3"/>
    <n v="20608"/>
  </r>
  <r>
    <x v="4"/>
    <n v="2025"/>
    <x v="0"/>
    <x v="2"/>
    <s v="Preservativo Masculino"/>
    <s v="Cores e Sabores"/>
    <x v="4"/>
    <n v="1975"/>
  </r>
  <r>
    <x v="4"/>
    <n v="2025"/>
    <x v="1"/>
    <x v="2"/>
    <s v="Preservativo Masculino"/>
    <s v="Cores e Sabores"/>
    <x v="4"/>
    <n v="2153"/>
  </r>
  <r>
    <x v="4"/>
    <n v="2025"/>
    <x v="2"/>
    <x v="2"/>
    <s v="Preservativo Masculino"/>
    <s v="Cores e Sabores"/>
    <x v="4"/>
    <n v="2811"/>
  </r>
  <r>
    <x v="4"/>
    <n v="2025"/>
    <x v="3"/>
    <x v="2"/>
    <s v="Preservativo Masculino"/>
    <s v="Cores e Sabores"/>
    <x v="4"/>
    <n v="984"/>
  </r>
  <r>
    <x v="4"/>
    <n v="2025"/>
    <x v="4"/>
    <x v="2"/>
    <s v="Preservativo Masculino"/>
    <s v="Cores e Sabores"/>
    <x v="4"/>
    <n v="7191"/>
  </r>
  <r>
    <x v="4"/>
    <n v="2025"/>
    <x v="5"/>
    <x v="2"/>
    <s v="Preservativo Masculino"/>
    <s v="Cores e Sabores"/>
    <x v="4"/>
    <n v="5562.43"/>
  </r>
  <r>
    <x v="4"/>
    <n v="2025"/>
    <x v="6"/>
    <x v="2"/>
    <s v="Preservativo Masculino"/>
    <s v="Cores e Sabores"/>
    <x v="4"/>
    <n v="5742.0290000000005"/>
  </r>
  <r>
    <x v="4"/>
    <n v="2025"/>
    <x v="7"/>
    <x v="2"/>
    <s v="Preservativo Masculino"/>
    <s v="Cores e Sabores"/>
    <x v="4"/>
    <n v="8346.2489999999998"/>
  </r>
  <r>
    <x v="4"/>
    <n v="2025"/>
    <x v="8"/>
    <x v="2"/>
    <s v="Preservativo Masculino"/>
    <s v="Cores e Sabores"/>
    <x v="4"/>
    <n v="8708.3790000000008"/>
  </r>
  <r>
    <x v="4"/>
    <n v="2025"/>
    <x v="9"/>
    <x v="2"/>
    <s v="Preservativo Masculino"/>
    <s v="Cores e Sabores"/>
    <x v="4"/>
    <n v="10957.374"/>
  </r>
  <r>
    <x v="4"/>
    <n v="2025"/>
    <x v="10"/>
    <x v="2"/>
    <s v="Preservativo Masculino"/>
    <s v="Cores e Sabores"/>
    <x v="4"/>
    <n v="11179.6"/>
  </r>
  <r>
    <x v="4"/>
    <n v="2025"/>
    <x v="11"/>
    <x v="2"/>
    <s v="Preservativo Masculino"/>
    <s v="Cores e Sabores"/>
    <x v="4"/>
    <n v="9583.6"/>
  </r>
  <r>
    <x v="5"/>
    <n v="2025"/>
    <x v="0"/>
    <x v="2"/>
    <s v="Preservativo Masculino"/>
    <s v="Cores e Sabores"/>
    <x v="5"/>
    <n v="3022"/>
  </r>
  <r>
    <x v="5"/>
    <n v="2025"/>
    <x v="1"/>
    <x v="2"/>
    <s v="Preservativo Masculino"/>
    <s v="Cores e Sabores"/>
    <x v="5"/>
    <n v="2239"/>
  </r>
  <r>
    <x v="5"/>
    <n v="2025"/>
    <x v="2"/>
    <x v="2"/>
    <s v="Preservativo Masculino"/>
    <s v="Cores e Sabores"/>
    <x v="5"/>
    <n v="1277"/>
  </r>
  <r>
    <x v="5"/>
    <n v="2025"/>
    <x v="3"/>
    <x v="2"/>
    <s v="Preservativo Masculino"/>
    <s v="Cores e Sabores"/>
    <x v="5"/>
    <n v="2577"/>
  </r>
  <r>
    <x v="5"/>
    <n v="2025"/>
    <x v="4"/>
    <x v="2"/>
    <s v="Preservativo Masculino"/>
    <s v="Cores e Sabores"/>
    <x v="5"/>
    <n v="233"/>
  </r>
  <r>
    <x v="5"/>
    <n v="2025"/>
    <x v="5"/>
    <x v="2"/>
    <s v="Preservativo Masculino"/>
    <s v="Cores e Sabores"/>
    <x v="5"/>
    <n v="0"/>
  </r>
  <r>
    <x v="5"/>
    <n v="2025"/>
    <x v="6"/>
    <x v="2"/>
    <s v="Preservativo Masculino"/>
    <s v="Cores e Sabores"/>
    <x v="5"/>
    <n v="0"/>
  </r>
  <r>
    <x v="5"/>
    <n v="2025"/>
    <x v="7"/>
    <x v="2"/>
    <s v="Preservativo Masculino"/>
    <s v="Cores e Sabores"/>
    <x v="5"/>
    <n v="6488"/>
  </r>
  <r>
    <x v="5"/>
    <n v="2025"/>
    <x v="8"/>
    <x v="2"/>
    <s v="Preservativo Masculino"/>
    <s v="Cores e Sabores"/>
    <x v="5"/>
    <n v="8117"/>
  </r>
  <r>
    <x v="5"/>
    <n v="2025"/>
    <x v="9"/>
    <x v="2"/>
    <s v="Preservativo Masculino"/>
    <s v="Cores e Sabores"/>
    <x v="5"/>
    <n v="12576"/>
  </r>
  <r>
    <x v="5"/>
    <n v="2025"/>
    <x v="10"/>
    <x v="2"/>
    <s v="Preservativo Masculino"/>
    <s v="Cores e Sabores"/>
    <x v="5"/>
    <n v="9576"/>
  </r>
  <r>
    <x v="5"/>
    <n v="2025"/>
    <x v="11"/>
    <x v="2"/>
    <s v="Preservativo Masculino"/>
    <s v="Cores e Sabores"/>
    <x v="5"/>
    <n v="12576"/>
  </r>
  <r>
    <x v="6"/>
    <n v="2025"/>
    <x v="0"/>
    <x v="2"/>
    <s v="Preservativo Masculino"/>
    <s v="Cores e Sabores"/>
    <x v="6"/>
    <n v="1080"/>
  </r>
  <r>
    <x v="6"/>
    <n v="2025"/>
    <x v="1"/>
    <x v="2"/>
    <s v="Preservativo Masculino"/>
    <s v="Cores e Sabores"/>
    <x v="6"/>
    <n v="662"/>
  </r>
  <r>
    <x v="6"/>
    <n v="2025"/>
    <x v="2"/>
    <x v="2"/>
    <s v="Preservativo Masculino"/>
    <s v="Cores e Sabores"/>
    <x v="6"/>
    <n v="634"/>
  </r>
  <r>
    <x v="6"/>
    <n v="2025"/>
    <x v="3"/>
    <x v="2"/>
    <s v="Preservativo Masculino"/>
    <s v="Cores e Sabores"/>
    <x v="6"/>
    <n v="346"/>
  </r>
  <r>
    <x v="6"/>
    <n v="2025"/>
    <x v="4"/>
    <x v="2"/>
    <s v="Preservativo Masculino"/>
    <s v="Cores e Sabores"/>
    <x v="6"/>
    <n v="5729"/>
  </r>
  <r>
    <x v="6"/>
    <n v="2025"/>
    <x v="5"/>
    <x v="2"/>
    <s v="Preservativo Masculino"/>
    <s v="Cores e Sabores"/>
    <x v="6"/>
    <n v="5158.4539999999997"/>
  </r>
  <r>
    <x v="6"/>
    <n v="2025"/>
    <x v="6"/>
    <x v="2"/>
    <s v="Preservativo Masculino"/>
    <s v="Cores e Sabores"/>
    <x v="6"/>
    <n v="4507.0259999999998"/>
  </r>
  <r>
    <x v="6"/>
    <n v="2025"/>
    <x v="7"/>
    <x v="2"/>
    <s v="Preservativo Masculino"/>
    <s v="Cores e Sabores"/>
    <x v="6"/>
    <n v="3953.9679999999998"/>
  </r>
  <r>
    <x v="6"/>
    <n v="2025"/>
    <x v="8"/>
    <x v="2"/>
    <s v="Preservativo Masculino"/>
    <s v="Cores e Sabores"/>
    <x v="6"/>
    <n v="3306.9119999999998"/>
  </r>
  <r>
    <x v="6"/>
    <n v="2025"/>
    <x v="9"/>
    <x v="2"/>
    <s v="Preservativo Masculino"/>
    <s v="Cores e Sabores"/>
    <x v="6"/>
    <n v="2655.4839999999999"/>
  </r>
  <r>
    <x v="6"/>
    <n v="2025"/>
    <x v="10"/>
    <x v="2"/>
    <s v="Preservativo Masculino"/>
    <s v="Cores e Sabores"/>
    <x v="6"/>
    <n v="1969.08"/>
  </r>
  <r>
    <x v="6"/>
    <n v="2025"/>
    <x v="11"/>
    <x v="2"/>
    <s v="Preservativo Masculino"/>
    <s v="Cores e Sabores"/>
    <x v="6"/>
    <n v="3516.08"/>
  </r>
  <r>
    <x v="7"/>
    <n v="2025"/>
    <x v="0"/>
    <x v="2"/>
    <s v="Preservativo Masculino"/>
    <s v="Cores e Sabores"/>
    <x v="7"/>
    <n v="1471"/>
  </r>
  <r>
    <x v="7"/>
    <n v="2025"/>
    <x v="1"/>
    <x v="2"/>
    <s v="Preservativo Masculino"/>
    <s v="Cores e Sabores"/>
    <x v="7"/>
    <n v="3346"/>
  </r>
  <r>
    <x v="7"/>
    <n v="2025"/>
    <x v="2"/>
    <x v="2"/>
    <s v="Preservativo Masculino"/>
    <s v="Cores e Sabores"/>
    <x v="7"/>
    <n v="3472"/>
  </r>
  <r>
    <x v="7"/>
    <n v="2025"/>
    <x v="3"/>
    <x v="2"/>
    <s v="Preservativo Masculino"/>
    <s v="Cores e Sabores"/>
    <x v="7"/>
    <n v="1655"/>
  </r>
  <r>
    <x v="7"/>
    <n v="2025"/>
    <x v="4"/>
    <x v="2"/>
    <s v="Preservativo Masculino"/>
    <s v="Cores e Sabores"/>
    <x v="7"/>
    <n v="5088"/>
  </r>
  <r>
    <x v="7"/>
    <n v="2025"/>
    <x v="5"/>
    <x v="2"/>
    <s v="Preservativo Masculino"/>
    <s v="Cores e Sabores"/>
    <x v="7"/>
    <n v="3058.299"/>
  </r>
  <r>
    <x v="7"/>
    <n v="2025"/>
    <x v="6"/>
    <x v="2"/>
    <s v="Preservativo Masculino"/>
    <s v="Cores e Sabores"/>
    <x v="7"/>
    <n v="612.16499999999996"/>
  </r>
  <r>
    <x v="7"/>
    <n v="2025"/>
    <x v="7"/>
    <x v="2"/>
    <s v="Preservativo Masculino"/>
    <s v="Cores e Sabores"/>
    <x v="7"/>
    <n v="4564.9759999999997"/>
  </r>
  <r>
    <x v="7"/>
    <n v="2025"/>
    <x v="8"/>
    <x v="2"/>
    <s v="Preservativo Masculino"/>
    <s v="Cores e Sabores"/>
    <x v="7"/>
    <n v="8410.6729999999989"/>
  </r>
  <r>
    <x v="7"/>
    <n v="2025"/>
    <x v="9"/>
    <x v="2"/>
    <s v="Preservativo Masculino"/>
    <s v="Cores e Sabores"/>
    <x v="7"/>
    <n v="5849.7739999999994"/>
  </r>
  <r>
    <x v="7"/>
    <n v="2025"/>
    <x v="10"/>
    <x v="2"/>
    <s v="Preservativo Masculino"/>
    <s v="Cores e Sabores"/>
    <x v="7"/>
    <n v="11849.773999999999"/>
  </r>
  <r>
    <x v="7"/>
    <n v="2025"/>
    <x v="11"/>
    <x v="2"/>
    <s v="Preservativo Masculino"/>
    <s v="Cores e Sabores"/>
    <x v="7"/>
    <n v="8849.7739999999994"/>
  </r>
  <r>
    <x v="8"/>
    <n v="2025"/>
    <x v="0"/>
    <x v="2"/>
    <s v="Preservativo Masculino"/>
    <s v="Cores e Sabores"/>
    <x v="8"/>
    <n v="1265"/>
  </r>
  <r>
    <x v="8"/>
    <n v="2025"/>
    <x v="1"/>
    <x v="2"/>
    <s v="Preservativo Masculino"/>
    <s v="Cores e Sabores"/>
    <x v="8"/>
    <n v="1379"/>
  </r>
  <r>
    <x v="8"/>
    <n v="2025"/>
    <x v="2"/>
    <x v="2"/>
    <s v="Preservativo Masculino"/>
    <s v="Cores e Sabores"/>
    <x v="8"/>
    <n v="1176"/>
  </r>
  <r>
    <x v="8"/>
    <n v="2025"/>
    <x v="3"/>
    <x v="2"/>
    <s v="Preservativo Masculino"/>
    <s v="Cores e Sabores"/>
    <x v="8"/>
    <n v="111"/>
  </r>
  <r>
    <x v="8"/>
    <n v="2025"/>
    <x v="4"/>
    <x v="2"/>
    <s v="Preservativo Masculino"/>
    <s v="Cores e Sabores"/>
    <x v="8"/>
    <n v="0"/>
  </r>
  <r>
    <x v="8"/>
    <n v="2025"/>
    <x v="5"/>
    <x v="2"/>
    <s v="Preservativo Masculino"/>
    <s v="Cores e Sabores"/>
    <x v="8"/>
    <n v="0"/>
  </r>
  <r>
    <x v="8"/>
    <n v="2025"/>
    <x v="6"/>
    <x v="2"/>
    <s v="Preservativo Masculino"/>
    <s v="Cores e Sabores"/>
    <x v="8"/>
    <n v="0"/>
  </r>
  <r>
    <x v="8"/>
    <n v="2025"/>
    <x v="7"/>
    <x v="2"/>
    <s v="Preservativo Masculino"/>
    <s v="Cores e Sabores"/>
    <x v="8"/>
    <n v="3102"/>
  </r>
  <r>
    <x v="8"/>
    <n v="2025"/>
    <x v="8"/>
    <x v="2"/>
    <s v="Preservativo Masculino"/>
    <s v="Cores e Sabores"/>
    <x v="8"/>
    <n v="5275"/>
  </r>
  <r>
    <x v="8"/>
    <n v="2025"/>
    <x v="9"/>
    <x v="2"/>
    <s v="Preservativo Masculino"/>
    <s v="Cores e Sabores"/>
    <x v="8"/>
    <n v="7651"/>
  </r>
  <r>
    <x v="8"/>
    <n v="2025"/>
    <x v="10"/>
    <x v="2"/>
    <s v="Preservativo Masculino"/>
    <s v="Cores e Sabores"/>
    <x v="8"/>
    <n v="6151"/>
  </r>
  <r>
    <x v="8"/>
    <n v="2025"/>
    <x v="11"/>
    <x v="2"/>
    <s v="Preservativo Masculino"/>
    <s v="Cores e Sabores"/>
    <x v="8"/>
    <n v="7651"/>
  </r>
  <r>
    <x v="9"/>
    <n v="2025"/>
    <x v="0"/>
    <x v="2"/>
    <s v="Preservativo Masculino"/>
    <s v="Cores e Sabores"/>
    <x v="9"/>
    <n v="1428"/>
  </r>
  <r>
    <x v="9"/>
    <n v="2025"/>
    <x v="1"/>
    <x v="2"/>
    <s v="Preservativo Masculino"/>
    <s v="Cores e Sabores"/>
    <x v="9"/>
    <n v="1956"/>
  </r>
  <r>
    <x v="9"/>
    <n v="2025"/>
    <x v="2"/>
    <x v="2"/>
    <s v="Preservativo Masculino"/>
    <s v="Cores e Sabores"/>
    <x v="9"/>
    <n v="1202"/>
  </r>
  <r>
    <x v="9"/>
    <n v="2025"/>
    <x v="3"/>
    <x v="2"/>
    <s v="Preservativo Masculino"/>
    <s v="Cores e Sabores"/>
    <x v="9"/>
    <n v="1706"/>
  </r>
  <r>
    <x v="9"/>
    <n v="2025"/>
    <x v="4"/>
    <x v="2"/>
    <s v="Preservativo Masculino"/>
    <s v="Cores e Sabores"/>
    <x v="9"/>
    <n v="4079"/>
  </r>
  <r>
    <x v="9"/>
    <n v="2025"/>
    <x v="5"/>
    <x v="2"/>
    <s v="Preservativo Masculino"/>
    <s v="Cores e Sabores"/>
    <x v="9"/>
    <n v="2685.4250000000002"/>
  </r>
  <r>
    <x v="9"/>
    <n v="2025"/>
    <x v="6"/>
    <x v="2"/>
    <s v="Preservativo Masculino"/>
    <s v="Cores e Sabores"/>
    <x v="9"/>
    <n v="3926.7880000000005"/>
  </r>
  <r>
    <x v="9"/>
    <n v="2025"/>
    <x v="7"/>
    <x v="2"/>
    <s v="Preservativo Masculino"/>
    <s v="Cores e Sabores"/>
    <x v="9"/>
    <n v="8705.9070000000011"/>
  </r>
  <r>
    <x v="9"/>
    <n v="2025"/>
    <x v="8"/>
    <x v="2"/>
    <s v="Preservativo Masculino"/>
    <s v="Cores e Sabores"/>
    <x v="9"/>
    <n v="7281.728000000001"/>
  </r>
  <r>
    <x v="9"/>
    <n v="2025"/>
    <x v="9"/>
    <x v="2"/>
    <s v="Preservativo Masculino"/>
    <s v="Cores e Sabores"/>
    <x v="9"/>
    <n v="5572.2760000000007"/>
  </r>
  <r>
    <x v="9"/>
    <n v="2025"/>
    <x v="10"/>
    <x v="2"/>
    <s v="Preservativo Masculino"/>
    <s v="Cores e Sabores"/>
    <x v="9"/>
    <n v="3908.7300000000005"/>
  </r>
  <r>
    <x v="9"/>
    <n v="2025"/>
    <x v="11"/>
    <x v="2"/>
    <s v="Preservativo Masculino"/>
    <s v="Cores e Sabores"/>
    <x v="9"/>
    <n v="8008.73"/>
  </r>
  <r>
    <x v="10"/>
    <n v="2025"/>
    <x v="0"/>
    <x v="2"/>
    <s v="Preservativo Masculino"/>
    <s v="Cores e Sabores"/>
    <x v="10"/>
    <n v="559"/>
  </r>
  <r>
    <x v="10"/>
    <n v="2025"/>
    <x v="1"/>
    <x v="2"/>
    <s v="Preservativo Masculino"/>
    <s v="Cores e Sabores"/>
    <x v="10"/>
    <n v="821"/>
  </r>
  <r>
    <x v="10"/>
    <n v="2025"/>
    <x v="2"/>
    <x v="2"/>
    <s v="Preservativo Masculino"/>
    <s v="Cores e Sabores"/>
    <x v="10"/>
    <n v="1180"/>
  </r>
  <r>
    <x v="10"/>
    <n v="2025"/>
    <x v="3"/>
    <x v="2"/>
    <s v="Preservativo Masculino"/>
    <s v="Cores e Sabores"/>
    <x v="10"/>
    <n v="534"/>
  </r>
  <r>
    <x v="10"/>
    <n v="2025"/>
    <x v="4"/>
    <x v="2"/>
    <s v="Preservativo Masculino"/>
    <s v="Cores e Sabores"/>
    <x v="10"/>
    <n v="811"/>
  </r>
  <r>
    <x v="10"/>
    <n v="2025"/>
    <x v="5"/>
    <x v="2"/>
    <s v="Preservativo Masculino"/>
    <s v="Cores e Sabores"/>
    <x v="10"/>
    <n v="309.31299999999999"/>
  </r>
  <r>
    <x v="10"/>
    <n v="2025"/>
    <x v="6"/>
    <x v="2"/>
    <s v="Preservativo Masculino"/>
    <s v="Cores e Sabores"/>
    <x v="10"/>
    <n v="0"/>
  </r>
  <r>
    <x v="10"/>
    <n v="2025"/>
    <x v="7"/>
    <x v="2"/>
    <s v="Preservativo Masculino"/>
    <s v="Cores e Sabores"/>
    <x v="10"/>
    <n v="2468.8020000000001"/>
  </r>
  <r>
    <x v="10"/>
    <n v="2025"/>
    <x v="8"/>
    <x v="2"/>
    <s v="Preservativo Masculino"/>
    <s v="Cores e Sabores"/>
    <x v="10"/>
    <n v="1905.9070000000002"/>
  </r>
  <r>
    <x v="10"/>
    <n v="2025"/>
    <x v="9"/>
    <x v="2"/>
    <s v="Preservativo Masculino"/>
    <s v="Cores e Sabores"/>
    <x v="10"/>
    <n v="4194.3640000000005"/>
  </r>
  <r>
    <x v="10"/>
    <n v="2025"/>
    <x v="10"/>
    <x v="2"/>
    <s v="Preservativo Masculino"/>
    <s v="Cores e Sabores"/>
    <x v="10"/>
    <n v="3374.6140000000005"/>
  </r>
  <r>
    <x v="10"/>
    <n v="2025"/>
    <x v="11"/>
    <x v="2"/>
    <s v="Preservativo Masculino"/>
    <s v="Cores e Sabores"/>
    <x v="10"/>
    <n v="2861.6140000000005"/>
  </r>
  <r>
    <x v="11"/>
    <n v="2025"/>
    <x v="0"/>
    <x v="2"/>
    <s v="Preservativo Masculino"/>
    <s v="Cores e Sabores"/>
    <x v="11"/>
    <n v="2"/>
  </r>
  <r>
    <x v="11"/>
    <n v="2025"/>
    <x v="1"/>
    <x v="2"/>
    <s v="Preservativo Masculino"/>
    <s v="Cores e Sabores"/>
    <x v="11"/>
    <n v="2227"/>
  </r>
  <r>
    <x v="11"/>
    <n v="2025"/>
    <x v="2"/>
    <x v="2"/>
    <s v="Preservativo Masculino"/>
    <s v="Cores e Sabores"/>
    <x v="11"/>
    <n v="1720"/>
  </r>
  <r>
    <x v="11"/>
    <n v="2025"/>
    <x v="3"/>
    <x v="2"/>
    <s v="Preservativo Masculino"/>
    <s v="Cores e Sabores"/>
    <x v="11"/>
    <n v="832"/>
  </r>
  <r>
    <x v="11"/>
    <n v="2025"/>
    <x v="4"/>
    <x v="2"/>
    <s v="Preservativo Masculino"/>
    <s v="Cores e Sabores"/>
    <x v="11"/>
    <n v="1171"/>
  </r>
  <r>
    <x v="11"/>
    <n v="2025"/>
    <x v="5"/>
    <x v="2"/>
    <s v="Preservativo Masculino"/>
    <s v="Cores e Sabores"/>
    <x v="11"/>
    <n v="569.85"/>
  </r>
  <r>
    <x v="11"/>
    <n v="2025"/>
    <x v="6"/>
    <x v="2"/>
    <s v="Preservativo Masculino"/>
    <s v="Cores e Sabores"/>
    <x v="11"/>
    <n v="0"/>
  </r>
  <r>
    <x v="11"/>
    <n v="2025"/>
    <x v="7"/>
    <x v="2"/>
    <s v="Preservativo Masculino"/>
    <s v="Cores e Sabores"/>
    <x v="11"/>
    <n v="0"/>
  </r>
  <r>
    <x v="11"/>
    <n v="2025"/>
    <x v="8"/>
    <x v="2"/>
    <s v="Preservativo Masculino"/>
    <s v="Cores e Sabores"/>
    <x v="11"/>
    <n v="2329.991"/>
  </r>
  <r>
    <x v="11"/>
    <n v="2025"/>
    <x v="9"/>
    <x v="2"/>
    <s v="Preservativo Masculino"/>
    <s v="Cores e Sabores"/>
    <x v="11"/>
    <n v="1527.729"/>
  </r>
  <r>
    <x v="11"/>
    <n v="2025"/>
    <x v="10"/>
    <x v="2"/>
    <s v="Preservativo Masculino"/>
    <s v="Cores e Sabores"/>
    <x v="11"/>
    <n v="3695.9560000000001"/>
  </r>
  <r>
    <x v="11"/>
    <n v="2025"/>
    <x v="11"/>
    <x v="2"/>
    <s v="Preservativo Masculino"/>
    <s v="Cores e Sabores"/>
    <x v="11"/>
    <n v="3105.9560000000001"/>
  </r>
  <r>
    <x v="12"/>
    <n v="2025"/>
    <x v="0"/>
    <x v="2"/>
    <s v="Preservativo Masculino"/>
    <s v="Cores e Sabores"/>
    <x v="12"/>
    <n v="1950"/>
  </r>
  <r>
    <x v="12"/>
    <n v="2025"/>
    <x v="1"/>
    <x v="2"/>
    <s v="Preservativo Masculino"/>
    <s v="Cores e Sabores"/>
    <x v="12"/>
    <n v="1883"/>
  </r>
  <r>
    <x v="12"/>
    <n v="2025"/>
    <x v="2"/>
    <x v="2"/>
    <s v="Preservativo Masculino"/>
    <s v="Cores e Sabores"/>
    <x v="12"/>
    <n v="1002"/>
  </r>
  <r>
    <x v="12"/>
    <n v="2025"/>
    <x v="3"/>
    <x v="2"/>
    <s v="Preservativo Masculino"/>
    <s v="Cores e Sabores"/>
    <x v="12"/>
    <n v="568"/>
  </r>
  <r>
    <x v="12"/>
    <n v="2025"/>
    <x v="4"/>
    <x v="2"/>
    <s v="Preservativo Masculino"/>
    <s v="Cores e Sabores"/>
    <x v="12"/>
    <n v="561"/>
  </r>
  <r>
    <x v="12"/>
    <n v="2025"/>
    <x v="5"/>
    <x v="2"/>
    <s v="Preservativo Masculino"/>
    <s v="Cores e Sabores"/>
    <x v="12"/>
    <n v="0"/>
  </r>
  <r>
    <x v="12"/>
    <n v="2025"/>
    <x v="6"/>
    <x v="2"/>
    <s v="Preservativo Masculino"/>
    <s v="Cores e Sabores"/>
    <x v="12"/>
    <n v="2121.2280000000001"/>
  </r>
  <r>
    <x v="12"/>
    <n v="2025"/>
    <x v="7"/>
    <x v="2"/>
    <s v="Preservativo Masculino"/>
    <s v="Cores e Sabores"/>
    <x v="12"/>
    <n v="1469.8000000000002"/>
  </r>
  <r>
    <x v="12"/>
    <n v="2025"/>
    <x v="8"/>
    <x v="2"/>
    <s v="Preservativo Masculino"/>
    <s v="Cores e Sabores"/>
    <x v="12"/>
    <n v="611.79500000000019"/>
  </r>
  <r>
    <x v="12"/>
    <n v="2025"/>
    <x v="9"/>
    <x v="2"/>
    <s v="Preservativo Masculino"/>
    <s v="Cores e Sabores"/>
    <x v="12"/>
    <n v="5741.7669999999998"/>
  </r>
  <r>
    <x v="12"/>
    <n v="2025"/>
    <x v="10"/>
    <x v="2"/>
    <s v="Preservativo Masculino"/>
    <s v="Cores e Sabores"/>
    <x v="12"/>
    <n v="4941.7669999999998"/>
  </r>
  <r>
    <x v="12"/>
    <n v="2025"/>
    <x v="11"/>
    <x v="2"/>
    <s v="Preservativo Masculino"/>
    <s v="Cores e Sabores"/>
    <x v="12"/>
    <n v="4290.7669999999998"/>
  </r>
  <r>
    <x v="13"/>
    <n v="2025"/>
    <x v="0"/>
    <x v="2"/>
    <s v="Preservativo Masculino"/>
    <s v="Cores e Sabores"/>
    <x v="13"/>
    <n v="967"/>
  </r>
  <r>
    <x v="13"/>
    <n v="2025"/>
    <x v="1"/>
    <x v="2"/>
    <s v="Preservativo Masculino"/>
    <s v="Cores e Sabores"/>
    <x v="13"/>
    <n v="1107"/>
  </r>
  <r>
    <x v="13"/>
    <n v="2025"/>
    <x v="2"/>
    <x v="2"/>
    <s v="Preservativo Masculino"/>
    <s v="Cores e Sabores"/>
    <x v="13"/>
    <n v="1532"/>
  </r>
  <r>
    <x v="13"/>
    <n v="2025"/>
    <x v="3"/>
    <x v="2"/>
    <s v="Preservativo Masculino"/>
    <s v="Cores e Sabores"/>
    <x v="13"/>
    <n v="610"/>
  </r>
  <r>
    <x v="13"/>
    <n v="2025"/>
    <x v="4"/>
    <x v="2"/>
    <s v="Preservativo Masculino"/>
    <s v="Cores e Sabores"/>
    <x v="13"/>
    <n v="4280"/>
  </r>
  <r>
    <x v="13"/>
    <n v="2025"/>
    <x v="5"/>
    <x v="2"/>
    <s v="Preservativo Masculino"/>
    <s v="Cores e Sabores"/>
    <x v="13"/>
    <n v="3251"/>
  </r>
  <r>
    <x v="13"/>
    <n v="2025"/>
    <x v="6"/>
    <x v="2"/>
    <s v="Preservativo Masculino"/>
    <s v="Cores e Sabores"/>
    <x v="13"/>
    <n v="1450"/>
  </r>
  <r>
    <x v="13"/>
    <n v="2025"/>
    <x v="7"/>
    <x v="2"/>
    <s v="Preservativo Masculino"/>
    <s v="Cores e Sabores"/>
    <x v="13"/>
    <n v="0"/>
  </r>
  <r>
    <x v="13"/>
    <n v="2025"/>
    <x v="8"/>
    <x v="2"/>
    <s v="Preservativo Masculino"/>
    <s v="Cores e Sabores"/>
    <x v="13"/>
    <n v="4540"/>
  </r>
  <r>
    <x v="13"/>
    <n v="2025"/>
    <x v="9"/>
    <x v="2"/>
    <s v="Preservativo Masculino"/>
    <s v="Cores e Sabores"/>
    <x v="13"/>
    <n v="8673"/>
  </r>
  <r>
    <x v="13"/>
    <n v="2025"/>
    <x v="10"/>
    <x v="2"/>
    <s v="Preservativo Masculino"/>
    <s v="Cores e Sabores"/>
    <x v="13"/>
    <n v="7523"/>
  </r>
  <r>
    <x v="13"/>
    <n v="2025"/>
    <x v="11"/>
    <x v="2"/>
    <s v="Preservativo Masculino"/>
    <s v="Cores e Sabores"/>
    <x v="13"/>
    <n v="6544"/>
  </r>
  <r>
    <x v="14"/>
    <n v="2025"/>
    <x v="0"/>
    <x v="2"/>
    <s v="Preservativo Masculino"/>
    <s v="Cores e Sabores"/>
    <x v="14"/>
    <n v="893"/>
  </r>
  <r>
    <x v="14"/>
    <n v="2025"/>
    <x v="1"/>
    <x v="2"/>
    <s v="Preservativo Masculino"/>
    <s v="Cores e Sabores"/>
    <x v="14"/>
    <n v="599"/>
  </r>
  <r>
    <x v="14"/>
    <n v="2025"/>
    <x v="2"/>
    <x v="2"/>
    <s v="Preservativo Masculino"/>
    <s v="Cores e Sabores"/>
    <x v="14"/>
    <n v="1084"/>
  </r>
  <r>
    <x v="14"/>
    <n v="2025"/>
    <x v="3"/>
    <x v="2"/>
    <s v="Preservativo Masculino"/>
    <s v="Cores e Sabores"/>
    <x v="14"/>
    <n v="424"/>
  </r>
  <r>
    <x v="14"/>
    <n v="2025"/>
    <x v="4"/>
    <x v="2"/>
    <s v="Preservativo Masculino"/>
    <s v="Cores e Sabores"/>
    <x v="14"/>
    <n v="1536"/>
  </r>
  <r>
    <x v="14"/>
    <n v="2025"/>
    <x v="5"/>
    <x v="2"/>
    <s v="Preservativo Masculino"/>
    <s v="Cores e Sabores"/>
    <x v="14"/>
    <n v="3898"/>
  </r>
  <r>
    <x v="14"/>
    <n v="2025"/>
    <x v="6"/>
    <x v="2"/>
    <s v="Preservativo Masculino"/>
    <s v="Cores e Sabores"/>
    <x v="14"/>
    <n v="3304"/>
  </r>
  <r>
    <x v="14"/>
    <n v="2025"/>
    <x v="7"/>
    <x v="2"/>
    <s v="Preservativo Masculino"/>
    <s v="Cores e Sabores"/>
    <x v="14"/>
    <n v="5826"/>
  </r>
  <r>
    <x v="14"/>
    <n v="2025"/>
    <x v="8"/>
    <x v="2"/>
    <s v="Preservativo Masculino"/>
    <s v="Cores e Sabores"/>
    <x v="14"/>
    <n v="5652"/>
  </r>
  <r>
    <x v="14"/>
    <n v="2025"/>
    <x v="9"/>
    <x v="2"/>
    <s v="Preservativo Masculino"/>
    <s v="Cores e Sabores"/>
    <x v="14"/>
    <n v="5269"/>
  </r>
  <r>
    <x v="14"/>
    <n v="2025"/>
    <x v="10"/>
    <x v="2"/>
    <s v="Preservativo Masculino"/>
    <s v="Cores e Sabores"/>
    <x v="14"/>
    <n v="4719"/>
  </r>
  <r>
    <x v="14"/>
    <n v="2025"/>
    <x v="11"/>
    <x v="2"/>
    <s v="Preservativo Masculino"/>
    <s v="Cores e Sabores"/>
    <x v="14"/>
    <n v="4169"/>
  </r>
  <r>
    <x v="15"/>
    <n v="2025"/>
    <x v="0"/>
    <x v="2"/>
    <s v="Preservativo Masculino"/>
    <s v="Performance"/>
    <x v="15"/>
    <n v="4608"/>
  </r>
  <r>
    <x v="15"/>
    <n v="2025"/>
    <x v="1"/>
    <x v="2"/>
    <s v="Preservativo Masculino"/>
    <s v="Performance"/>
    <x v="15"/>
    <n v="5700"/>
  </r>
  <r>
    <x v="15"/>
    <n v="2025"/>
    <x v="2"/>
    <x v="2"/>
    <s v="Preservativo Masculino"/>
    <s v="Performance"/>
    <x v="15"/>
    <n v="6265"/>
  </r>
  <r>
    <x v="15"/>
    <n v="2025"/>
    <x v="3"/>
    <x v="2"/>
    <s v="Preservativo Masculino"/>
    <s v="Performance"/>
    <x v="15"/>
    <n v="2447"/>
  </r>
  <r>
    <x v="15"/>
    <n v="2025"/>
    <x v="4"/>
    <x v="2"/>
    <s v="Preservativo Masculino"/>
    <s v="Performance"/>
    <x v="15"/>
    <n v="17507"/>
  </r>
  <r>
    <x v="15"/>
    <n v="2025"/>
    <x v="5"/>
    <x v="2"/>
    <s v="Preservativo Masculino"/>
    <s v="Performance"/>
    <x v="15"/>
    <n v="19591.298999999999"/>
  </r>
  <r>
    <x v="15"/>
    <n v="2025"/>
    <x v="6"/>
    <x v="2"/>
    <s v="Preservativo Masculino"/>
    <s v="Performance"/>
    <x v="15"/>
    <n v="22112.052"/>
  </r>
  <r>
    <x v="15"/>
    <n v="2025"/>
    <x v="7"/>
    <x v="2"/>
    <s v="Preservativo Masculino"/>
    <s v="Performance"/>
    <x v="15"/>
    <n v="23730.733"/>
  </r>
  <r>
    <x v="15"/>
    <n v="2025"/>
    <x v="8"/>
    <x v="2"/>
    <s v="Preservativo Masculino"/>
    <s v="Performance"/>
    <x v="15"/>
    <n v="25049.932000000001"/>
  </r>
  <r>
    <x v="15"/>
    <n v="2025"/>
    <x v="9"/>
    <x v="2"/>
    <s v="Preservativo Masculino"/>
    <s v="Performance"/>
    <x v="15"/>
    <n v="26281.690999999999"/>
  </r>
  <r>
    <x v="15"/>
    <n v="2025"/>
    <x v="10"/>
    <x v="2"/>
    <s v="Preservativo Masculino"/>
    <s v="Performance"/>
    <x v="15"/>
    <n v="24593.699999999997"/>
  </r>
  <r>
    <x v="15"/>
    <n v="2025"/>
    <x v="11"/>
    <x v="2"/>
    <s v="Preservativo Masculino"/>
    <s v="Performance"/>
    <x v="15"/>
    <n v="22012.699999999997"/>
  </r>
  <r>
    <x v="16"/>
    <n v="2025"/>
    <x v="0"/>
    <x v="2"/>
    <s v="Preservativo Masculino"/>
    <s v="Performance"/>
    <x v="16"/>
    <n v="2031"/>
  </r>
  <r>
    <x v="16"/>
    <n v="2025"/>
    <x v="1"/>
    <x v="2"/>
    <s v="Preservativo Masculino"/>
    <s v="Performance"/>
    <x v="16"/>
    <n v="2145"/>
  </r>
  <r>
    <x v="16"/>
    <n v="2025"/>
    <x v="2"/>
    <x v="2"/>
    <s v="Preservativo Masculino"/>
    <s v="Performance"/>
    <x v="16"/>
    <n v="2159"/>
  </r>
  <r>
    <x v="16"/>
    <n v="2025"/>
    <x v="3"/>
    <x v="2"/>
    <s v="Preservativo Masculino"/>
    <s v="Performance"/>
    <x v="16"/>
    <n v="1294"/>
  </r>
  <r>
    <x v="16"/>
    <n v="2025"/>
    <x v="4"/>
    <x v="2"/>
    <s v="Preservativo Masculino"/>
    <s v="Performance"/>
    <x v="16"/>
    <n v="3666"/>
  </r>
  <r>
    <x v="16"/>
    <n v="2025"/>
    <x v="5"/>
    <x v="2"/>
    <s v="Preservativo Masculino"/>
    <s v="Performance"/>
    <x v="16"/>
    <n v="2630"/>
  </r>
  <r>
    <x v="16"/>
    <n v="2025"/>
    <x v="6"/>
    <x v="2"/>
    <s v="Preservativo Masculino"/>
    <s v="Performance"/>
    <x v="16"/>
    <n v="8225"/>
  </r>
  <r>
    <x v="16"/>
    <n v="2025"/>
    <x v="7"/>
    <x v="2"/>
    <s v="Preservativo Masculino"/>
    <s v="Performance"/>
    <x v="16"/>
    <n v="9930"/>
  </r>
  <r>
    <x v="16"/>
    <n v="2025"/>
    <x v="8"/>
    <x v="2"/>
    <s v="Preservativo Masculino"/>
    <s v="Performance"/>
    <x v="16"/>
    <n v="13593"/>
  </r>
  <r>
    <x v="16"/>
    <n v="2025"/>
    <x v="9"/>
    <x v="2"/>
    <s v="Preservativo Masculino"/>
    <s v="Performance"/>
    <x v="16"/>
    <n v="10460"/>
  </r>
  <r>
    <x v="16"/>
    <n v="2025"/>
    <x v="10"/>
    <x v="2"/>
    <s v="Preservativo Masculino"/>
    <s v="Performance"/>
    <x v="16"/>
    <n v="8460"/>
  </r>
  <r>
    <x v="16"/>
    <n v="2025"/>
    <x v="11"/>
    <x v="2"/>
    <s v="Preservativo Masculino"/>
    <s v="Performance"/>
    <x v="16"/>
    <n v="9438"/>
  </r>
  <r>
    <x v="17"/>
    <n v="2025"/>
    <x v="0"/>
    <x v="2"/>
    <s v="Preservativo Masculino"/>
    <s v="Performance"/>
    <x v="17"/>
    <n v="1171"/>
  </r>
  <r>
    <x v="17"/>
    <n v="2025"/>
    <x v="1"/>
    <x v="2"/>
    <s v="Preservativo Masculino"/>
    <s v="Performance"/>
    <x v="17"/>
    <n v="2347"/>
  </r>
  <r>
    <x v="17"/>
    <n v="2025"/>
    <x v="2"/>
    <x v="2"/>
    <s v="Preservativo Masculino"/>
    <s v="Performance"/>
    <x v="17"/>
    <n v="3105"/>
  </r>
  <r>
    <x v="17"/>
    <n v="2025"/>
    <x v="3"/>
    <x v="2"/>
    <s v="Preservativo Masculino"/>
    <s v="Performance"/>
    <x v="17"/>
    <n v="1246"/>
  </r>
  <r>
    <x v="17"/>
    <n v="2025"/>
    <x v="4"/>
    <x v="2"/>
    <s v="Preservativo Masculino"/>
    <s v="Performance"/>
    <x v="17"/>
    <n v="10124"/>
  </r>
  <r>
    <x v="17"/>
    <n v="2025"/>
    <x v="5"/>
    <x v="2"/>
    <s v="Preservativo Masculino"/>
    <s v="Performance"/>
    <x v="17"/>
    <n v="8336.9449999999997"/>
  </r>
  <r>
    <x v="17"/>
    <n v="2025"/>
    <x v="6"/>
    <x v="2"/>
    <s v="Preservativo Masculino"/>
    <s v="Performance"/>
    <x v="17"/>
    <n v="6418.73"/>
  </r>
  <r>
    <x v="17"/>
    <n v="2025"/>
    <x v="7"/>
    <x v="2"/>
    <s v="Preservativo Masculino"/>
    <s v="Performance"/>
    <x v="17"/>
    <n v="4646.9769999999999"/>
  </r>
  <r>
    <x v="17"/>
    <n v="2025"/>
    <x v="8"/>
    <x v="2"/>
    <s v="Preservativo Masculino"/>
    <s v="Performance"/>
    <x v="17"/>
    <n v="5877.41"/>
  </r>
  <r>
    <x v="17"/>
    <n v="2025"/>
    <x v="9"/>
    <x v="2"/>
    <s v="Preservativo Masculino"/>
    <s v="Performance"/>
    <x v="17"/>
    <n v="6755.8969999999999"/>
  </r>
  <r>
    <x v="17"/>
    <n v="2025"/>
    <x v="10"/>
    <x v="2"/>
    <s v="Preservativo Masculino"/>
    <s v="Performance"/>
    <x v="17"/>
    <n v="10842.054"/>
  </r>
  <r>
    <x v="17"/>
    <n v="2025"/>
    <x v="11"/>
    <x v="2"/>
    <s v="Preservativo Masculino"/>
    <s v="Performance"/>
    <x v="17"/>
    <n v="9070.0540000000001"/>
  </r>
  <r>
    <x v="18"/>
    <n v="2025"/>
    <x v="0"/>
    <x v="2"/>
    <s v="Preservativo Masculino"/>
    <s v="Performance"/>
    <x v="18"/>
    <n v="1106"/>
  </r>
  <r>
    <x v="18"/>
    <n v="2025"/>
    <x v="1"/>
    <x v="2"/>
    <s v="Preservativo Masculino"/>
    <s v="Performance"/>
    <x v="18"/>
    <n v="1654"/>
  </r>
  <r>
    <x v="18"/>
    <n v="2025"/>
    <x v="2"/>
    <x v="2"/>
    <s v="Preservativo Masculino"/>
    <s v="Performance"/>
    <x v="18"/>
    <n v="1985"/>
  </r>
  <r>
    <x v="18"/>
    <n v="2025"/>
    <x v="3"/>
    <x v="2"/>
    <s v="Preservativo Masculino"/>
    <s v="Performance"/>
    <x v="18"/>
    <n v="581"/>
  </r>
  <r>
    <x v="18"/>
    <n v="2025"/>
    <x v="4"/>
    <x v="2"/>
    <s v="Preservativo Masculino"/>
    <s v="Performance"/>
    <x v="18"/>
    <n v="2610"/>
  </r>
  <r>
    <x v="18"/>
    <n v="2025"/>
    <x v="5"/>
    <x v="2"/>
    <s v="Preservativo Masculino"/>
    <s v="Performance"/>
    <x v="18"/>
    <n v="1884"/>
  </r>
  <r>
    <x v="18"/>
    <n v="2025"/>
    <x v="6"/>
    <x v="2"/>
    <s v="Preservativo Masculino"/>
    <s v="Performance"/>
    <x v="18"/>
    <n v="637"/>
  </r>
  <r>
    <x v="18"/>
    <n v="2025"/>
    <x v="7"/>
    <x v="2"/>
    <s v="Preservativo Masculino"/>
    <s v="Performance"/>
    <x v="18"/>
    <n v="1658"/>
  </r>
  <r>
    <x v="18"/>
    <n v="2025"/>
    <x v="8"/>
    <x v="2"/>
    <s v="Preservativo Masculino"/>
    <s v="Performance"/>
    <x v="18"/>
    <n v="3949"/>
  </r>
  <r>
    <x v="18"/>
    <n v="2025"/>
    <x v="9"/>
    <x v="2"/>
    <s v="Preservativo Masculino"/>
    <s v="Performance"/>
    <x v="18"/>
    <n v="2989"/>
  </r>
  <r>
    <x v="18"/>
    <n v="2025"/>
    <x v="10"/>
    <x v="2"/>
    <s v="Preservativo Masculino"/>
    <s v="Performance"/>
    <x v="18"/>
    <n v="7789"/>
  </r>
  <r>
    <x v="18"/>
    <n v="2025"/>
    <x v="11"/>
    <x v="2"/>
    <s v="Preservativo Masculino"/>
    <s v="Performance"/>
    <x v="18"/>
    <n v="6803"/>
  </r>
  <r>
    <x v="19"/>
    <n v="2025"/>
    <x v="0"/>
    <x v="2"/>
    <s v="Preservativo Masculino"/>
    <s v="Performance"/>
    <x v="19"/>
    <n v="2410"/>
  </r>
  <r>
    <x v="19"/>
    <n v="2025"/>
    <x v="1"/>
    <x v="2"/>
    <s v="Preservativo Masculino"/>
    <s v="Performance"/>
    <x v="19"/>
    <n v="2550"/>
  </r>
  <r>
    <x v="19"/>
    <n v="2025"/>
    <x v="2"/>
    <x v="2"/>
    <s v="Preservativo Masculino"/>
    <s v="Performance"/>
    <x v="19"/>
    <n v="3256"/>
  </r>
  <r>
    <x v="19"/>
    <n v="2025"/>
    <x v="3"/>
    <x v="2"/>
    <s v="Preservativo Masculino"/>
    <s v="Performance"/>
    <x v="19"/>
    <n v="1092"/>
  </r>
  <r>
    <x v="19"/>
    <n v="2025"/>
    <x v="4"/>
    <x v="2"/>
    <s v="Preservativo Masculino"/>
    <s v="Performance"/>
    <x v="19"/>
    <n v="5864"/>
  </r>
  <r>
    <x v="19"/>
    <n v="2025"/>
    <x v="5"/>
    <x v="2"/>
    <s v="Preservativo Masculino"/>
    <s v="Performance"/>
    <x v="19"/>
    <n v="5822"/>
  </r>
  <r>
    <x v="19"/>
    <n v="2025"/>
    <x v="6"/>
    <x v="2"/>
    <s v="Preservativo Masculino"/>
    <s v="Performance"/>
    <x v="19"/>
    <n v="2916"/>
  </r>
  <r>
    <x v="19"/>
    <n v="2025"/>
    <x v="7"/>
    <x v="2"/>
    <s v="Preservativo Masculino"/>
    <s v="Performance"/>
    <x v="19"/>
    <n v="6886"/>
  </r>
  <r>
    <x v="19"/>
    <n v="2025"/>
    <x v="8"/>
    <x v="2"/>
    <s v="Preservativo Masculino"/>
    <s v="Performance"/>
    <x v="19"/>
    <n v="11761"/>
  </r>
  <r>
    <x v="19"/>
    <n v="2025"/>
    <x v="9"/>
    <x v="2"/>
    <s v="Preservativo Masculino"/>
    <s v="Performance"/>
    <x v="19"/>
    <n v="14082"/>
  </r>
  <r>
    <x v="19"/>
    <n v="2025"/>
    <x v="10"/>
    <x v="2"/>
    <s v="Preservativo Masculino"/>
    <s v="Performance"/>
    <x v="19"/>
    <n v="11482"/>
  </r>
  <r>
    <x v="19"/>
    <n v="2025"/>
    <x v="11"/>
    <x v="2"/>
    <s v="Preservativo Masculino"/>
    <s v="Performance"/>
    <x v="19"/>
    <n v="9201"/>
  </r>
  <r>
    <x v="20"/>
    <n v="2025"/>
    <x v="0"/>
    <x v="2"/>
    <s v="Preservativo Masculino"/>
    <s v="Performance"/>
    <x v="20"/>
    <n v="2035"/>
  </r>
  <r>
    <x v="20"/>
    <n v="2025"/>
    <x v="1"/>
    <x v="2"/>
    <s v="Preservativo Masculino"/>
    <s v="Performance"/>
    <x v="20"/>
    <n v="2974"/>
  </r>
  <r>
    <x v="20"/>
    <n v="2025"/>
    <x v="2"/>
    <x v="2"/>
    <s v="Preservativo Masculino"/>
    <s v="Performance"/>
    <x v="20"/>
    <n v="3498"/>
  </r>
  <r>
    <x v="20"/>
    <n v="2025"/>
    <x v="3"/>
    <x v="2"/>
    <s v="Preservativo Masculino"/>
    <s v="Performance"/>
    <x v="20"/>
    <n v="1369"/>
  </r>
  <r>
    <x v="20"/>
    <n v="2025"/>
    <x v="4"/>
    <x v="2"/>
    <s v="Preservativo Masculino"/>
    <s v="Performance"/>
    <x v="20"/>
    <n v="6652"/>
  </r>
  <r>
    <x v="20"/>
    <n v="2025"/>
    <x v="5"/>
    <x v="2"/>
    <s v="Preservativo Masculino"/>
    <s v="Performance"/>
    <x v="20"/>
    <n v="6083.143"/>
  </r>
  <r>
    <x v="20"/>
    <n v="2025"/>
    <x v="6"/>
    <x v="2"/>
    <s v="Preservativo Masculino"/>
    <s v="Performance"/>
    <x v="20"/>
    <n v="10068.419"/>
  </r>
  <r>
    <x v="20"/>
    <n v="2025"/>
    <x v="7"/>
    <x v="2"/>
    <s v="Preservativo Masculino"/>
    <s v="Performance"/>
    <x v="20"/>
    <n v="10415.496999999999"/>
  </r>
  <r>
    <x v="20"/>
    <n v="2025"/>
    <x v="8"/>
    <x v="2"/>
    <s v="Preservativo Masculino"/>
    <s v="Performance"/>
    <x v="20"/>
    <n v="12979.277"/>
  </r>
  <r>
    <x v="20"/>
    <n v="2025"/>
    <x v="9"/>
    <x v="2"/>
    <s v="Preservativo Masculino"/>
    <s v="Performance"/>
    <x v="20"/>
    <n v="13686.547000000002"/>
  </r>
  <r>
    <x v="20"/>
    <n v="2025"/>
    <x v="10"/>
    <x v="2"/>
    <s v="Preservativo Masculino"/>
    <s v="Performance"/>
    <x v="20"/>
    <n v="11086.547000000002"/>
  </r>
  <r>
    <x v="20"/>
    <n v="2025"/>
    <x v="11"/>
    <x v="2"/>
    <s v="Preservativo Masculino"/>
    <s v="Performance"/>
    <x v="20"/>
    <n v="13853.547000000002"/>
  </r>
  <r>
    <x v="21"/>
    <n v="2025"/>
    <x v="0"/>
    <x v="2"/>
    <s v="Preservativo Masculino"/>
    <s v="Performance"/>
    <x v="21"/>
    <n v="510"/>
  </r>
  <r>
    <x v="21"/>
    <n v="2025"/>
    <x v="1"/>
    <x v="2"/>
    <s v="Preservativo Masculino"/>
    <s v="Performance"/>
    <x v="21"/>
    <n v="490"/>
  </r>
  <r>
    <x v="21"/>
    <n v="2025"/>
    <x v="2"/>
    <x v="2"/>
    <s v="Preservativo Masculino"/>
    <s v="Performance"/>
    <x v="21"/>
    <n v="994"/>
  </r>
  <r>
    <x v="21"/>
    <n v="2025"/>
    <x v="3"/>
    <x v="2"/>
    <s v="Preservativo Masculino"/>
    <s v="Performance"/>
    <x v="21"/>
    <n v="385"/>
  </r>
  <r>
    <x v="21"/>
    <n v="2025"/>
    <x v="4"/>
    <x v="2"/>
    <s v="Preservativo Masculino"/>
    <s v="Performance"/>
    <x v="21"/>
    <n v="2914"/>
  </r>
  <r>
    <x v="21"/>
    <n v="2025"/>
    <x v="5"/>
    <x v="2"/>
    <s v="Preservativo Masculino"/>
    <s v="Performance"/>
    <x v="21"/>
    <n v="4798.1229999999996"/>
  </r>
  <r>
    <x v="21"/>
    <n v="2025"/>
    <x v="6"/>
    <x v="2"/>
    <s v="Preservativo Masculino"/>
    <s v="Performance"/>
    <x v="21"/>
    <n v="4460.3859999999995"/>
  </r>
  <r>
    <x v="21"/>
    <n v="2025"/>
    <x v="7"/>
    <x v="2"/>
    <s v="Preservativo Masculino"/>
    <s v="Performance"/>
    <x v="21"/>
    <n v="4148.8809999999994"/>
  </r>
  <r>
    <x v="21"/>
    <n v="2025"/>
    <x v="8"/>
    <x v="2"/>
    <s v="Preservativo Masculino"/>
    <s v="Performance"/>
    <x v="21"/>
    <n v="3826.4459999999995"/>
  </r>
  <r>
    <x v="21"/>
    <n v="2025"/>
    <x v="9"/>
    <x v="2"/>
    <s v="Preservativo Masculino"/>
    <s v="Performance"/>
    <x v="21"/>
    <n v="3455.9189999999994"/>
  </r>
  <r>
    <x v="21"/>
    <n v="2025"/>
    <x v="10"/>
    <x v="2"/>
    <s v="Preservativo Masculino"/>
    <s v="Performance"/>
    <x v="21"/>
    <n v="3083.2059999999992"/>
  </r>
  <r>
    <x v="21"/>
    <n v="2025"/>
    <x v="11"/>
    <x v="2"/>
    <s v="Preservativo Masculino"/>
    <s v="Performance"/>
    <x v="21"/>
    <n v="2771.2059999999992"/>
  </r>
  <r>
    <x v="22"/>
    <n v="2025"/>
    <x v="0"/>
    <x v="2"/>
    <s v="Preservativo Masculino"/>
    <s v="Cores e Sabores"/>
    <x v="22"/>
    <n v="419"/>
  </r>
  <r>
    <x v="22"/>
    <n v="2025"/>
    <x v="1"/>
    <x v="2"/>
    <s v="Preservativo Masculino"/>
    <s v="Cores e Sabores"/>
    <x v="22"/>
    <n v="276"/>
  </r>
  <r>
    <x v="22"/>
    <n v="2025"/>
    <x v="2"/>
    <x v="2"/>
    <s v="Preservativo Masculino"/>
    <s v="Cores e Sabores"/>
    <x v="22"/>
    <n v="347"/>
  </r>
  <r>
    <x v="22"/>
    <n v="2025"/>
    <x v="3"/>
    <x v="2"/>
    <s v="Preservativo Masculino"/>
    <s v="Cores e Sabores"/>
    <x v="22"/>
    <n v="203"/>
  </r>
  <r>
    <x v="22"/>
    <n v="2025"/>
    <x v="4"/>
    <x v="2"/>
    <s v="Preservativo Masculino"/>
    <s v="Cores e Sabores"/>
    <x v="22"/>
    <n v="3132"/>
  </r>
  <r>
    <x v="22"/>
    <n v="2025"/>
    <x v="5"/>
    <x v="2"/>
    <s v="Preservativo Masculino"/>
    <s v="Cores e Sabores"/>
    <x v="22"/>
    <n v="2818.3090000000002"/>
  </r>
  <r>
    <x v="22"/>
    <n v="2025"/>
    <x v="6"/>
    <x v="2"/>
    <s v="Preservativo Masculino"/>
    <s v="Cores e Sabores"/>
    <x v="22"/>
    <n v="2430.2940000000003"/>
  </r>
  <r>
    <x v="22"/>
    <n v="2025"/>
    <x v="7"/>
    <x v="2"/>
    <s v="Preservativo Masculino"/>
    <s v="Cores e Sabores"/>
    <x v="22"/>
    <n v="2107.8590000000004"/>
  </r>
  <r>
    <x v="22"/>
    <n v="2025"/>
    <x v="8"/>
    <x v="2"/>
    <s v="Preservativo Masculino"/>
    <s v="Cores e Sabores"/>
    <x v="22"/>
    <n v="1723.1230000000005"/>
  </r>
  <r>
    <x v="22"/>
    <n v="2025"/>
    <x v="9"/>
    <x v="2"/>
    <s v="Preservativo Masculino"/>
    <s v="Cores e Sabores"/>
    <x v="22"/>
    <n v="4300.1320000000005"/>
  </r>
  <r>
    <x v="22"/>
    <n v="2025"/>
    <x v="10"/>
    <x v="2"/>
    <s v="Preservativo Masculino"/>
    <s v="Cores e Sabores"/>
    <x v="22"/>
    <n v="3764.5620000000004"/>
  </r>
  <r>
    <x v="22"/>
    <n v="2025"/>
    <x v="11"/>
    <x v="2"/>
    <s v="Preservativo Masculino"/>
    <s v="Cores e Sabores"/>
    <x v="22"/>
    <n v="3442.5620000000004"/>
  </r>
  <r>
    <x v="23"/>
    <n v="2025"/>
    <x v="0"/>
    <x v="2"/>
    <s v="Preservativo Masculino"/>
    <s v="Performance"/>
    <x v="23"/>
    <n v="444"/>
  </r>
  <r>
    <x v="23"/>
    <n v="2025"/>
    <x v="1"/>
    <x v="2"/>
    <s v="Preservativo Masculino"/>
    <s v="Performance"/>
    <x v="23"/>
    <n v="190"/>
  </r>
  <r>
    <x v="23"/>
    <n v="2025"/>
    <x v="2"/>
    <x v="2"/>
    <s v="Preservativo Masculino"/>
    <s v="Performance"/>
    <x v="23"/>
    <n v="369"/>
  </r>
  <r>
    <x v="23"/>
    <n v="2025"/>
    <x v="3"/>
    <x v="2"/>
    <s v="Preservativo Masculino"/>
    <s v="Performance"/>
    <x v="23"/>
    <n v="146"/>
  </r>
  <r>
    <x v="23"/>
    <n v="2025"/>
    <x v="4"/>
    <x v="2"/>
    <s v="Preservativo Masculino"/>
    <s v="Performance"/>
    <x v="23"/>
    <n v="2795"/>
  </r>
  <r>
    <x v="23"/>
    <n v="2025"/>
    <x v="5"/>
    <x v="2"/>
    <s v="Preservativo Masculino"/>
    <s v="Performance"/>
    <x v="23"/>
    <n v="2660.5610000000001"/>
  </r>
  <r>
    <x v="23"/>
    <n v="2025"/>
    <x v="6"/>
    <x v="2"/>
    <s v="Preservativo Masculino"/>
    <s v="Performance"/>
    <x v="23"/>
    <n v="2485.681"/>
  </r>
  <r>
    <x v="23"/>
    <n v="2025"/>
    <x v="7"/>
    <x v="2"/>
    <s v="Preservativo Masculino"/>
    <s v="Performance"/>
    <x v="23"/>
    <n v="2321.7310000000002"/>
  </r>
  <r>
    <x v="23"/>
    <n v="2025"/>
    <x v="8"/>
    <x v="2"/>
    <s v="Preservativo Masculino"/>
    <s v="Performance"/>
    <x v="23"/>
    <n v="2145.7580000000003"/>
  </r>
  <r>
    <x v="23"/>
    <n v="2025"/>
    <x v="9"/>
    <x v="2"/>
    <s v="Preservativo Masculino"/>
    <s v="Performance"/>
    <x v="23"/>
    <n v="1950.1110000000003"/>
  </r>
  <r>
    <x v="23"/>
    <n v="2025"/>
    <x v="10"/>
    <x v="2"/>
    <s v="Preservativo Masculino"/>
    <s v="Performance"/>
    <x v="23"/>
    <n v="1662.6520000000003"/>
  </r>
  <r>
    <x v="23"/>
    <n v="2025"/>
    <x v="11"/>
    <x v="2"/>
    <s v="Preservativo Masculino"/>
    <s v="Performance"/>
    <x v="23"/>
    <n v="1498.6520000000003"/>
  </r>
  <r>
    <x v="24"/>
    <n v="2025"/>
    <x v="0"/>
    <x v="2"/>
    <s v="Preservativo Masculino"/>
    <s v="Performance"/>
    <x v="24"/>
    <n v="661"/>
  </r>
  <r>
    <x v="24"/>
    <n v="2025"/>
    <x v="1"/>
    <x v="2"/>
    <s v="Preservativo Masculino"/>
    <s v="Performance"/>
    <x v="24"/>
    <n v="409"/>
  </r>
  <r>
    <x v="24"/>
    <n v="2025"/>
    <x v="2"/>
    <x v="2"/>
    <s v="Preservativo Masculino"/>
    <s v="Performance"/>
    <x v="24"/>
    <n v="877"/>
  </r>
  <r>
    <x v="24"/>
    <n v="2025"/>
    <x v="3"/>
    <x v="2"/>
    <s v="Preservativo Masculino"/>
    <s v="Performance"/>
    <x v="24"/>
    <n v="382"/>
  </r>
  <r>
    <x v="24"/>
    <n v="2025"/>
    <x v="4"/>
    <x v="2"/>
    <s v="Preservativo Masculino"/>
    <s v="Performance"/>
    <x v="24"/>
    <n v="1743"/>
  </r>
  <r>
    <x v="24"/>
    <n v="2025"/>
    <x v="5"/>
    <x v="2"/>
    <s v="Preservativo Masculino"/>
    <s v="Performance"/>
    <x v="24"/>
    <n v="4630"/>
  </r>
  <r>
    <x v="24"/>
    <n v="2025"/>
    <x v="6"/>
    <x v="2"/>
    <s v="Preservativo Masculino"/>
    <s v="Performance"/>
    <x v="24"/>
    <n v="4474"/>
  </r>
  <r>
    <x v="24"/>
    <n v="2025"/>
    <x v="7"/>
    <x v="2"/>
    <s v="Preservativo Masculino"/>
    <s v="Performance"/>
    <x v="24"/>
    <n v="3501"/>
  </r>
  <r>
    <x v="24"/>
    <n v="2025"/>
    <x v="8"/>
    <x v="2"/>
    <s v="Preservativo Masculino"/>
    <s v="Performance"/>
    <x v="24"/>
    <n v="3312"/>
  </r>
  <r>
    <x v="24"/>
    <n v="2025"/>
    <x v="9"/>
    <x v="2"/>
    <s v="Preservativo Masculino"/>
    <s v="Performance"/>
    <x v="24"/>
    <n v="3215"/>
  </r>
  <r>
    <x v="24"/>
    <n v="2025"/>
    <x v="10"/>
    <x v="2"/>
    <s v="Preservativo Masculino"/>
    <s v="Performance"/>
    <x v="24"/>
    <n v="5665"/>
  </r>
  <r>
    <x v="24"/>
    <n v="2025"/>
    <x v="11"/>
    <x v="2"/>
    <s v="Preservativo Masculino"/>
    <s v="Performance"/>
    <x v="24"/>
    <n v="5298"/>
  </r>
  <r>
    <x v="25"/>
    <n v="2025"/>
    <x v="0"/>
    <x v="2"/>
    <s v="Preservativo Masculino"/>
    <s v="Performance"/>
    <x v="25"/>
    <n v="291"/>
  </r>
  <r>
    <x v="25"/>
    <n v="2025"/>
    <x v="1"/>
    <x v="2"/>
    <s v="Preservativo Masculino"/>
    <s v="Performance"/>
    <x v="25"/>
    <n v="221"/>
  </r>
  <r>
    <x v="25"/>
    <n v="2025"/>
    <x v="2"/>
    <x v="2"/>
    <s v="Preservativo Masculino"/>
    <s v="Performance"/>
    <x v="25"/>
    <n v="622"/>
  </r>
  <r>
    <x v="25"/>
    <n v="2025"/>
    <x v="3"/>
    <x v="2"/>
    <s v="Preservativo Masculino"/>
    <s v="Performance"/>
    <x v="25"/>
    <n v="158"/>
  </r>
  <r>
    <x v="25"/>
    <n v="2025"/>
    <x v="4"/>
    <x v="2"/>
    <s v="Preservativo Masculino"/>
    <s v="Performance"/>
    <x v="25"/>
    <n v="973"/>
  </r>
  <r>
    <x v="25"/>
    <n v="2025"/>
    <x v="5"/>
    <x v="2"/>
    <s v="Preservativo Masculino"/>
    <s v="Performance"/>
    <x v="25"/>
    <n v="841.84"/>
  </r>
  <r>
    <x v="25"/>
    <n v="2025"/>
    <x v="6"/>
    <x v="2"/>
    <s v="Preservativo Masculino"/>
    <s v="Performance"/>
    <x v="25"/>
    <n v="664.774"/>
  </r>
  <r>
    <x v="25"/>
    <n v="2025"/>
    <x v="7"/>
    <x v="2"/>
    <s v="Preservativo Masculino"/>
    <s v="Performance"/>
    <x v="25"/>
    <n v="499.73099999999999"/>
  </r>
  <r>
    <x v="25"/>
    <n v="2025"/>
    <x v="8"/>
    <x v="2"/>
    <s v="Preservativo Masculino"/>
    <s v="Performance"/>
    <x v="25"/>
    <n v="334.68799999999999"/>
  </r>
  <r>
    <x v="25"/>
    <n v="2025"/>
    <x v="9"/>
    <x v="2"/>
    <s v="Preservativo Masculino"/>
    <s v="Performance"/>
    <x v="25"/>
    <n v="142.32"/>
  </r>
  <r>
    <x v="25"/>
    <n v="2025"/>
    <x v="10"/>
    <x v="2"/>
    <s v="Preservativo Masculino"/>
    <s v="Performance"/>
    <x v="25"/>
    <n v="0"/>
  </r>
  <r>
    <x v="25"/>
    <n v="2025"/>
    <x v="11"/>
    <x v="2"/>
    <s v="Preservativo Masculino"/>
    <s v="Performance"/>
    <x v="25"/>
    <n v="0"/>
  </r>
  <r>
    <x v="26"/>
    <n v="2025"/>
    <x v="0"/>
    <x v="2"/>
    <s v="Preservativo Masculino"/>
    <s v="Low Price "/>
    <x v="26"/>
    <n v="488"/>
  </r>
  <r>
    <x v="26"/>
    <n v="2025"/>
    <x v="1"/>
    <x v="2"/>
    <s v="Preservativo Masculino"/>
    <s v="Low Price "/>
    <x v="26"/>
    <n v="2663"/>
  </r>
  <r>
    <x v="26"/>
    <n v="2025"/>
    <x v="2"/>
    <x v="2"/>
    <s v="Preservativo Masculino"/>
    <s v="Low Price "/>
    <x v="26"/>
    <n v="0"/>
  </r>
  <r>
    <x v="26"/>
    <n v="2025"/>
    <x v="3"/>
    <x v="2"/>
    <s v="Preservativo Masculino"/>
    <s v="Low Price "/>
    <x v="26"/>
    <n v="1560"/>
  </r>
  <r>
    <x v="26"/>
    <n v="2025"/>
    <x v="4"/>
    <x v="2"/>
    <s v="Preservativo Masculino"/>
    <s v="Low Price "/>
    <x v="26"/>
    <n v="4352"/>
  </r>
  <r>
    <x v="26"/>
    <n v="2025"/>
    <x v="5"/>
    <x v="2"/>
    <s v="Preservativo Masculino"/>
    <s v="Low Price "/>
    <x v="26"/>
    <n v="3637.1779999999999"/>
  </r>
  <r>
    <x v="26"/>
    <n v="2025"/>
    <x v="6"/>
    <x v="2"/>
    <s v="Preservativo Masculino"/>
    <s v="Low Price "/>
    <x v="26"/>
    <n v="2395.5299999999997"/>
  </r>
  <r>
    <x v="26"/>
    <n v="2025"/>
    <x v="7"/>
    <x v="2"/>
    <s v="Preservativo Masculino"/>
    <s v="Low Price "/>
    <x v="26"/>
    <n v="1879.6339999999998"/>
  </r>
  <r>
    <x v="26"/>
    <n v="2025"/>
    <x v="8"/>
    <x v="2"/>
    <s v="Preservativo Masculino"/>
    <s v="Low Price "/>
    <x v="26"/>
    <n v="4218.3689999999997"/>
  </r>
  <r>
    <x v="26"/>
    <n v="2025"/>
    <x v="9"/>
    <x v="2"/>
    <s v="Preservativo Masculino"/>
    <s v="Low Price "/>
    <x v="26"/>
    <n v="2894.7459999999996"/>
  </r>
  <r>
    <x v="26"/>
    <n v="2025"/>
    <x v="10"/>
    <x v="2"/>
    <s v="Preservativo Masculino"/>
    <s v="Low Price "/>
    <x v="26"/>
    <n v="12944.745999999999"/>
  </r>
  <r>
    <x v="26"/>
    <n v="2025"/>
    <x v="11"/>
    <x v="2"/>
    <s v="Preservativo Masculino"/>
    <s v="Low Price "/>
    <x v="26"/>
    <n v="13644.745999999999"/>
  </r>
  <r>
    <x v="27"/>
    <n v="2025"/>
    <x v="0"/>
    <x v="2"/>
    <s v="Preservativo Masculino"/>
    <s v="Low Price "/>
    <x v="27"/>
    <n v="246"/>
  </r>
  <r>
    <x v="27"/>
    <n v="2025"/>
    <x v="1"/>
    <x v="2"/>
    <s v="Preservativo Masculino"/>
    <s v="Low Price "/>
    <x v="27"/>
    <n v="682"/>
  </r>
  <r>
    <x v="27"/>
    <n v="2025"/>
    <x v="2"/>
    <x v="2"/>
    <s v="Preservativo Masculino"/>
    <s v="Low Price "/>
    <x v="27"/>
    <n v="1571"/>
  </r>
  <r>
    <x v="27"/>
    <n v="2025"/>
    <x v="3"/>
    <x v="2"/>
    <s v="Preservativo Masculino"/>
    <s v="Low Price "/>
    <x v="27"/>
    <n v="515"/>
  </r>
  <r>
    <x v="27"/>
    <n v="2025"/>
    <x v="4"/>
    <x v="2"/>
    <s v="Preservativo Masculino"/>
    <s v="Low Price "/>
    <x v="27"/>
    <n v="2"/>
  </r>
  <r>
    <x v="27"/>
    <n v="2025"/>
    <x v="5"/>
    <x v="2"/>
    <s v="Preservativo Masculino"/>
    <s v="Low Price "/>
    <x v="27"/>
    <n v="0"/>
  </r>
  <r>
    <x v="27"/>
    <n v="2025"/>
    <x v="6"/>
    <x v="2"/>
    <s v="Preservativo Masculino"/>
    <s v="Low Price "/>
    <x v="27"/>
    <n v="0"/>
  </r>
  <r>
    <x v="27"/>
    <n v="2025"/>
    <x v="7"/>
    <x v="2"/>
    <s v="Preservativo Masculino"/>
    <s v="Low Price "/>
    <x v="27"/>
    <n v="2234"/>
  </r>
  <r>
    <x v="27"/>
    <n v="2025"/>
    <x v="8"/>
    <x v="2"/>
    <s v="Preservativo Masculino"/>
    <s v="Low Price "/>
    <x v="27"/>
    <n v="4626"/>
  </r>
  <r>
    <x v="27"/>
    <n v="2025"/>
    <x v="9"/>
    <x v="2"/>
    <s v="Preservativo Masculino"/>
    <s v="Low Price "/>
    <x v="27"/>
    <n v="4148"/>
  </r>
  <r>
    <x v="27"/>
    <n v="2025"/>
    <x v="10"/>
    <x v="2"/>
    <s v="Preservativo Masculino"/>
    <s v="Low Price "/>
    <x v="27"/>
    <n v="6248"/>
  </r>
  <r>
    <x v="27"/>
    <n v="2025"/>
    <x v="11"/>
    <x v="2"/>
    <s v="Preservativo Masculino"/>
    <s v="Low Price "/>
    <x v="27"/>
    <n v="8248"/>
  </r>
  <r>
    <x v="28"/>
    <n v="2025"/>
    <x v="0"/>
    <x v="2"/>
    <s v="Preservativo Masculino"/>
    <s v="Low Price "/>
    <x v="28"/>
    <n v="379"/>
  </r>
  <r>
    <x v="28"/>
    <n v="2025"/>
    <x v="1"/>
    <x v="2"/>
    <s v="Preservativo Masculino"/>
    <s v="Low Price "/>
    <x v="28"/>
    <n v="1166"/>
  </r>
  <r>
    <x v="28"/>
    <n v="2025"/>
    <x v="2"/>
    <x v="2"/>
    <s v="Preservativo Masculino"/>
    <s v="Low Price "/>
    <x v="28"/>
    <n v="1726"/>
  </r>
  <r>
    <x v="28"/>
    <n v="2025"/>
    <x v="3"/>
    <x v="2"/>
    <s v="Preservativo Masculino"/>
    <s v="Low Price "/>
    <x v="28"/>
    <n v="958"/>
  </r>
  <r>
    <x v="28"/>
    <n v="2025"/>
    <x v="4"/>
    <x v="2"/>
    <s v="Preservativo Masculino"/>
    <s v="Low Price "/>
    <x v="28"/>
    <n v="947"/>
  </r>
  <r>
    <x v="28"/>
    <n v="2025"/>
    <x v="5"/>
    <x v="2"/>
    <s v="Preservativo Masculino"/>
    <s v="Low Price "/>
    <x v="28"/>
    <n v="224.52700000000004"/>
  </r>
  <r>
    <x v="28"/>
    <n v="2025"/>
    <x v="6"/>
    <x v="2"/>
    <s v="Preservativo Masculino"/>
    <s v="Low Price "/>
    <x v="28"/>
    <n v="0"/>
  </r>
  <r>
    <x v="28"/>
    <n v="2025"/>
    <x v="7"/>
    <x v="2"/>
    <s v="Preservativo Masculino"/>
    <s v="Low Price "/>
    <x v="28"/>
    <n v="0"/>
  </r>
  <r>
    <x v="28"/>
    <n v="2025"/>
    <x v="8"/>
    <x v="2"/>
    <s v="Preservativo Masculino"/>
    <s v="Low Price "/>
    <x v="28"/>
    <n v="5291.7359999999999"/>
  </r>
  <r>
    <x v="28"/>
    <n v="2025"/>
    <x v="9"/>
    <x v="2"/>
    <s v="Preservativo Masculino"/>
    <s v="Low Price "/>
    <x v="28"/>
    <n v="4082.8779999999997"/>
  </r>
  <r>
    <x v="28"/>
    <n v="2025"/>
    <x v="10"/>
    <x v="2"/>
    <s v="Preservativo Masculino"/>
    <s v="Low Price "/>
    <x v="28"/>
    <n v="7832.8780000000006"/>
  </r>
  <r>
    <x v="28"/>
    <n v="2025"/>
    <x v="11"/>
    <x v="2"/>
    <s v="Preservativo Masculino"/>
    <s v="Low Price "/>
    <x v="28"/>
    <n v="13832.878000000001"/>
  </r>
  <r>
    <x v="29"/>
    <n v="2025"/>
    <x v="0"/>
    <x v="2"/>
    <s v="Preservativo Masculino"/>
    <s v="Low Price "/>
    <x v="29"/>
    <n v="625"/>
  </r>
  <r>
    <x v="29"/>
    <n v="2025"/>
    <x v="1"/>
    <x v="2"/>
    <s v="Preservativo Masculino"/>
    <s v="Low Price "/>
    <x v="29"/>
    <n v="1045"/>
  </r>
  <r>
    <x v="29"/>
    <n v="2025"/>
    <x v="2"/>
    <x v="2"/>
    <s v="Preservativo Masculino"/>
    <s v="Low Price "/>
    <x v="29"/>
    <n v="1458"/>
  </r>
  <r>
    <x v="29"/>
    <n v="2025"/>
    <x v="3"/>
    <x v="2"/>
    <s v="Preservativo Masculino"/>
    <s v="Low Price "/>
    <x v="29"/>
    <n v="0"/>
  </r>
  <r>
    <x v="29"/>
    <n v="2025"/>
    <x v="4"/>
    <x v="2"/>
    <s v="Preservativo Masculino"/>
    <s v="Low Price "/>
    <x v="29"/>
    <n v="0"/>
  </r>
  <r>
    <x v="29"/>
    <n v="2025"/>
    <x v="5"/>
    <x v="2"/>
    <s v="Preservativo Masculino"/>
    <s v="Low Price "/>
    <x v="29"/>
    <n v="0"/>
  </r>
  <r>
    <x v="29"/>
    <n v="2025"/>
    <x v="6"/>
    <x v="2"/>
    <s v="Preservativo Masculino"/>
    <s v="Low Price "/>
    <x v="29"/>
    <n v="1908"/>
  </r>
  <r>
    <x v="29"/>
    <n v="2025"/>
    <x v="7"/>
    <x v="2"/>
    <s v="Preservativo Masculino"/>
    <s v="Low Price "/>
    <x v="29"/>
    <n v="8483"/>
  </r>
  <r>
    <x v="29"/>
    <n v="2025"/>
    <x v="8"/>
    <x v="2"/>
    <s v="Preservativo Masculino"/>
    <s v="Low Price "/>
    <x v="29"/>
    <n v="8044"/>
  </r>
  <r>
    <x v="29"/>
    <n v="2025"/>
    <x v="9"/>
    <x v="2"/>
    <s v="Preservativo Masculino"/>
    <s v="Low Price "/>
    <x v="29"/>
    <n v="7248"/>
  </r>
  <r>
    <x v="29"/>
    <n v="2025"/>
    <x v="10"/>
    <x v="2"/>
    <s v="Preservativo Masculino"/>
    <s v="Low Price "/>
    <x v="29"/>
    <n v="11748"/>
  </r>
  <r>
    <x v="29"/>
    <n v="2025"/>
    <x v="11"/>
    <x v="2"/>
    <s v="Preservativo Masculino"/>
    <s v="Low Price "/>
    <x v="29"/>
    <n v="16248"/>
  </r>
  <r>
    <x v="30"/>
    <n v="2025"/>
    <x v="0"/>
    <x v="2"/>
    <s v="Preservativo Masculino"/>
    <s v="Básico"/>
    <x v="30"/>
    <n v="1683"/>
  </r>
  <r>
    <x v="30"/>
    <n v="2025"/>
    <x v="1"/>
    <x v="2"/>
    <s v="Preservativo Masculino"/>
    <s v="Básico"/>
    <x v="30"/>
    <n v="3291"/>
  </r>
  <r>
    <x v="30"/>
    <n v="2025"/>
    <x v="2"/>
    <x v="2"/>
    <s v="Preservativo Masculino"/>
    <s v="Básico"/>
    <x v="30"/>
    <n v="3168"/>
  </r>
  <r>
    <x v="30"/>
    <n v="2025"/>
    <x v="3"/>
    <x v="2"/>
    <s v="Preservativo Masculino"/>
    <s v="Básico"/>
    <x v="30"/>
    <n v="5680"/>
  </r>
  <r>
    <x v="30"/>
    <n v="2025"/>
    <x v="4"/>
    <x v="2"/>
    <s v="Preservativo Masculino"/>
    <s v="Básico"/>
    <x v="30"/>
    <n v="10365"/>
  </r>
  <r>
    <x v="30"/>
    <n v="2025"/>
    <x v="5"/>
    <x v="2"/>
    <s v="Preservativo Masculino"/>
    <s v="Básico"/>
    <x v="30"/>
    <n v="2156.0821400000004"/>
  </r>
  <r>
    <x v="30"/>
    <n v="2025"/>
    <x v="6"/>
    <x v="2"/>
    <s v="Preservativo Masculino"/>
    <s v="Básico"/>
    <x v="30"/>
    <n v="218.45546000000036"/>
  </r>
  <r>
    <x v="30"/>
    <n v="2025"/>
    <x v="7"/>
    <x v="2"/>
    <s v="Preservativo Masculino"/>
    <s v="Básico"/>
    <x v="30"/>
    <n v="0"/>
  </r>
  <r>
    <x v="30"/>
    <n v="2025"/>
    <x v="8"/>
    <x v="2"/>
    <s v="Preservativo Masculino"/>
    <s v="Básico"/>
    <x v="30"/>
    <n v="11878.06594"/>
  </r>
  <r>
    <x v="30"/>
    <n v="2025"/>
    <x v="9"/>
    <x v="2"/>
    <s v="Preservativo Masculino"/>
    <s v="Básico"/>
    <x v="30"/>
    <n v="9919.0383199999997"/>
  </r>
  <r>
    <x v="30"/>
    <n v="2025"/>
    <x v="10"/>
    <x v="2"/>
    <s v="Preservativo Masculino"/>
    <s v="Básico"/>
    <x v="30"/>
    <n v="18519.03832"/>
  </r>
  <r>
    <x v="30"/>
    <n v="2025"/>
    <x v="11"/>
    <x v="2"/>
    <s v="Preservativo Masculino"/>
    <s v="Básico"/>
    <x v="30"/>
    <n v="13519.03832"/>
  </r>
  <r>
    <x v="31"/>
    <n v="2025"/>
    <x v="0"/>
    <x v="2"/>
    <s v="Preservativo Masculino"/>
    <s v="Básico"/>
    <x v="31"/>
    <n v="3182"/>
  </r>
  <r>
    <x v="31"/>
    <n v="2025"/>
    <x v="1"/>
    <x v="2"/>
    <s v="Preservativo Masculino"/>
    <s v="Básico"/>
    <x v="31"/>
    <n v="6342"/>
  </r>
  <r>
    <x v="31"/>
    <n v="2025"/>
    <x v="2"/>
    <x v="2"/>
    <s v="Preservativo Masculino"/>
    <s v="Básico"/>
    <x v="31"/>
    <n v="6976"/>
  </r>
  <r>
    <x v="31"/>
    <n v="2025"/>
    <x v="3"/>
    <x v="2"/>
    <s v="Preservativo Masculino"/>
    <s v="Básico"/>
    <x v="31"/>
    <n v="2947"/>
  </r>
  <r>
    <x v="31"/>
    <n v="2025"/>
    <x v="4"/>
    <x v="2"/>
    <s v="Preservativo Masculino"/>
    <s v="Básico"/>
    <x v="31"/>
    <n v="24868"/>
  </r>
  <r>
    <x v="31"/>
    <n v="2025"/>
    <x v="5"/>
    <x v="2"/>
    <s v="Preservativo Masculino"/>
    <s v="Básico"/>
    <x v="31"/>
    <n v="21646.691500000001"/>
  </r>
  <r>
    <x v="31"/>
    <n v="2025"/>
    <x v="6"/>
    <x v="2"/>
    <s v="Preservativo Masculino"/>
    <s v="Básico"/>
    <x v="31"/>
    <n v="20920.31148"/>
  </r>
  <r>
    <x v="31"/>
    <n v="2025"/>
    <x v="7"/>
    <x v="2"/>
    <s v="Preservativo Masculino"/>
    <s v="Básico"/>
    <x v="31"/>
    <n v="25434.17858"/>
  </r>
  <r>
    <x v="31"/>
    <n v="2025"/>
    <x v="8"/>
    <x v="2"/>
    <s v="Preservativo Masculino"/>
    <s v="Básico"/>
    <x v="31"/>
    <n v="37247.867019999998"/>
  </r>
  <r>
    <x v="31"/>
    <n v="2025"/>
    <x v="9"/>
    <x v="2"/>
    <s v="Preservativo Masculino"/>
    <s v="Básico"/>
    <x v="31"/>
    <n v="30431.744139999999"/>
  </r>
  <r>
    <x v="31"/>
    <n v="2025"/>
    <x v="10"/>
    <x v="2"/>
    <s v="Preservativo Masculino"/>
    <s v="Básico"/>
    <x v="31"/>
    <n v="27031.744139999995"/>
  </r>
  <r>
    <x v="31"/>
    <n v="2025"/>
    <x v="11"/>
    <x v="2"/>
    <s v="Preservativo Masculino"/>
    <s v="Básico"/>
    <x v="31"/>
    <n v="23631.744139999995"/>
  </r>
  <r>
    <x v="32"/>
    <n v="2025"/>
    <x v="0"/>
    <x v="2"/>
    <s v="Preservativo Masculino"/>
    <s v="Básico"/>
    <x v="32"/>
    <n v="3021"/>
  </r>
  <r>
    <x v="32"/>
    <n v="2025"/>
    <x v="1"/>
    <x v="2"/>
    <s v="Preservativo Masculino"/>
    <s v="Básico"/>
    <x v="32"/>
    <n v="4131"/>
  </r>
  <r>
    <x v="32"/>
    <n v="2025"/>
    <x v="2"/>
    <x v="2"/>
    <s v="Preservativo Masculino"/>
    <s v="Básico"/>
    <x v="32"/>
    <n v="4638"/>
  </r>
  <r>
    <x v="32"/>
    <n v="2025"/>
    <x v="3"/>
    <x v="2"/>
    <s v="Preservativo Masculino"/>
    <s v="Básico"/>
    <x v="32"/>
    <n v="22215"/>
  </r>
  <r>
    <x v="32"/>
    <n v="2025"/>
    <x v="4"/>
    <x v="2"/>
    <s v="Preservativo Masculino"/>
    <s v="Básico"/>
    <x v="32"/>
    <n v="2091"/>
  </r>
  <r>
    <x v="32"/>
    <n v="2025"/>
    <x v="5"/>
    <x v="2"/>
    <s v="Preservativo Masculino"/>
    <s v="Básico"/>
    <x v="32"/>
    <n v="6318.1654399999998"/>
  </r>
  <r>
    <x v="32"/>
    <n v="2025"/>
    <x v="6"/>
    <x v="2"/>
    <s v="Preservativo Masculino"/>
    <s v="Básico"/>
    <x v="32"/>
    <n v="9747.8780800000004"/>
  </r>
  <r>
    <x v="32"/>
    <n v="2025"/>
    <x v="7"/>
    <x v="2"/>
    <s v="Preservativo Masculino"/>
    <s v="Básico"/>
    <x v="32"/>
    <n v="6980.5769600000003"/>
  </r>
  <r>
    <x v="32"/>
    <n v="2025"/>
    <x v="8"/>
    <x v="2"/>
    <s v="Preservativo Masculino"/>
    <s v="Básico"/>
    <x v="32"/>
    <n v="17769.905599999998"/>
  </r>
  <r>
    <x v="32"/>
    <n v="2025"/>
    <x v="9"/>
    <x v="2"/>
    <s v="Preservativo Masculino"/>
    <s v="Básico"/>
    <x v="32"/>
    <n v="14766.166719999997"/>
  </r>
  <r>
    <x v="32"/>
    <n v="2025"/>
    <x v="10"/>
    <x v="2"/>
    <s v="Preservativo Masculino"/>
    <s v="Básico"/>
    <x v="32"/>
    <n v="14166.166719999997"/>
  </r>
  <r>
    <x v="32"/>
    <n v="2025"/>
    <x v="11"/>
    <x v="2"/>
    <s v="Preservativo Masculino"/>
    <s v="Básico"/>
    <x v="32"/>
    <n v="13566.166719999997"/>
  </r>
  <r>
    <x v="33"/>
    <n v="2025"/>
    <x v="0"/>
    <x v="2"/>
    <s v="Preservativo Masculino"/>
    <s v="Performance"/>
    <x v="33"/>
    <n v="0"/>
  </r>
  <r>
    <x v="33"/>
    <n v="2025"/>
    <x v="1"/>
    <x v="2"/>
    <s v="Preservativo Masculino"/>
    <s v="Performance"/>
    <x v="33"/>
    <n v="2064"/>
  </r>
  <r>
    <x v="33"/>
    <n v="2025"/>
    <x v="2"/>
    <x v="2"/>
    <s v="Preservativo Masculino"/>
    <s v="Performance"/>
    <x v="33"/>
    <n v="755"/>
  </r>
  <r>
    <x v="33"/>
    <n v="2025"/>
    <x v="3"/>
    <x v="2"/>
    <s v="Preservativo Masculino"/>
    <s v="Performance"/>
    <x v="33"/>
    <n v="518"/>
  </r>
  <r>
    <x v="33"/>
    <n v="2025"/>
    <x v="4"/>
    <x v="2"/>
    <s v="Preservativo Masculino"/>
    <s v="Performance"/>
    <x v="33"/>
    <n v="2650"/>
  </r>
  <r>
    <x v="33"/>
    <n v="2025"/>
    <x v="5"/>
    <x v="2"/>
    <s v="Preservativo Masculino"/>
    <s v="Performance"/>
    <x v="33"/>
    <n v="1937.364"/>
  </r>
  <r>
    <x v="33"/>
    <n v="2025"/>
    <x v="6"/>
    <x v="2"/>
    <s v="Preservativo Masculino"/>
    <s v="Performance"/>
    <x v="33"/>
    <n v="1068.4290000000001"/>
  </r>
  <r>
    <x v="33"/>
    <n v="2025"/>
    <x v="7"/>
    <x v="2"/>
    <s v="Preservativo Masculino"/>
    <s v="Performance"/>
    <x v="33"/>
    <n v="7084.7479999999996"/>
  </r>
  <r>
    <x v="33"/>
    <n v="2025"/>
    <x v="8"/>
    <x v="2"/>
    <s v="Preservativo Masculino"/>
    <s v="Performance"/>
    <x v="33"/>
    <n v="6311.9969999999994"/>
  </r>
  <r>
    <x v="33"/>
    <n v="2025"/>
    <x v="9"/>
    <x v="2"/>
    <s v="Preservativo Masculino"/>
    <s v="Performance"/>
    <x v="33"/>
    <n v="5363.2729999999992"/>
  </r>
  <r>
    <x v="33"/>
    <n v="2025"/>
    <x v="10"/>
    <x v="2"/>
    <s v="Preservativo Masculino"/>
    <s v="Performance"/>
    <x v="33"/>
    <n v="4479.0359999999991"/>
  </r>
  <r>
    <x v="33"/>
    <n v="2025"/>
    <x v="11"/>
    <x v="2"/>
    <s v="Preservativo Masculino"/>
    <s v="Performance"/>
    <x v="33"/>
    <n v="3695.0359999999991"/>
  </r>
  <r>
    <x v="34"/>
    <n v="2025"/>
    <x v="0"/>
    <x v="2"/>
    <s v="Preservativo Masculino"/>
    <s v="Performance"/>
    <x v="34"/>
    <n v="8"/>
  </r>
  <r>
    <x v="34"/>
    <n v="2025"/>
    <x v="1"/>
    <x v="2"/>
    <s v="Preservativo Masculino"/>
    <s v="Performance"/>
    <x v="34"/>
    <n v="2981"/>
  </r>
  <r>
    <x v="34"/>
    <n v="2025"/>
    <x v="2"/>
    <x v="2"/>
    <s v="Preservativo Masculino"/>
    <s v="Performance"/>
    <x v="34"/>
    <n v="2476"/>
  </r>
  <r>
    <x v="34"/>
    <n v="2025"/>
    <x v="3"/>
    <x v="2"/>
    <s v="Preservativo Masculino"/>
    <s v="Performance"/>
    <x v="34"/>
    <n v="962"/>
  </r>
  <r>
    <x v="34"/>
    <n v="2025"/>
    <x v="4"/>
    <x v="2"/>
    <s v="Preservativo Masculino"/>
    <s v="Performance"/>
    <x v="34"/>
    <n v="1117"/>
  </r>
  <r>
    <x v="34"/>
    <n v="2025"/>
    <x v="5"/>
    <x v="2"/>
    <s v="Preservativo Masculino"/>
    <s v="Performance"/>
    <x v="34"/>
    <n v="0"/>
  </r>
  <r>
    <x v="34"/>
    <n v="2025"/>
    <x v="6"/>
    <x v="2"/>
    <s v="Preservativo Masculino"/>
    <s v="Performance"/>
    <x v="34"/>
    <n v="14781.69"/>
  </r>
  <r>
    <x v="34"/>
    <n v="2025"/>
    <x v="7"/>
    <x v="2"/>
    <s v="Preservativo Masculino"/>
    <s v="Performance"/>
    <x v="34"/>
    <n v="17938.873000000003"/>
  </r>
  <r>
    <x v="34"/>
    <n v="2025"/>
    <x v="8"/>
    <x v="2"/>
    <s v="Preservativo Masculino"/>
    <s v="Performance"/>
    <x v="34"/>
    <n v="15800.965000000004"/>
  </r>
  <r>
    <x v="34"/>
    <n v="2025"/>
    <x v="9"/>
    <x v="2"/>
    <s v="Preservativo Masculino"/>
    <s v="Performance"/>
    <x v="34"/>
    <n v="13689.289000000004"/>
  </r>
  <r>
    <x v="34"/>
    <n v="2025"/>
    <x v="10"/>
    <x v="2"/>
    <s v="Preservativo Masculino"/>
    <s v="Performance"/>
    <x v="34"/>
    <n v="10996.137000000004"/>
  </r>
  <r>
    <x v="34"/>
    <n v="2025"/>
    <x v="11"/>
    <x v="2"/>
    <s v="Preservativo Masculino"/>
    <s v="Performance"/>
    <x v="34"/>
    <n v="8953.1370000000043"/>
  </r>
  <r>
    <x v="35"/>
    <n v="2025"/>
    <x v="0"/>
    <x v="2"/>
    <s v="Preservativo Masculino"/>
    <s v="Performance"/>
    <x v="35"/>
    <n v="607"/>
  </r>
  <r>
    <x v="35"/>
    <n v="2025"/>
    <x v="1"/>
    <x v="2"/>
    <s v="Preservativo Masculino"/>
    <s v="Performance"/>
    <x v="35"/>
    <n v="865"/>
  </r>
  <r>
    <x v="35"/>
    <n v="2025"/>
    <x v="2"/>
    <x v="2"/>
    <s v="Preservativo Masculino"/>
    <s v="Performance"/>
    <x v="35"/>
    <n v="1485"/>
  </r>
  <r>
    <x v="35"/>
    <n v="2025"/>
    <x v="3"/>
    <x v="2"/>
    <s v="Preservativo Masculino"/>
    <s v="Performance"/>
    <x v="35"/>
    <n v="298"/>
  </r>
  <r>
    <x v="35"/>
    <n v="2025"/>
    <x v="4"/>
    <x v="2"/>
    <s v="Preservativo Masculino"/>
    <s v="Performance"/>
    <x v="35"/>
    <n v="866"/>
  </r>
  <r>
    <x v="35"/>
    <n v="2025"/>
    <x v="5"/>
    <x v="2"/>
    <s v="Preservativo Masculino"/>
    <s v="Performance"/>
    <x v="35"/>
    <n v="493.28699999999998"/>
  </r>
  <r>
    <x v="35"/>
    <n v="2025"/>
    <x v="6"/>
    <x v="2"/>
    <s v="Preservativo Masculino"/>
    <s v="Performance"/>
    <x v="35"/>
    <n v="0"/>
  </r>
  <r>
    <x v="35"/>
    <n v="2025"/>
    <x v="7"/>
    <x v="2"/>
    <s v="Preservativo Masculino"/>
    <s v="Performance"/>
    <x v="35"/>
    <n v="0"/>
  </r>
  <r>
    <x v="35"/>
    <n v="2025"/>
    <x v="8"/>
    <x v="2"/>
    <s v="Preservativo Masculino"/>
    <s v="Performance"/>
    <x v="35"/>
    <n v="2860.058"/>
  </r>
  <r>
    <x v="35"/>
    <n v="2025"/>
    <x v="9"/>
    <x v="2"/>
    <s v="Preservativo Masculino"/>
    <s v="Performance"/>
    <x v="35"/>
    <n v="2308.0929999999998"/>
  </r>
  <r>
    <x v="35"/>
    <n v="2025"/>
    <x v="10"/>
    <x v="2"/>
    <s v="Preservativo Masculino"/>
    <s v="Performance"/>
    <x v="35"/>
    <n v="5278.5439999999999"/>
  </r>
  <r>
    <x v="35"/>
    <n v="2025"/>
    <x v="11"/>
    <x v="2"/>
    <s v="Preservativo Masculino"/>
    <s v="Performance"/>
    <x v="35"/>
    <n v="4278.5439999999999"/>
  </r>
  <r>
    <x v="36"/>
    <n v="2025"/>
    <x v="0"/>
    <x v="2"/>
    <s v="Preservativo Masculino"/>
    <s v="Performance"/>
    <x v="36"/>
    <n v="0"/>
  </r>
  <r>
    <x v="36"/>
    <n v="2025"/>
    <x v="1"/>
    <x v="2"/>
    <s v="Preservativo Masculino"/>
    <s v="Performance"/>
    <x v="36"/>
    <n v="1171"/>
  </r>
  <r>
    <x v="36"/>
    <n v="2025"/>
    <x v="2"/>
    <x v="2"/>
    <s v="Preservativo Masculino"/>
    <s v="Performance"/>
    <x v="36"/>
    <n v="596"/>
  </r>
  <r>
    <x v="36"/>
    <n v="2025"/>
    <x v="3"/>
    <x v="2"/>
    <s v="Preservativo Masculino"/>
    <s v="Performance"/>
    <x v="36"/>
    <n v="257"/>
  </r>
  <r>
    <x v="36"/>
    <n v="2025"/>
    <x v="4"/>
    <x v="2"/>
    <s v="Preservativo Masculino"/>
    <s v="Performance"/>
    <x v="36"/>
    <n v="6943"/>
  </r>
  <r>
    <x v="36"/>
    <n v="2025"/>
    <x v="5"/>
    <x v="2"/>
    <s v="Preservativo Masculino"/>
    <s v="Performance"/>
    <x v="36"/>
    <n v="6451.15"/>
  </r>
  <r>
    <x v="36"/>
    <n v="2025"/>
    <x v="6"/>
    <x v="2"/>
    <s v="Preservativo Masculino"/>
    <s v="Performance"/>
    <x v="36"/>
    <n v="5959.2999999999993"/>
  </r>
  <r>
    <x v="36"/>
    <n v="2025"/>
    <x v="7"/>
    <x v="2"/>
    <s v="Preservativo Masculino"/>
    <s v="Performance"/>
    <x v="36"/>
    <n v="5467.4499999999989"/>
  </r>
  <r>
    <x v="36"/>
    <n v="2025"/>
    <x v="8"/>
    <x v="2"/>
    <s v="Preservativo Masculino"/>
    <s v="Performance"/>
    <x v="36"/>
    <n v="4975.5999999999985"/>
  </r>
  <r>
    <x v="36"/>
    <n v="2025"/>
    <x v="9"/>
    <x v="2"/>
    <s v="Preservativo Masculino"/>
    <s v="Performance"/>
    <x v="36"/>
    <n v="4483.7499999999982"/>
  </r>
  <r>
    <x v="36"/>
    <n v="2025"/>
    <x v="10"/>
    <x v="2"/>
    <s v="Preservativo Masculino"/>
    <s v="Performance"/>
    <x v="36"/>
    <n v="3991.8999999999983"/>
  </r>
  <r>
    <x v="36"/>
    <n v="2025"/>
    <x v="11"/>
    <x v="2"/>
    <s v="Preservativo Masculino"/>
    <s v="Performance"/>
    <x v="36"/>
    <n v="3491.8999999999983"/>
  </r>
  <r>
    <x v="37"/>
    <n v="2025"/>
    <x v="0"/>
    <x v="2"/>
    <s v="Preservativo Masculino"/>
    <s v="Performance"/>
    <x v="37"/>
    <n v="308"/>
  </r>
  <r>
    <x v="37"/>
    <n v="2025"/>
    <x v="1"/>
    <x v="2"/>
    <s v="Preservativo Masculino"/>
    <s v="Performance"/>
    <x v="37"/>
    <n v="341"/>
  </r>
  <r>
    <x v="37"/>
    <n v="2025"/>
    <x v="2"/>
    <x v="2"/>
    <s v="Preservativo Masculino"/>
    <s v="Performance"/>
    <x v="37"/>
    <n v="584"/>
  </r>
  <r>
    <x v="37"/>
    <n v="2025"/>
    <x v="3"/>
    <x v="2"/>
    <s v="Preservativo Masculino"/>
    <s v="Performance"/>
    <x v="37"/>
    <n v="318"/>
  </r>
  <r>
    <x v="37"/>
    <n v="2025"/>
    <x v="4"/>
    <x v="2"/>
    <s v="Preservativo Masculino"/>
    <s v="Performance"/>
    <x v="37"/>
    <n v="6345"/>
  </r>
  <r>
    <x v="37"/>
    <n v="2025"/>
    <x v="5"/>
    <x v="2"/>
    <s v="Preservativo Masculino"/>
    <s v="Performance"/>
    <x v="37"/>
    <n v="5579.9"/>
  </r>
  <r>
    <x v="37"/>
    <n v="2025"/>
    <x v="6"/>
    <x v="2"/>
    <s v="Preservativo Masculino"/>
    <s v="Performance"/>
    <x v="37"/>
    <n v="4814.7999999999993"/>
  </r>
  <r>
    <x v="37"/>
    <n v="2025"/>
    <x v="7"/>
    <x v="2"/>
    <s v="Preservativo Masculino"/>
    <s v="Performance"/>
    <x v="37"/>
    <n v="4049.6999999999994"/>
  </r>
  <r>
    <x v="37"/>
    <n v="2025"/>
    <x v="8"/>
    <x v="2"/>
    <s v="Preservativo Masculino"/>
    <s v="Performance"/>
    <x v="37"/>
    <n v="3284.5999999999995"/>
  </r>
  <r>
    <x v="37"/>
    <n v="2025"/>
    <x v="9"/>
    <x v="2"/>
    <s v="Preservativo Masculino"/>
    <s v="Performance"/>
    <x v="37"/>
    <n v="2519.4999999999995"/>
  </r>
  <r>
    <x v="37"/>
    <n v="2025"/>
    <x v="10"/>
    <x v="2"/>
    <s v="Preservativo Masculino"/>
    <s v="Performance"/>
    <x v="37"/>
    <n v="5154.3999999999996"/>
  </r>
  <r>
    <x v="37"/>
    <n v="2025"/>
    <x v="11"/>
    <x v="2"/>
    <s v="Preservativo Masculino"/>
    <s v="Performance"/>
    <x v="37"/>
    <n v="4454.3999999999996"/>
  </r>
  <r>
    <x v="38"/>
    <n v="2025"/>
    <x v="0"/>
    <x v="2"/>
    <s v="Preservativo Masculino"/>
    <s v="Performance"/>
    <x v="38"/>
    <n v="305"/>
  </r>
  <r>
    <x v="38"/>
    <n v="2025"/>
    <x v="1"/>
    <x v="2"/>
    <s v="Preservativo Masculino"/>
    <s v="Performance"/>
    <x v="38"/>
    <n v="204"/>
  </r>
  <r>
    <x v="38"/>
    <n v="2025"/>
    <x v="2"/>
    <x v="2"/>
    <s v="Preservativo Masculino"/>
    <s v="Performance"/>
    <x v="38"/>
    <n v="236"/>
  </r>
  <r>
    <x v="38"/>
    <n v="2025"/>
    <x v="3"/>
    <x v="2"/>
    <s v="Preservativo Masculino"/>
    <s v="Performance"/>
    <x v="38"/>
    <n v="160"/>
  </r>
  <r>
    <x v="38"/>
    <n v="2025"/>
    <x v="4"/>
    <x v="2"/>
    <s v="Preservativo Masculino"/>
    <s v="Performance"/>
    <x v="38"/>
    <n v="5683"/>
  </r>
  <r>
    <x v="38"/>
    <n v="2025"/>
    <x v="5"/>
    <x v="2"/>
    <s v="Preservativo Masculino"/>
    <s v="Performance"/>
    <x v="38"/>
    <n v="5357.2860000000001"/>
  </r>
  <r>
    <x v="38"/>
    <n v="2025"/>
    <x v="6"/>
    <x v="2"/>
    <s v="Preservativo Masculino"/>
    <s v="Performance"/>
    <x v="38"/>
    <n v="4932.1090000000004"/>
  </r>
  <r>
    <x v="38"/>
    <n v="2025"/>
    <x v="7"/>
    <x v="2"/>
    <s v="Preservativo Masculino"/>
    <s v="Performance"/>
    <x v="38"/>
    <n v="4611.8600000000006"/>
  </r>
  <r>
    <x v="38"/>
    <n v="2025"/>
    <x v="8"/>
    <x v="2"/>
    <s v="Preservativo Masculino"/>
    <s v="Performance"/>
    <x v="38"/>
    <n v="4262.1000000000004"/>
  </r>
  <r>
    <x v="38"/>
    <n v="2025"/>
    <x v="9"/>
    <x v="2"/>
    <s v="Preservativo Masculino"/>
    <s v="Performance"/>
    <x v="38"/>
    <n v="3898.1310000000003"/>
  </r>
  <r>
    <x v="38"/>
    <n v="2025"/>
    <x v="10"/>
    <x v="2"/>
    <s v="Preservativo Masculino"/>
    <s v="Performance"/>
    <x v="38"/>
    <n v="3491.5350000000003"/>
  </r>
  <r>
    <x v="38"/>
    <n v="2025"/>
    <x v="11"/>
    <x v="2"/>
    <s v="Preservativo Masculino"/>
    <s v="Performance"/>
    <x v="38"/>
    <n v="3171.5350000000003"/>
  </r>
  <r>
    <x v="39"/>
    <n v="2025"/>
    <x v="0"/>
    <x v="2"/>
    <s v="Preservativo Masculino"/>
    <s v="Performance"/>
    <x v="39"/>
    <n v="1"/>
  </r>
  <r>
    <x v="39"/>
    <n v="2025"/>
    <x v="1"/>
    <x v="2"/>
    <s v="Preservativo Masculino"/>
    <s v="Performance"/>
    <x v="39"/>
    <n v="711"/>
  </r>
  <r>
    <x v="39"/>
    <n v="2025"/>
    <x v="2"/>
    <x v="2"/>
    <s v="Preservativo Masculino"/>
    <s v="Performance"/>
    <x v="39"/>
    <n v="417"/>
  </r>
  <r>
    <x v="39"/>
    <n v="2025"/>
    <x v="3"/>
    <x v="2"/>
    <s v="Preservativo Masculino"/>
    <s v="Performance"/>
    <x v="39"/>
    <n v="283"/>
  </r>
  <r>
    <x v="39"/>
    <n v="2025"/>
    <x v="4"/>
    <x v="2"/>
    <s v="Preservativo Masculino"/>
    <s v="Performance"/>
    <x v="39"/>
    <n v="4566"/>
  </r>
  <r>
    <x v="39"/>
    <n v="2025"/>
    <x v="5"/>
    <x v="2"/>
    <s v="Preservativo Masculino"/>
    <s v="Performance"/>
    <x v="39"/>
    <n v="4331"/>
  </r>
  <r>
    <x v="39"/>
    <n v="2025"/>
    <x v="6"/>
    <x v="2"/>
    <s v="Preservativo Masculino"/>
    <s v="Performance"/>
    <x v="39"/>
    <n v="4042"/>
  </r>
  <r>
    <x v="39"/>
    <n v="2025"/>
    <x v="7"/>
    <x v="2"/>
    <s v="Preservativo Masculino"/>
    <s v="Performance"/>
    <x v="39"/>
    <n v="3741"/>
  </r>
  <r>
    <x v="39"/>
    <n v="2025"/>
    <x v="8"/>
    <x v="2"/>
    <s v="Preservativo Masculino"/>
    <s v="Performance"/>
    <x v="39"/>
    <n v="3329"/>
  </r>
  <r>
    <x v="39"/>
    <n v="2025"/>
    <x v="9"/>
    <x v="2"/>
    <s v="Preservativo Masculino"/>
    <s v="Performance"/>
    <x v="39"/>
    <n v="3097"/>
  </r>
  <r>
    <x v="39"/>
    <n v="2025"/>
    <x v="10"/>
    <x v="2"/>
    <s v="Preservativo Masculino"/>
    <s v="Performance"/>
    <x v="39"/>
    <n v="2747"/>
  </r>
  <r>
    <x v="39"/>
    <n v="2025"/>
    <x v="11"/>
    <x v="2"/>
    <s v="Preservativo Masculino"/>
    <s v="Performance"/>
    <x v="39"/>
    <n v="2135"/>
  </r>
  <r>
    <x v="40"/>
    <n v="2025"/>
    <x v="0"/>
    <x v="2"/>
    <s v="Gel Lubrificante"/>
    <s v="Lub 100G"/>
    <x v="40"/>
    <n v="0"/>
  </r>
  <r>
    <x v="40"/>
    <n v="2025"/>
    <x v="1"/>
    <x v="2"/>
    <s v="Gel Lubrificante"/>
    <s v="Lub 100G"/>
    <x v="40"/>
    <n v="0"/>
  </r>
  <r>
    <x v="40"/>
    <n v="2025"/>
    <x v="2"/>
    <x v="2"/>
    <s v="Gel Lubrificante"/>
    <s v="Lub 100G"/>
    <x v="40"/>
    <n v="0"/>
  </r>
  <r>
    <x v="40"/>
    <n v="2025"/>
    <x v="3"/>
    <x v="2"/>
    <s v="Gel Lubrificante"/>
    <s v="Lub 100G"/>
    <x v="40"/>
    <n v="0"/>
  </r>
  <r>
    <x v="40"/>
    <n v="2025"/>
    <x v="4"/>
    <x v="2"/>
    <s v="Gel Lubrificante"/>
    <s v="Lub 100G"/>
    <x v="40"/>
    <n v="0"/>
  </r>
  <r>
    <x v="40"/>
    <n v="2025"/>
    <x v="5"/>
    <x v="2"/>
    <s v="Gel Lubrificante"/>
    <s v="Lub 100G"/>
    <x v="40"/>
    <n v="0"/>
  </r>
  <r>
    <x v="40"/>
    <n v="2025"/>
    <x v="6"/>
    <x v="2"/>
    <s v="Gel Lubrificante"/>
    <s v="Lub 100G"/>
    <x v="40"/>
    <n v="0"/>
  </r>
  <r>
    <x v="40"/>
    <n v="2025"/>
    <x v="7"/>
    <x v="2"/>
    <s v="Gel Lubrificante"/>
    <s v="Lub 100G"/>
    <x v="40"/>
    <n v="0"/>
  </r>
  <r>
    <x v="40"/>
    <n v="2025"/>
    <x v="8"/>
    <x v="2"/>
    <s v="Gel Lubrificante"/>
    <s v="Lub 100G"/>
    <x v="40"/>
    <n v="5282.1"/>
  </r>
  <r>
    <x v="40"/>
    <n v="2025"/>
    <x v="9"/>
    <x v="2"/>
    <s v="Gel Lubrificante"/>
    <s v="Lub 100G"/>
    <x v="40"/>
    <n v="3604.6000000000004"/>
  </r>
  <r>
    <x v="40"/>
    <n v="2025"/>
    <x v="10"/>
    <x v="2"/>
    <s v="Gel Lubrificante"/>
    <s v="Lub 100G"/>
    <x v="40"/>
    <n v="1968.9000000000003"/>
  </r>
  <r>
    <x v="40"/>
    <n v="2025"/>
    <x v="11"/>
    <x v="2"/>
    <s v="Gel Lubrificante"/>
    <s v="Lub 100G"/>
    <x v="40"/>
    <n v="170.40000000000032"/>
  </r>
  <r>
    <x v="41"/>
    <n v="2025"/>
    <x v="0"/>
    <x v="2"/>
    <s v="Gel Lubrificante"/>
    <s v="Lub 100G"/>
    <x v="41"/>
    <n v="0"/>
  </r>
  <r>
    <x v="41"/>
    <n v="2025"/>
    <x v="1"/>
    <x v="2"/>
    <s v="Gel Lubrificante"/>
    <s v="Lub 100G"/>
    <x v="41"/>
    <n v="0"/>
  </r>
  <r>
    <x v="41"/>
    <n v="2025"/>
    <x v="2"/>
    <x v="2"/>
    <s v="Gel Lubrificante"/>
    <s v="Lub 100G"/>
    <x v="41"/>
    <n v="0"/>
  </r>
  <r>
    <x v="41"/>
    <n v="2025"/>
    <x v="3"/>
    <x v="2"/>
    <s v="Gel Lubrificante"/>
    <s v="Lub 100G"/>
    <x v="41"/>
    <n v="0"/>
  </r>
  <r>
    <x v="41"/>
    <n v="2025"/>
    <x v="4"/>
    <x v="2"/>
    <s v="Gel Lubrificante"/>
    <s v="Lub 100G"/>
    <x v="41"/>
    <n v="0"/>
  </r>
  <r>
    <x v="41"/>
    <n v="2025"/>
    <x v="5"/>
    <x v="2"/>
    <s v="Gel Lubrificante"/>
    <s v="Lub 100G"/>
    <x v="41"/>
    <n v="0"/>
  </r>
  <r>
    <x v="41"/>
    <n v="2025"/>
    <x v="6"/>
    <x v="2"/>
    <s v="Gel Lubrificante"/>
    <s v="Lub 100G"/>
    <x v="41"/>
    <n v="0"/>
  </r>
  <r>
    <x v="41"/>
    <n v="2025"/>
    <x v="7"/>
    <x v="2"/>
    <s v="Gel Lubrificante"/>
    <s v="Lub 100G"/>
    <x v="41"/>
    <n v="0"/>
  </r>
  <r>
    <x v="41"/>
    <n v="2025"/>
    <x v="8"/>
    <x v="2"/>
    <s v="Gel Lubrificante"/>
    <s v="Lub 100G"/>
    <x v="41"/>
    <n v="1018.8"/>
  </r>
  <r>
    <x v="41"/>
    <n v="2025"/>
    <x v="9"/>
    <x v="2"/>
    <s v="Gel Lubrificante"/>
    <s v="Lub 100G"/>
    <x v="41"/>
    <n v="661.3"/>
  </r>
  <r>
    <x v="41"/>
    <n v="2025"/>
    <x v="10"/>
    <x v="2"/>
    <s v="Gel Lubrificante"/>
    <s v="Lub 100G"/>
    <x v="41"/>
    <n v="332.4"/>
  </r>
  <r>
    <x v="41"/>
    <n v="2025"/>
    <x v="11"/>
    <x v="2"/>
    <s v="Gel Lubrificante"/>
    <s v="Lub 100G"/>
    <x v="41"/>
    <n v="0"/>
  </r>
  <r>
    <x v="42"/>
    <n v="2025"/>
    <x v="0"/>
    <x v="2"/>
    <s v="Gel Lubrificante"/>
    <s v="Lub 100G"/>
    <x v="42"/>
    <n v="0"/>
  </r>
  <r>
    <x v="42"/>
    <n v="2025"/>
    <x v="1"/>
    <x v="2"/>
    <s v="Gel Lubrificante"/>
    <s v="Lub 100G"/>
    <x v="42"/>
    <n v="0"/>
  </r>
  <r>
    <x v="42"/>
    <n v="2025"/>
    <x v="2"/>
    <x v="2"/>
    <s v="Gel Lubrificante"/>
    <s v="Lub 100G"/>
    <x v="42"/>
    <n v="0"/>
  </r>
  <r>
    <x v="42"/>
    <n v="2025"/>
    <x v="3"/>
    <x v="2"/>
    <s v="Gel Lubrificante"/>
    <s v="Lub 100G"/>
    <x v="42"/>
    <n v="0"/>
  </r>
  <r>
    <x v="42"/>
    <n v="2025"/>
    <x v="4"/>
    <x v="2"/>
    <s v="Gel Lubrificante"/>
    <s v="Lub 100G"/>
    <x v="42"/>
    <n v="0"/>
  </r>
  <r>
    <x v="42"/>
    <n v="2025"/>
    <x v="5"/>
    <x v="2"/>
    <s v="Gel Lubrificante"/>
    <s v="Lub 100G"/>
    <x v="42"/>
    <n v="0"/>
  </r>
  <r>
    <x v="42"/>
    <n v="2025"/>
    <x v="6"/>
    <x v="2"/>
    <s v="Gel Lubrificante"/>
    <s v="Lub 100G"/>
    <x v="42"/>
    <n v="0"/>
  </r>
  <r>
    <x v="42"/>
    <n v="2025"/>
    <x v="7"/>
    <x v="2"/>
    <s v="Gel Lubrificante"/>
    <s v="Lub 100G"/>
    <x v="42"/>
    <n v="0"/>
  </r>
  <r>
    <x v="42"/>
    <n v="2025"/>
    <x v="8"/>
    <x v="2"/>
    <s v="Gel Lubrificante"/>
    <s v="Lub 100G"/>
    <x v="42"/>
    <n v="1735.1"/>
  </r>
  <r>
    <x v="42"/>
    <n v="2025"/>
    <x v="9"/>
    <x v="2"/>
    <s v="Gel Lubrificante"/>
    <s v="Lub 100G"/>
    <x v="42"/>
    <n v="637.29999999999995"/>
  </r>
  <r>
    <x v="42"/>
    <n v="2025"/>
    <x v="10"/>
    <x v="2"/>
    <s v="Gel Lubrificante"/>
    <s v="Lub 100G"/>
    <x v="42"/>
    <n v="0"/>
  </r>
  <r>
    <x v="42"/>
    <n v="2025"/>
    <x v="11"/>
    <x v="2"/>
    <s v="Gel Lubrificante"/>
    <s v="Lub 100G"/>
    <x v="42"/>
    <n v="0"/>
  </r>
  <r>
    <x v="43"/>
    <n v="2025"/>
    <x v="0"/>
    <x v="2"/>
    <s v="Gel Lubrificante"/>
    <s v="Lub 100G"/>
    <x v="43"/>
    <n v="0"/>
  </r>
  <r>
    <x v="43"/>
    <n v="2025"/>
    <x v="1"/>
    <x v="2"/>
    <s v="Gel Lubrificante"/>
    <s v="Lub 100G"/>
    <x v="43"/>
    <n v="0"/>
  </r>
  <r>
    <x v="43"/>
    <n v="2025"/>
    <x v="2"/>
    <x v="2"/>
    <s v="Gel Lubrificante"/>
    <s v="Lub 100G"/>
    <x v="43"/>
    <n v="0"/>
  </r>
  <r>
    <x v="43"/>
    <n v="2025"/>
    <x v="3"/>
    <x v="2"/>
    <s v="Gel Lubrificante"/>
    <s v="Lub 100G"/>
    <x v="43"/>
    <n v="0"/>
  </r>
  <r>
    <x v="43"/>
    <n v="2025"/>
    <x v="4"/>
    <x v="2"/>
    <s v="Gel Lubrificante"/>
    <s v="Lub 100G"/>
    <x v="43"/>
    <n v="0"/>
  </r>
  <r>
    <x v="43"/>
    <n v="2025"/>
    <x v="5"/>
    <x v="2"/>
    <s v="Gel Lubrificante"/>
    <s v="Lub 100G"/>
    <x v="43"/>
    <n v="0"/>
  </r>
  <r>
    <x v="43"/>
    <n v="2025"/>
    <x v="6"/>
    <x v="2"/>
    <s v="Gel Lubrificante"/>
    <s v="Lub 100G"/>
    <x v="43"/>
    <n v="0"/>
  </r>
  <r>
    <x v="43"/>
    <n v="2025"/>
    <x v="7"/>
    <x v="2"/>
    <s v="Gel Lubrificante"/>
    <s v="Lub 100G"/>
    <x v="43"/>
    <n v="0"/>
  </r>
  <r>
    <x v="43"/>
    <n v="2025"/>
    <x v="8"/>
    <x v="2"/>
    <s v="Gel Lubrificante"/>
    <s v="Lub 100G"/>
    <x v="43"/>
    <n v="901.1"/>
  </r>
  <r>
    <x v="43"/>
    <n v="2025"/>
    <x v="9"/>
    <x v="2"/>
    <s v="Gel Lubrificante"/>
    <s v="Lub 100G"/>
    <x v="43"/>
    <n v="436.90000000000003"/>
  </r>
  <r>
    <x v="43"/>
    <n v="2025"/>
    <x v="10"/>
    <x v="2"/>
    <s v="Gel Lubrificante"/>
    <s v="Lub 100G"/>
    <x v="43"/>
    <n v="1.3000000000000114"/>
  </r>
  <r>
    <x v="43"/>
    <n v="2025"/>
    <x v="11"/>
    <x v="2"/>
    <s v="Gel Lubrificante"/>
    <s v="Lub 100G"/>
    <x v="43"/>
    <n v="0"/>
  </r>
  <r>
    <x v="44"/>
    <n v="2025"/>
    <x v="0"/>
    <x v="2"/>
    <s v="Gel Lubrificante"/>
    <s v="Lub 60G"/>
    <x v="44"/>
    <n v="0"/>
  </r>
  <r>
    <x v="44"/>
    <n v="2025"/>
    <x v="1"/>
    <x v="2"/>
    <s v="Gel Lubrificante"/>
    <s v="Lub 60G"/>
    <x v="44"/>
    <n v="0"/>
  </r>
  <r>
    <x v="44"/>
    <n v="2025"/>
    <x v="2"/>
    <x v="2"/>
    <s v="Gel Lubrificante"/>
    <s v="Lub 60G"/>
    <x v="44"/>
    <n v="0"/>
  </r>
  <r>
    <x v="44"/>
    <n v="2025"/>
    <x v="3"/>
    <x v="2"/>
    <s v="Gel Lubrificante"/>
    <s v="Lub 60G"/>
    <x v="44"/>
    <n v="0"/>
  </r>
  <r>
    <x v="44"/>
    <n v="2025"/>
    <x v="4"/>
    <x v="2"/>
    <s v="Gel Lubrificante"/>
    <s v="Lub 60G"/>
    <x v="44"/>
    <n v="0"/>
  </r>
  <r>
    <x v="44"/>
    <n v="2025"/>
    <x v="5"/>
    <x v="2"/>
    <s v="Gel Lubrificante"/>
    <s v="Lub 60G"/>
    <x v="44"/>
    <n v="0"/>
  </r>
  <r>
    <x v="44"/>
    <n v="2025"/>
    <x v="6"/>
    <x v="2"/>
    <s v="Gel Lubrificante"/>
    <s v="Lub 60G"/>
    <x v="44"/>
    <n v="0"/>
  </r>
  <r>
    <x v="44"/>
    <n v="2025"/>
    <x v="7"/>
    <x v="2"/>
    <s v="Gel Lubrificante"/>
    <s v="Lub 60G"/>
    <x v="44"/>
    <n v="0"/>
  </r>
  <r>
    <x v="44"/>
    <n v="2025"/>
    <x v="8"/>
    <x v="2"/>
    <s v="Gel Lubrificante"/>
    <s v="Lub 60G"/>
    <x v="44"/>
    <n v="0"/>
  </r>
  <r>
    <x v="44"/>
    <n v="2025"/>
    <x v="9"/>
    <x v="2"/>
    <s v="Gel Lubrificante"/>
    <s v="Lub 60G"/>
    <x v="44"/>
    <n v="0"/>
  </r>
  <r>
    <x v="44"/>
    <n v="2025"/>
    <x v="10"/>
    <x v="2"/>
    <s v="Gel Lubrificante"/>
    <s v="Lub 60G"/>
    <x v="44"/>
    <n v="0"/>
  </r>
  <r>
    <x v="44"/>
    <n v="2025"/>
    <x v="11"/>
    <x v="2"/>
    <s v="Gel Lubrificante"/>
    <s v="Lub 60G"/>
    <x v="44"/>
    <n v="0"/>
  </r>
  <r>
    <x v="45"/>
    <n v="2025"/>
    <x v="0"/>
    <x v="2"/>
    <s v="Intima"/>
    <s v="Wipes &amp; Softcup"/>
    <x v="45"/>
    <n v="335"/>
  </r>
  <r>
    <x v="45"/>
    <n v="2025"/>
    <x v="1"/>
    <x v="2"/>
    <s v="Intima"/>
    <s v="Wipes &amp; Softcup"/>
    <x v="45"/>
    <n v="561"/>
  </r>
  <r>
    <x v="45"/>
    <n v="2025"/>
    <x v="2"/>
    <x v="2"/>
    <s v="Intima"/>
    <s v="Wipes &amp; Softcup"/>
    <x v="45"/>
    <n v="950"/>
  </r>
  <r>
    <x v="45"/>
    <n v="2025"/>
    <x v="3"/>
    <x v="2"/>
    <s v="Intima"/>
    <s v="Wipes &amp; Softcup"/>
    <x v="45"/>
    <n v="433"/>
  </r>
  <r>
    <x v="45"/>
    <n v="2025"/>
    <x v="4"/>
    <x v="2"/>
    <s v="Intima"/>
    <s v="Wipes &amp; Softcup"/>
    <x v="45"/>
    <n v="1792"/>
  </r>
  <r>
    <x v="45"/>
    <n v="2025"/>
    <x v="5"/>
    <x v="2"/>
    <s v="Intima"/>
    <s v="Wipes &amp; Softcup"/>
    <x v="45"/>
    <n v="1329.6610000000001"/>
  </r>
  <r>
    <x v="45"/>
    <n v="2025"/>
    <x v="6"/>
    <x v="2"/>
    <s v="Intima"/>
    <s v="Wipes &amp; Softcup"/>
    <x v="45"/>
    <n v="665.11700000000008"/>
  </r>
  <r>
    <x v="45"/>
    <n v="2025"/>
    <x v="7"/>
    <x v="2"/>
    <s v="Intima"/>
    <s v="Wipes &amp; Softcup"/>
    <x v="45"/>
    <n v="4231.1959999999999"/>
  </r>
  <r>
    <x v="45"/>
    <n v="2025"/>
    <x v="8"/>
    <x v="2"/>
    <s v="Intima"/>
    <s v="Wipes &amp; Softcup"/>
    <x v="45"/>
    <n v="3804.9259999999999"/>
  </r>
  <r>
    <x v="45"/>
    <n v="2025"/>
    <x v="9"/>
    <x v="2"/>
    <s v="Intima"/>
    <s v="Wipes &amp; Softcup"/>
    <x v="45"/>
    <n v="3308.7039999999997"/>
  </r>
  <r>
    <x v="45"/>
    <n v="2025"/>
    <x v="10"/>
    <x v="2"/>
    <s v="Intima"/>
    <s v="Wipes &amp; Softcup"/>
    <x v="45"/>
    <n v="2821.2259999999997"/>
  </r>
  <r>
    <x v="45"/>
    <n v="2025"/>
    <x v="11"/>
    <x v="2"/>
    <s v="Intima"/>
    <s v="Wipes &amp; Softcup"/>
    <x v="45"/>
    <n v="2387.2259999999997"/>
  </r>
  <r>
    <x v="46"/>
    <n v="2025"/>
    <x v="0"/>
    <x v="2"/>
    <s v="Intima"/>
    <s v="Wipes &amp; Softcup"/>
    <x v="46"/>
    <n v="0"/>
  </r>
  <r>
    <x v="46"/>
    <n v="2025"/>
    <x v="1"/>
    <x v="2"/>
    <s v="Intima"/>
    <s v="Wipes &amp; Softcup"/>
    <x v="46"/>
    <n v="0"/>
  </r>
  <r>
    <x v="46"/>
    <n v="2025"/>
    <x v="2"/>
    <x v="2"/>
    <s v="Intima"/>
    <s v="Wipes &amp; Softcup"/>
    <x v="46"/>
    <n v="0"/>
  </r>
  <r>
    <x v="46"/>
    <n v="2025"/>
    <x v="3"/>
    <x v="2"/>
    <s v="Intima"/>
    <s v="Wipes &amp; Softcup"/>
    <x v="46"/>
    <n v="0"/>
  </r>
  <r>
    <x v="46"/>
    <n v="2025"/>
    <x v="4"/>
    <x v="2"/>
    <s v="Intima"/>
    <s v="Wipes &amp; Softcup"/>
    <x v="46"/>
    <n v="0"/>
  </r>
  <r>
    <x v="46"/>
    <n v="2025"/>
    <x v="5"/>
    <x v="2"/>
    <s v="Intima"/>
    <s v="Wipes &amp; Softcup"/>
    <x v="46"/>
    <n v="0"/>
  </r>
  <r>
    <x v="46"/>
    <n v="2025"/>
    <x v="6"/>
    <x v="2"/>
    <s v="Intima"/>
    <s v="Wipes &amp; Softcup"/>
    <x v="46"/>
    <n v="0"/>
  </r>
  <r>
    <x v="46"/>
    <n v="2025"/>
    <x v="7"/>
    <x v="2"/>
    <s v="Intima"/>
    <s v="Wipes &amp; Softcup"/>
    <x v="46"/>
    <n v="0"/>
  </r>
  <r>
    <x v="46"/>
    <n v="2025"/>
    <x v="8"/>
    <x v="2"/>
    <s v="Intima"/>
    <s v="Wipes &amp; Softcup"/>
    <x v="46"/>
    <n v="0"/>
  </r>
  <r>
    <x v="46"/>
    <n v="2025"/>
    <x v="9"/>
    <x v="2"/>
    <s v="Intima"/>
    <s v="Wipes &amp; Softcup"/>
    <x v="46"/>
    <n v="0"/>
  </r>
  <r>
    <x v="46"/>
    <n v="2025"/>
    <x v="10"/>
    <x v="2"/>
    <s v="Intima"/>
    <s v="Wipes &amp; Softcup"/>
    <x v="46"/>
    <n v="0"/>
  </r>
  <r>
    <x v="46"/>
    <n v="2025"/>
    <x v="11"/>
    <x v="2"/>
    <s v="Intima"/>
    <s v="Wipes &amp; Softcup"/>
    <x v="46"/>
    <n v="0"/>
  </r>
  <r>
    <x v="47"/>
    <n v="2025"/>
    <x v="0"/>
    <x v="2"/>
    <s v="RX"/>
    <s v="Aspirators"/>
    <x v="47"/>
    <n v="1346"/>
  </r>
  <r>
    <x v="47"/>
    <n v="2025"/>
    <x v="1"/>
    <x v="2"/>
    <s v="RX"/>
    <s v="Aspirators"/>
    <x v="47"/>
    <n v="383"/>
  </r>
  <r>
    <x v="47"/>
    <n v="2025"/>
    <x v="2"/>
    <x v="2"/>
    <s v="RX"/>
    <s v="Aspirators"/>
    <x v="47"/>
    <n v="895"/>
  </r>
  <r>
    <x v="47"/>
    <n v="2025"/>
    <x v="3"/>
    <x v="2"/>
    <s v="RX"/>
    <s v="Aspirators"/>
    <x v="47"/>
    <n v="760"/>
  </r>
  <r>
    <x v="47"/>
    <n v="2025"/>
    <x v="4"/>
    <x v="2"/>
    <s v="RX"/>
    <s v="Aspirators"/>
    <x v="47"/>
    <n v="2773"/>
  </r>
  <r>
    <x v="47"/>
    <n v="2025"/>
    <x v="5"/>
    <x v="2"/>
    <s v="RX"/>
    <s v="Aspirators"/>
    <x v="47"/>
    <n v="1585"/>
  </r>
  <r>
    <x v="47"/>
    <n v="2025"/>
    <x v="6"/>
    <x v="2"/>
    <s v="RX"/>
    <s v="Aspirators"/>
    <x v="47"/>
    <n v="5375"/>
  </r>
  <r>
    <x v="47"/>
    <n v="2025"/>
    <x v="7"/>
    <x v="2"/>
    <s v="RX"/>
    <s v="Aspirators"/>
    <x v="47"/>
    <n v="4079"/>
  </r>
  <r>
    <x v="47"/>
    <n v="2025"/>
    <x v="8"/>
    <x v="2"/>
    <s v="RX"/>
    <s v="Aspirators"/>
    <x v="47"/>
    <n v="6021"/>
  </r>
  <r>
    <x v="47"/>
    <n v="2025"/>
    <x v="9"/>
    <x v="2"/>
    <s v="RX"/>
    <s v="Aspirators"/>
    <x v="47"/>
    <n v="6957"/>
  </r>
  <r>
    <x v="47"/>
    <n v="2025"/>
    <x v="10"/>
    <x v="2"/>
    <s v="RX"/>
    <s v="Aspirators"/>
    <x v="47"/>
    <n v="5899"/>
  </r>
  <r>
    <x v="47"/>
    <n v="2025"/>
    <x v="11"/>
    <x v="2"/>
    <s v="RX"/>
    <s v="Aspirators"/>
    <x v="47"/>
    <n v="4841"/>
  </r>
  <r>
    <x v="48"/>
    <n v="2025"/>
    <x v="0"/>
    <x v="2"/>
    <s v="RX"/>
    <s v="Aspirators"/>
    <x v="48"/>
    <n v="215"/>
  </r>
  <r>
    <x v="48"/>
    <n v="2025"/>
    <x v="1"/>
    <x v="2"/>
    <s v="RX"/>
    <s v="Aspirators"/>
    <x v="48"/>
    <n v="271"/>
  </r>
  <r>
    <x v="48"/>
    <n v="2025"/>
    <x v="2"/>
    <x v="2"/>
    <s v="RX"/>
    <s v="Aspirators"/>
    <x v="48"/>
    <n v="303"/>
  </r>
  <r>
    <x v="48"/>
    <n v="2025"/>
    <x v="3"/>
    <x v="2"/>
    <s v="RX"/>
    <s v="Aspirators"/>
    <x v="48"/>
    <n v="420"/>
  </r>
  <r>
    <x v="48"/>
    <n v="2025"/>
    <x v="4"/>
    <x v="2"/>
    <s v="RX"/>
    <s v="Aspirators"/>
    <x v="48"/>
    <n v="808"/>
  </r>
  <r>
    <x v="48"/>
    <n v="2025"/>
    <x v="5"/>
    <x v="2"/>
    <s v="RX"/>
    <s v="Aspirators"/>
    <x v="48"/>
    <n v="445"/>
  </r>
  <r>
    <x v="48"/>
    <n v="2025"/>
    <x v="6"/>
    <x v="2"/>
    <s v="RX"/>
    <s v="Aspirators"/>
    <x v="48"/>
    <n v="1179"/>
  </r>
  <r>
    <x v="48"/>
    <n v="2025"/>
    <x v="7"/>
    <x v="2"/>
    <s v="RX"/>
    <s v="Aspirators"/>
    <x v="48"/>
    <n v="1807"/>
  </r>
  <r>
    <x v="48"/>
    <n v="2025"/>
    <x v="8"/>
    <x v="2"/>
    <s v="RX"/>
    <s v="Aspirators"/>
    <x v="48"/>
    <n v="1426"/>
  </r>
  <r>
    <x v="48"/>
    <n v="2025"/>
    <x v="9"/>
    <x v="2"/>
    <s v="RX"/>
    <s v="Aspirators"/>
    <x v="48"/>
    <n v="2063"/>
  </r>
  <r>
    <x v="48"/>
    <n v="2025"/>
    <x v="10"/>
    <x v="2"/>
    <s v="RX"/>
    <s v="Aspirators"/>
    <x v="48"/>
    <n v="1700"/>
  </r>
  <r>
    <x v="48"/>
    <n v="2025"/>
    <x v="11"/>
    <x v="2"/>
    <s v="RX"/>
    <s v="Aspirators"/>
    <x v="48"/>
    <n v="1436"/>
  </r>
  <r>
    <x v="49"/>
    <n v="2025"/>
    <x v="0"/>
    <x v="2"/>
    <s v="RX"/>
    <s v="Cannulae"/>
    <x v="49"/>
    <n v="748"/>
  </r>
  <r>
    <x v="49"/>
    <n v="2025"/>
    <x v="1"/>
    <x v="2"/>
    <s v="RX"/>
    <s v="Cannulae"/>
    <x v="49"/>
    <n v="155"/>
  </r>
  <r>
    <x v="49"/>
    <n v="2025"/>
    <x v="2"/>
    <x v="2"/>
    <s v="RX"/>
    <s v="Cannulae"/>
    <x v="49"/>
    <n v="464"/>
  </r>
  <r>
    <x v="49"/>
    <n v="2025"/>
    <x v="3"/>
    <x v="2"/>
    <s v="RX"/>
    <s v="Cannulae"/>
    <x v="49"/>
    <n v="176"/>
  </r>
  <r>
    <x v="49"/>
    <n v="2025"/>
    <x v="4"/>
    <x v="2"/>
    <s v="RX"/>
    <s v="Cannulae"/>
    <x v="49"/>
    <n v="2951"/>
  </r>
  <r>
    <x v="49"/>
    <n v="2025"/>
    <x v="5"/>
    <x v="2"/>
    <s v="RX"/>
    <s v="Cannulae"/>
    <x v="49"/>
    <n v="2191.5"/>
  </r>
  <r>
    <x v="49"/>
    <n v="2025"/>
    <x v="6"/>
    <x v="2"/>
    <s v="RX"/>
    <s v="Cannulae"/>
    <x v="49"/>
    <n v="3540.5"/>
  </r>
  <r>
    <x v="49"/>
    <n v="2025"/>
    <x v="7"/>
    <x v="2"/>
    <s v="RX"/>
    <s v="Cannulae"/>
    <x v="49"/>
    <n v="4200.8950000000004"/>
  </r>
  <r>
    <x v="49"/>
    <n v="2025"/>
    <x v="8"/>
    <x v="2"/>
    <s v="RX"/>
    <s v="Cannulae"/>
    <x v="49"/>
    <n v="3860.8950000000004"/>
  </r>
  <r>
    <x v="49"/>
    <n v="2025"/>
    <x v="9"/>
    <x v="2"/>
    <s v="RX"/>
    <s v="Cannulae"/>
    <x v="49"/>
    <n v="5520.8950000000004"/>
  </r>
  <r>
    <x v="49"/>
    <n v="2025"/>
    <x v="10"/>
    <x v="2"/>
    <s v="RX"/>
    <s v="Cannulae"/>
    <x v="49"/>
    <n v="5180.8950000000004"/>
  </r>
  <r>
    <x v="49"/>
    <n v="2025"/>
    <x v="11"/>
    <x v="2"/>
    <s v="RX"/>
    <s v="Cannulae"/>
    <x v="49"/>
    <n v="4840.8950000000004"/>
  </r>
  <r>
    <x v="50"/>
    <n v="2025"/>
    <x v="0"/>
    <x v="2"/>
    <s v="RX"/>
    <s v="Cannulae"/>
    <x v="50"/>
    <n v="682"/>
  </r>
  <r>
    <x v="50"/>
    <n v="2025"/>
    <x v="1"/>
    <x v="2"/>
    <s v="RX"/>
    <s v="Cannulae"/>
    <x v="50"/>
    <n v="256"/>
  </r>
  <r>
    <x v="50"/>
    <n v="2025"/>
    <x v="2"/>
    <x v="2"/>
    <s v="RX"/>
    <s v="Cannulae"/>
    <x v="50"/>
    <n v="872"/>
  </r>
  <r>
    <x v="50"/>
    <n v="2025"/>
    <x v="3"/>
    <x v="2"/>
    <s v="RX"/>
    <s v="Cannulae"/>
    <x v="50"/>
    <n v="545"/>
  </r>
  <r>
    <x v="50"/>
    <n v="2025"/>
    <x v="4"/>
    <x v="2"/>
    <s v="RX"/>
    <s v="Cannulae"/>
    <x v="50"/>
    <n v="1930"/>
  </r>
  <r>
    <x v="50"/>
    <n v="2025"/>
    <x v="5"/>
    <x v="2"/>
    <s v="RX"/>
    <s v="Cannulae"/>
    <x v="50"/>
    <n v="1279"/>
  </r>
  <r>
    <x v="50"/>
    <n v="2025"/>
    <x v="6"/>
    <x v="2"/>
    <s v="RX"/>
    <s v="Cannulae"/>
    <x v="50"/>
    <n v="2519"/>
  </r>
  <r>
    <x v="50"/>
    <n v="2025"/>
    <x v="7"/>
    <x v="2"/>
    <s v="RX"/>
    <s v="Cannulae"/>
    <x v="50"/>
    <n v="3810"/>
  </r>
  <r>
    <x v="50"/>
    <n v="2025"/>
    <x v="8"/>
    <x v="2"/>
    <s v="RX"/>
    <s v="Cannulae"/>
    <x v="50"/>
    <n v="3094"/>
  </r>
  <r>
    <x v="50"/>
    <n v="2025"/>
    <x v="9"/>
    <x v="2"/>
    <s v="RX"/>
    <s v="Cannulae"/>
    <x v="50"/>
    <n v="4378"/>
  </r>
  <r>
    <x v="50"/>
    <n v="2025"/>
    <x v="10"/>
    <x v="2"/>
    <s v="RX"/>
    <s v="Cannulae"/>
    <x v="50"/>
    <n v="3640"/>
  </r>
  <r>
    <x v="50"/>
    <n v="2025"/>
    <x v="11"/>
    <x v="2"/>
    <s v="RX"/>
    <s v="Cannulae"/>
    <x v="50"/>
    <n v="2902"/>
  </r>
  <r>
    <x v="51"/>
    <n v="2025"/>
    <x v="0"/>
    <x v="2"/>
    <s v="RX"/>
    <s v="Cannulae"/>
    <x v="51"/>
    <n v="1128"/>
  </r>
  <r>
    <x v="51"/>
    <n v="2025"/>
    <x v="1"/>
    <x v="2"/>
    <s v="RX"/>
    <s v="Cannulae"/>
    <x v="51"/>
    <n v="344"/>
  </r>
  <r>
    <x v="51"/>
    <n v="2025"/>
    <x v="2"/>
    <x v="2"/>
    <s v="RX"/>
    <s v="Cannulae"/>
    <x v="51"/>
    <n v="1025"/>
  </r>
  <r>
    <x v="51"/>
    <n v="2025"/>
    <x v="3"/>
    <x v="2"/>
    <s v="RX"/>
    <s v="Cannulae"/>
    <x v="51"/>
    <n v="807"/>
  </r>
  <r>
    <x v="51"/>
    <n v="2025"/>
    <x v="4"/>
    <x v="2"/>
    <s v="RX"/>
    <s v="Cannulae"/>
    <x v="51"/>
    <n v="1919"/>
  </r>
  <r>
    <x v="51"/>
    <n v="2025"/>
    <x v="5"/>
    <x v="2"/>
    <s v="RX"/>
    <s v="Cannulae"/>
    <x v="51"/>
    <n v="1268"/>
  </r>
  <r>
    <x v="51"/>
    <n v="2025"/>
    <x v="6"/>
    <x v="2"/>
    <s v="RX"/>
    <s v="Cannulae"/>
    <x v="51"/>
    <n v="2508"/>
  </r>
  <r>
    <x v="51"/>
    <n v="2025"/>
    <x v="7"/>
    <x v="2"/>
    <s v="RX"/>
    <s v="Cannulae"/>
    <x v="51"/>
    <n v="2466"/>
  </r>
  <r>
    <x v="51"/>
    <n v="2025"/>
    <x v="8"/>
    <x v="2"/>
    <s v="RX"/>
    <s v="Cannulae"/>
    <x v="51"/>
    <n v="1923"/>
  </r>
  <r>
    <x v="51"/>
    <n v="2025"/>
    <x v="9"/>
    <x v="2"/>
    <s v="RX"/>
    <s v="Cannulae"/>
    <x v="51"/>
    <n v="2402"/>
  </r>
  <r>
    <x v="51"/>
    <n v="2025"/>
    <x v="10"/>
    <x v="2"/>
    <s v="RX"/>
    <s v="Cannulae"/>
    <x v="51"/>
    <n v="1881"/>
  </r>
  <r>
    <x v="51"/>
    <n v="2025"/>
    <x v="11"/>
    <x v="2"/>
    <s v="RX"/>
    <s v="Cannulae"/>
    <x v="51"/>
    <n v="1382"/>
  </r>
  <r>
    <x v="52"/>
    <n v="2025"/>
    <x v="0"/>
    <x v="2"/>
    <s v="RX"/>
    <s v="Cannulae"/>
    <x v="52"/>
    <n v="1189"/>
  </r>
  <r>
    <x v="52"/>
    <n v="2025"/>
    <x v="1"/>
    <x v="2"/>
    <s v="RX"/>
    <s v="Cannulae"/>
    <x v="52"/>
    <n v="407"/>
  </r>
  <r>
    <x v="52"/>
    <n v="2025"/>
    <x v="2"/>
    <x v="2"/>
    <s v="RX"/>
    <s v="Cannulae"/>
    <x v="52"/>
    <n v="1088"/>
  </r>
  <r>
    <x v="52"/>
    <n v="2025"/>
    <x v="3"/>
    <x v="2"/>
    <s v="RX"/>
    <s v="Cannulae"/>
    <x v="52"/>
    <n v="994"/>
  </r>
  <r>
    <x v="52"/>
    <n v="2025"/>
    <x v="4"/>
    <x v="2"/>
    <s v="RX"/>
    <s v="Cannulae"/>
    <x v="52"/>
    <n v="3220"/>
  </r>
  <r>
    <x v="52"/>
    <n v="2025"/>
    <x v="5"/>
    <x v="2"/>
    <s v="RX"/>
    <s v="Cannulae"/>
    <x v="52"/>
    <n v="1912"/>
  </r>
  <r>
    <x v="52"/>
    <n v="2025"/>
    <x v="6"/>
    <x v="2"/>
    <s v="RX"/>
    <s v="Cannulae"/>
    <x v="52"/>
    <n v="2713"/>
  </r>
  <r>
    <x v="52"/>
    <n v="2025"/>
    <x v="7"/>
    <x v="2"/>
    <s v="RX"/>
    <s v="Cannulae"/>
    <x v="52"/>
    <n v="4779"/>
  </r>
  <r>
    <x v="52"/>
    <n v="2025"/>
    <x v="8"/>
    <x v="2"/>
    <s v="RX"/>
    <s v="Cannulae"/>
    <x v="52"/>
    <n v="3798"/>
  </r>
  <r>
    <x v="52"/>
    <n v="2025"/>
    <x v="9"/>
    <x v="2"/>
    <s v="RX"/>
    <s v="Cannulae"/>
    <x v="52"/>
    <n v="4817"/>
  </r>
  <r>
    <x v="52"/>
    <n v="2025"/>
    <x v="10"/>
    <x v="2"/>
    <s v="RX"/>
    <s v="Cannulae"/>
    <x v="52"/>
    <n v="3836"/>
  </r>
  <r>
    <x v="52"/>
    <n v="2025"/>
    <x v="11"/>
    <x v="2"/>
    <s v="RX"/>
    <s v="Cannulae"/>
    <x v="52"/>
    <n v="2964"/>
  </r>
  <r>
    <x v="53"/>
    <n v="2025"/>
    <x v="0"/>
    <x v="2"/>
    <s v="RX"/>
    <s v="Cannulae"/>
    <x v="53"/>
    <n v="1150"/>
  </r>
  <r>
    <x v="53"/>
    <n v="2025"/>
    <x v="1"/>
    <x v="2"/>
    <s v="RX"/>
    <s v="Cannulae"/>
    <x v="53"/>
    <n v="351"/>
  </r>
  <r>
    <x v="53"/>
    <n v="2025"/>
    <x v="2"/>
    <x v="2"/>
    <s v="RX"/>
    <s v="Cannulae"/>
    <x v="53"/>
    <n v="1280"/>
  </r>
  <r>
    <x v="53"/>
    <n v="2025"/>
    <x v="3"/>
    <x v="2"/>
    <s v="RX"/>
    <s v="Cannulae"/>
    <x v="53"/>
    <n v="834"/>
  </r>
  <r>
    <x v="53"/>
    <n v="2025"/>
    <x v="4"/>
    <x v="2"/>
    <s v="RX"/>
    <s v="Cannulae"/>
    <x v="53"/>
    <n v="2013"/>
  </r>
  <r>
    <x v="53"/>
    <n v="2025"/>
    <x v="5"/>
    <x v="2"/>
    <s v="RX"/>
    <s v="Cannulae"/>
    <x v="53"/>
    <n v="923"/>
  </r>
  <r>
    <x v="53"/>
    <n v="2025"/>
    <x v="6"/>
    <x v="2"/>
    <s v="RX"/>
    <s v="Cannulae"/>
    <x v="53"/>
    <n v="2942"/>
  </r>
  <r>
    <x v="53"/>
    <n v="2025"/>
    <x v="7"/>
    <x v="2"/>
    <s v="RX"/>
    <s v="Cannulae"/>
    <x v="53"/>
    <n v="6919"/>
  </r>
  <r>
    <x v="53"/>
    <n v="2025"/>
    <x v="8"/>
    <x v="2"/>
    <s v="RX"/>
    <s v="Cannulae"/>
    <x v="53"/>
    <n v="5851"/>
  </r>
  <r>
    <x v="53"/>
    <n v="2025"/>
    <x v="9"/>
    <x v="2"/>
    <s v="RX"/>
    <s v="Cannulae"/>
    <x v="53"/>
    <n v="6783"/>
  </r>
  <r>
    <x v="53"/>
    <n v="2025"/>
    <x v="10"/>
    <x v="2"/>
    <s v="RX"/>
    <s v="Cannulae"/>
    <x v="53"/>
    <n v="5824"/>
  </r>
  <r>
    <x v="53"/>
    <n v="2025"/>
    <x v="11"/>
    <x v="2"/>
    <s v="RX"/>
    <s v="Cannulae"/>
    <x v="53"/>
    <n v="4843"/>
  </r>
  <r>
    <x v="54"/>
    <n v="2025"/>
    <x v="0"/>
    <x v="2"/>
    <s v="RX"/>
    <s v="Cannulae"/>
    <x v="54"/>
    <n v="622"/>
  </r>
  <r>
    <x v="54"/>
    <n v="2025"/>
    <x v="1"/>
    <x v="2"/>
    <s v="RX"/>
    <s v="Cannulae"/>
    <x v="54"/>
    <n v="221"/>
  </r>
  <r>
    <x v="54"/>
    <n v="2025"/>
    <x v="2"/>
    <x v="2"/>
    <s v="RX"/>
    <s v="Cannulae"/>
    <x v="54"/>
    <n v="841"/>
  </r>
  <r>
    <x v="54"/>
    <n v="2025"/>
    <x v="3"/>
    <x v="2"/>
    <s v="RX"/>
    <s v="Cannulae"/>
    <x v="54"/>
    <n v="706"/>
  </r>
  <r>
    <x v="54"/>
    <n v="2025"/>
    <x v="4"/>
    <x v="2"/>
    <s v="RX"/>
    <s v="Cannulae"/>
    <x v="54"/>
    <n v="3710"/>
  </r>
  <r>
    <x v="54"/>
    <n v="2025"/>
    <x v="5"/>
    <x v="2"/>
    <s v="RX"/>
    <s v="Cannulae"/>
    <x v="54"/>
    <n v="2838"/>
  </r>
  <r>
    <x v="54"/>
    <n v="2025"/>
    <x v="6"/>
    <x v="2"/>
    <s v="RX"/>
    <s v="Cannulae"/>
    <x v="54"/>
    <n v="1966"/>
  </r>
  <r>
    <x v="54"/>
    <n v="2025"/>
    <x v="7"/>
    <x v="2"/>
    <s v="RX"/>
    <s v="Cannulae"/>
    <x v="54"/>
    <n v="3653"/>
  </r>
  <r>
    <x v="54"/>
    <n v="2025"/>
    <x v="8"/>
    <x v="2"/>
    <s v="RX"/>
    <s v="Cannulae"/>
    <x v="54"/>
    <n v="2999"/>
  </r>
  <r>
    <x v="54"/>
    <n v="2025"/>
    <x v="9"/>
    <x v="2"/>
    <s v="RX"/>
    <s v="Cannulae"/>
    <x v="54"/>
    <n v="4345"/>
  </r>
  <r>
    <x v="54"/>
    <n v="2025"/>
    <x v="10"/>
    <x v="2"/>
    <s v="RX"/>
    <s v="Cannulae"/>
    <x v="54"/>
    <n v="3735"/>
  </r>
  <r>
    <x v="54"/>
    <n v="2025"/>
    <x v="11"/>
    <x v="2"/>
    <s v="RX"/>
    <s v="Cannulae"/>
    <x v="54"/>
    <n v="3125"/>
  </r>
  <r>
    <x v="55"/>
    <n v="2025"/>
    <x v="0"/>
    <x v="2"/>
    <s v="RX"/>
    <s v="Cannulae"/>
    <x v="55"/>
    <n v="455"/>
  </r>
  <r>
    <x v="55"/>
    <n v="2025"/>
    <x v="1"/>
    <x v="2"/>
    <s v="RX"/>
    <s v="Cannulae"/>
    <x v="55"/>
    <n v="152"/>
  </r>
  <r>
    <x v="55"/>
    <n v="2025"/>
    <x v="2"/>
    <x v="2"/>
    <s v="RX"/>
    <s v="Cannulae"/>
    <x v="55"/>
    <n v="600"/>
  </r>
  <r>
    <x v="55"/>
    <n v="2025"/>
    <x v="3"/>
    <x v="2"/>
    <s v="RX"/>
    <s v="Cannulae"/>
    <x v="55"/>
    <n v="458"/>
  </r>
  <r>
    <x v="55"/>
    <n v="2025"/>
    <x v="4"/>
    <x v="2"/>
    <s v="RX"/>
    <s v="Cannulae"/>
    <x v="55"/>
    <n v="1716"/>
  </r>
  <r>
    <x v="55"/>
    <n v="2025"/>
    <x v="5"/>
    <x v="2"/>
    <s v="RX"/>
    <s v="Cannulae"/>
    <x v="55"/>
    <n v="1065"/>
  </r>
  <r>
    <x v="55"/>
    <n v="2025"/>
    <x v="6"/>
    <x v="2"/>
    <s v="RX"/>
    <s v="Cannulae"/>
    <x v="55"/>
    <n v="4414"/>
  </r>
  <r>
    <x v="55"/>
    <n v="2025"/>
    <x v="7"/>
    <x v="2"/>
    <s v="RX"/>
    <s v="Cannulae"/>
    <x v="55"/>
    <n v="3821"/>
  </r>
  <r>
    <x v="55"/>
    <n v="2025"/>
    <x v="8"/>
    <x v="2"/>
    <s v="RX"/>
    <s v="Cannulae"/>
    <x v="55"/>
    <n v="3235"/>
  </r>
  <r>
    <x v="55"/>
    <n v="2025"/>
    <x v="9"/>
    <x v="2"/>
    <s v="RX"/>
    <s v="Cannulae"/>
    <x v="55"/>
    <n v="3649"/>
  </r>
  <r>
    <x v="55"/>
    <n v="2025"/>
    <x v="10"/>
    <x v="2"/>
    <s v="RX"/>
    <s v="Cannulae"/>
    <x v="55"/>
    <n v="3063"/>
  </r>
  <r>
    <x v="55"/>
    <n v="2025"/>
    <x v="11"/>
    <x v="2"/>
    <s v="RX"/>
    <s v="Cannulae"/>
    <x v="55"/>
    <n v="2466"/>
  </r>
  <r>
    <x v="56"/>
    <n v="2025"/>
    <x v="0"/>
    <x v="2"/>
    <s v="RX"/>
    <s v="Cannulae"/>
    <x v="56"/>
    <n v="535"/>
  </r>
  <r>
    <x v="56"/>
    <n v="2025"/>
    <x v="1"/>
    <x v="2"/>
    <s v="RX"/>
    <s v="Cannulae"/>
    <x v="56"/>
    <n v="137"/>
  </r>
  <r>
    <x v="56"/>
    <n v="2025"/>
    <x v="2"/>
    <x v="2"/>
    <s v="RX"/>
    <s v="Cannulae"/>
    <x v="56"/>
    <n v="589"/>
  </r>
  <r>
    <x v="56"/>
    <n v="2025"/>
    <x v="3"/>
    <x v="2"/>
    <s v="RX"/>
    <s v="Cannulae"/>
    <x v="56"/>
    <n v="279"/>
  </r>
  <r>
    <x v="56"/>
    <n v="2025"/>
    <x v="4"/>
    <x v="2"/>
    <s v="RX"/>
    <s v="Cannulae"/>
    <x v="56"/>
    <n v="2912"/>
  </r>
  <r>
    <x v="56"/>
    <n v="2025"/>
    <x v="5"/>
    <x v="2"/>
    <s v="RX"/>
    <s v="Cannulae"/>
    <x v="56"/>
    <n v="2532"/>
  </r>
  <r>
    <x v="56"/>
    <n v="2025"/>
    <x v="6"/>
    <x v="2"/>
    <s v="RX"/>
    <s v="Cannulae"/>
    <x v="56"/>
    <n v="2152"/>
  </r>
  <r>
    <x v="56"/>
    <n v="2025"/>
    <x v="7"/>
    <x v="2"/>
    <s v="RX"/>
    <s v="Cannulae"/>
    <x v="56"/>
    <n v="2620"/>
  </r>
  <r>
    <x v="56"/>
    <n v="2025"/>
    <x v="8"/>
    <x v="2"/>
    <s v="RX"/>
    <s v="Cannulae"/>
    <x v="56"/>
    <n v="2204"/>
  </r>
  <r>
    <x v="56"/>
    <n v="2025"/>
    <x v="9"/>
    <x v="2"/>
    <s v="RX"/>
    <s v="Cannulae"/>
    <x v="56"/>
    <n v="2788"/>
  </r>
  <r>
    <x v="56"/>
    <n v="2025"/>
    <x v="10"/>
    <x v="2"/>
    <s v="RX"/>
    <s v="Cannulae"/>
    <x v="56"/>
    <n v="2372"/>
  </r>
  <r>
    <x v="56"/>
    <n v="2025"/>
    <x v="11"/>
    <x v="2"/>
    <s v="RX"/>
    <s v="Cannulae"/>
    <x v="56"/>
    <n v="1956"/>
  </r>
  <r>
    <x v="57"/>
    <n v="2025"/>
    <x v="0"/>
    <x v="2"/>
    <s v="RX"/>
    <s v="Dilators"/>
    <x v="57"/>
    <n v="2885"/>
  </r>
  <r>
    <x v="57"/>
    <n v="2025"/>
    <x v="1"/>
    <x v="2"/>
    <s v="RX"/>
    <s v="Dilators"/>
    <x v="57"/>
    <n v="1321"/>
  </r>
  <r>
    <x v="57"/>
    <n v="2025"/>
    <x v="2"/>
    <x v="2"/>
    <s v="RX"/>
    <s v="Dilators"/>
    <x v="57"/>
    <n v="4821"/>
  </r>
  <r>
    <x v="57"/>
    <n v="2025"/>
    <x v="3"/>
    <x v="2"/>
    <s v="RX"/>
    <s v="Dilators"/>
    <x v="57"/>
    <n v="4409"/>
  </r>
  <r>
    <x v="57"/>
    <n v="2025"/>
    <x v="4"/>
    <x v="2"/>
    <s v="RX"/>
    <s v="Dilators"/>
    <x v="57"/>
    <n v="13856"/>
  </r>
  <r>
    <x v="57"/>
    <n v="2025"/>
    <x v="5"/>
    <x v="2"/>
    <s v="RX"/>
    <s v="Dilators"/>
    <x v="57"/>
    <n v="8588"/>
  </r>
  <r>
    <x v="57"/>
    <n v="2025"/>
    <x v="6"/>
    <x v="2"/>
    <s v="RX"/>
    <s v="Dilators"/>
    <x v="57"/>
    <n v="17820"/>
  </r>
  <r>
    <x v="57"/>
    <n v="2025"/>
    <x v="7"/>
    <x v="2"/>
    <s v="RX"/>
    <s v="Dilators"/>
    <x v="57"/>
    <n v="42337"/>
  </r>
  <r>
    <x v="57"/>
    <n v="2025"/>
    <x v="8"/>
    <x v="2"/>
    <s v="RX"/>
    <s v="Dilators"/>
    <x v="57"/>
    <n v="36209"/>
  </r>
  <r>
    <x v="57"/>
    <n v="2025"/>
    <x v="9"/>
    <x v="2"/>
    <s v="RX"/>
    <s v="Dilators"/>
    <x v="57"/>
    <n v="40081"/>
  </r>
  <r>
    <x v="57"/>
    <n v="2025"/>
    <x v="10"/>
    <x v="2"/>
    <s v="RX"/>
    <s v="Dilators"/>
    <x v="57"/>
    <n v="33846"/>
  </r>
  <r>
    <x v="57"/>
    <n v="2025"/>
    <x v="11"/>
    <x v="2"/>
    <s v="RX"/>
    <s v="Dilators"/>
    <x v="57"/>
    <n v="27718"/>
  </r>
  <r>
    <x v="58"/>
    <n v="2025"/>
    <x v="0"/>
    <x v="2"/>
    <s v="RX"/>
    <s v="IUDs Cu &amp; IUS &amp; IUB"/>
    <x v="58"/>
    <n v="256"/>
  </r>
  <r>
    <x v="58"/>
    <n v="2025"/>
    <x v="1"/>
    <x v="2"/>
    <s v="RX"/>
    <s v="IUDs Cu &amp; IUS &amp; IUB"/>
    <x v="58"/>
    <n v="260"/>
  </r>
  <r>
    <x v="58"/>
    <n v="2025"/>
    <x v="2"/>
    <x v="2"/>
    <s v="RX"/>
    <s v="IUDs Cu &amp; IUS &amp; IUB"/>
    <x v="58"/>
    <n v="240"/>
  </r>
  <r>
    <x v="58"/>
    <n v="2025"/>
    <x v="3"/>
    <x v="2"/>
    <s v="RX"/>
    <s v="IUDs Cu &amp; IUS &amp; IUB"/>
    <x v="58"/>
    <n v="222"/>
  </r>
  <r>
    <x v="58"/>
    <n v="2025"/>
    <x v="4"/>
    <x v="2"/>
    <s v="RX"/>
    <s v="IUDs Cu &amp; IUS &amp; IUB"/>
    <x v="58"/>
    <n v="7824"/>
  </r>
  <r>
    <x v="58"/>
    <n v="2025"/>
    <x v="5"/>
    <x v="2"/>
    <s v="RX"/>
    <s v="IUDs Cu &amp; IUS &amp; IUB"/>
    <x v="58"/>
    <n v="7448"/>
  </r>
  <r>
    <x v="58"/>
    <n v="2025"/>
    <x v="6"/>
    <x v="2"/>
    <s v="RX"/>
    <s v="IUDs Cu &amp; IUS &amp; IUB"/>
    <x v="58"/>
    <n v="6910"/>
  </r>
  <r>
    <x v="58"/>
    <n v="2025"/>
    <x v="7"/>
    <x v="2"/>
    <s v="RX"/>
    <s v="IUDs Cu &amp; IUS &amp; IUB"/>
    <x v="58"/>
    <n v="6437"/>
  </r>
  <r>
    <x v="58"/>
    <n v="2025"/>
    <x v="8"/>
    <x v="2"/>
    <s v="RX"/>
    <s v="IUDs Cu &amp; IUS &amp; IUB"/>
    <x v="58"/>
    <n v="6168"/>
  </r>
  <r>
    <x v="58"/>
    <n v="2025"/>
    <x v="9"/>
    <x v="2"/>
    <s v="RX"/>
    <s v="IUDs Cu &amp; IUS &amp; IUB"/>
    <x v="58"/>
    <n v="5845"/>
  </r>
  <r>
    <x v="58"/>
    <n v="2025"/>
    <x v="10"/>
    <x v="2"/>
    <s v="RX"/>
    <s v="IUDs Cu &amp; IUS &amp; IUB"/>
    <x v="58"/>
    <n v="5522"/>
  </r>
  <r>
    <x v="58"/>
    <n v="2025"/>
    <x v="11"/>
    <x v="2"/>
    <s v="RX"/>
    <s v="IUDs Cu &amp; IUS &amp; IUB"/>
    <x v="58"/>
    <n v="5199"/>
  </r>
  <r>
    <x v="59"/>
    <n v="2025"/>
    <x v="0"/>
    <x v="2"/>
    <s v="RX"/>
    <s v="IUDs Cu &amp; IUS &amp; IUB"/>
    <x v="59"/>
    <n v="325"/>
  </r>
  <r>
    <x v="59"/>
    <n v="2025"/>
    <x v="1"/>
    <x v="2"/>
    <s v="RX"/>
    <s v="IUDs Cu &amp; IUS &amp; IUB"/>
    <x v="59"/>
    <n v="464"/>
  </r>
  <r>
    <x v="59"/>
    <n v="2025"/>
    <x v="2"/>
    <x v="2"/>
    <s v="RX"/>
    <s v="IUDs Cu &amp; IUS &amp; IUB"/>
    <x v="59"/>
    <n v="805"/>
  </r>
  <r>
    <x v="59"/>
    <n v="2025"/>
    <x v="3"/>
    <x v="2"/>
    <s v="RX"/>
    <s v="IUDs Cu &amp; IUS &amp; IUB"/>
    <x v="59"/>
    <n v="473"/>
  </r>
  <r>
    <x v="59"/>
    <n v="2025"/>
    <x v="4"/>
    <x v="2"/>
    <s v="RX"/>
    <s v="IUDs Cu &amp; IUS &amp; IUB"/>
    <x v="59"/>
    <n v="5431"/>
  </r>
  <r>
    <x v="59"/>
    <n v="2025"/>
    <x v="5"/>
    <x v="2"/>
    <s v="RX"/>
    <s v="IUDs Cu &amp; IUS &amp; IUB"/>
    <x v="59"/>
    <n v="4982"/>
  </r>
  <r>
    <x v="59"/>
    <n v="2025"/>
    <x v="6"/>
    <x v="2"/>
    <s v="RX"/>
    <s v="IUDs Cu &amp; IUS &amp; IUB"/>
    <x v="59"/>
    <n v="4458"/>
  </r>
  <r>
    <x v="59"/>
    <n v="2025"/>
    <x v="7"/>
    <x v="2"/>
    <s v="RX"/>
    <s v="IUDs Cu &amp; IUS &amp; IUB"/>
    <x v="59"/>
    <n v="3934"/>
  </r>
  <r>
    <x v="59"/>
    <n v="2025"/>
    <x v="8"/>
    <x v="2"/>
    <s v="RX"/>
    <s v="IUDs Cu &amp; IUS &amp; IUB"/>
    <x v="59"/>
    <n v="3345"/>
  </r>
  <r>
    <x v="59"/>
    <n v="2025"/>
    <x v="9"/>
    <x v="2"/>
    <s v="RX"/>
    <s v="IUDs Cu &amp; IUS &amp; IUB"/>
    <x v="59"/>
    <n v="12703"/>
  </r>
  <r>
    <x v="59"/>
    <n v="2025"/>
    <x v="10"/>
    <x v="2"/>
    <s v="RX"/>
    <s v="IUDs Cu &amp; IUS &amp; IUB"/>
    <x v="59"/>
    <n v="12061"/>
  </r>
  <r>
    <x v="59"/>
    <n v="2025"/>
    <x v="11"/>
    <x v="2"/>
    <s v="RX"/>
    <s v="IUDs Cu &amp; IUS &amp; IUB"/>
    <x v="59"/>
    <n v="11419"/>
  </r>
  <r>
    <x v="60"/>
    <n v="2025"/>
    <x v="0"/>
    <x v="2"/>
    <s v="RX"/>
    <s v="IUDs Cu &amp; IUS &amp; IUB"/>
    <x v="60"/>
    <n v="1348"/>
  </r>
  <r>
    <x v="60"/>
    <n v="2025"/>
    <x v="1"/>
    <x v="2"/>
    <s v="RX"/>
    <s v="IUDs Cu &amp; IUS &amp; IUB"/>
    <x v="60"/>
    <n v="1754"/>
  </r>
  <r>
    <x v="60"/>
    <n v="2025"/>
    <x v="2"/>
    <x v="2"/>
    <s v="RX"/>
    <s v="IUDs Cu &amp; IUS &amp; IUB"/>
    <x v="60"/>
    <n v="2894"/>
  </r>
  <r>
    <x v="60"/>
    <n v="2025"/>
    <x v="3"/>
    <x v="2"/>
    <s v="RX"/>
    <s v="IUDs Cu &amp; IUS &amp; IUB"/>
    <x v="60"/>
    <n v="1719"/>
  </r>
  <r>
    <x v="60"/>
    <n v="2025"/>
    <x v="4"/>
    <x v="2"/>
    <s v="RX"/>
    <s v="IUDs Cu &amp; IUS &amp; IUB"/>
    <x v="60"/>
    <n v="12133"/>
  </r>
  <r>
    <x v="60"/>
    <n v="2025"/>
    <x v="5"/>
    <x v="2"/>
    <s v="RX"/>
    <s v="IUDs Cu &amp; IUS &amp; IUB"/>
    <x v="60"/>
    <n v="9006"/>
  </r>
  <r>
    <x v="60"/>
    <n v="2025"/>
    <x v="6"/>
    <x v="2"/>
    <s v="RX"/>
    <s v="IUDs Cu &amp; IUS &amp; IUB"/>
    <x v="60"/>
    <n v="20944"/>
  </r>
  <r>
    <x v="60"/>
    <n v="2025"/>
    <x v="7"/>
    <x v="2"/>
    <s v="RX"/>
    <s v="IUDs Cu &amp; IUS &amp; IUB"/>
    <x v="60"/>
    <n v="18506"/>
  </r>
  <r>
    <x v="60"/>
    <n v="2025"/>
    <x v="8"/>
    <x v="2"/>
    <s v="RX"/>
    <s v="IUDs Cu &amp; IUS &amp; IUB"/>
    <x v="60"/>
    <n v="16089"/>
  </r>
  <r>
    <x v="60"/>
    <n v="2025"/>
    <x v="9"/>
    <x v="2"/>
    <s v="RX"/>
    <s v="IUDs Cu &amp; IUS &amp; IUB"/>
    <x v="60"/>
    <n v="13545"/>
  </r>
  <r>
    <x v="60"/>
    <n v="2025"/>
    <x v="10"/>
    <x v="2"/>
    <s v="RX"/>
    <s v="IUDs Cu &amp; IUS &amp; IUB"/>
    <x v="60"/>
    <n v="11319"/>
  </r>
  <r>
    <x v="60"/>
    <n v="2025"/>
    <x v="11"/>
    <x v="2"/>
    <s v="RX"/>
    <s v="IUDs Cu &amp; IUS &amp; IUB"/>
    <x v="60"/>
    <n v="8987"/>
  </r>
  <r>
    <x v="61"/>
    <n v="2025"/>
    <x v="0"/>
    <x v="2"/>
    <s v="RX"/>
    <s v="IUDs Cu &amp; IUS &amp; IUB"/>
    <x v="61"/>
    <n v="395"/>
  </r>
  <r>
    <x v="61"/>
    <n v="2025"/>
    <x v="1"/>
    <x v="2"/>
    <s v="RX"/>
    <s v="IUDs Cu &amp; IUS &amp; IUB"/>
    <x v="61"/>
    <n v="875"/>
  </r>
  <r>
    <x v="61"/>
    <n v="2025"/>
    <x v="2"/>
    <x v="2"/>
    <s v="RX"/>
    <s v="IUDs Cu &amp; IUS &amp; IUB"/>
    <x v="61"/>
    <n v="1356"/>
  </r>
  <r>
    <x v="61"/>
    <n v="2025"/>
    <x v="3"/>
    <x v="2"/>
    <s v="RX"/>
    <s v="IUDs Cu &amp; IUS &amp; IUB"/>
    <x v="61"/>
    <n v="814"/>
  </r>
  <r>
    <x v="61"/>
    <n v="2025"/>
    <x v="4"/>
    <x v="2"/>
    <s v="RX"/>
    <s v="IUDs Cu &amp; IUS &amp; IUB"/>
    <x v="61"/>
    <n v="6920"/>
  </r>
  <r>
    <x v="61"/>
    <n v="2025"/>
    <x v="5"/>
    <x v="2"/>
    <s v="RX"/>
    <s v="IUDs Cu &amp; IUS &amp; IUB"/>
    <x v="61"/>
    <n v="5436"/>
  </r>
  <r>
    <x v="61"/>
    <n v="2025"/>
    <x v="6"/>
    <x v="2"/>
    <s v="RX"/>
    <s v="IUDs Cu &amp; IUS &amp; IUB"/>
    <x v="61"/>
    <n v="9056"/>
  </r>
  <r>
    <x v="61"/>
    <n v="2025"/>
    <x v="7"/>
    <x v="2"/>
    <s v="RX"/>
    <s v="IUDs Cu &amp; IUS &amp; IUB"/>
    <x v="61"/>
    <n v="7784"/>
  </r>
  <r>
    <x v="61"/>
    <n v="2025"/>
    <x v="8"/>
    <x v="2"/>
    <s v="RX"/>
    <s v="IUDs Cu &amp; IUS &amp; IUB"/>
    <x v="61"/>
    <n v="6569"/>
  </r>
  <r>
    <x v="61"/>
    <n v="2025"/>
    <x v="9"/>
    <x v="2"/>
    <s v="RX"/>
    <s v="IUDs Cu &amp; IUS &amp; IUB"/>
    <x v="61"/>
    <n v="10191"/>
  </r>
  <r>
    <x v="61"/>
    <n v="2025"/>
    <x v="10"/>
    <x v="2"/>
    <s v="RX"/>
    <s v="IUDs Cu &amp; IUS &amp; IUB"/>
    <x v="61"/>
    <n v="8813"/>
  </r>
  <r>
    <x v="61"/>
    <n v="2025"/>
    <x v="11"/>
    <x v="2"/>
    <s v="RX"/>
    <s v="IUDs Cu &amp; IUS &amp; IUB"/>
    <x v="61"/>
    <n v="12435"/>
  </r>
  <r>
    <x v="62"/>
    <n v="2025"/>
    <x v="0"/>
    <x v="2"/>
    <s v="RX"/>
    <s v="IUDs Cu &amp; IUS &amp; IUB"/>
    <x v="62"/>
    <n v="0"/>
  </r>
  <r>
    <x v="62"/>
    <n v="2025"/>
    <x v="1"/>
    <x v="2"/>
    <s v="RX"/>
    <s v="IUDs Cu &amp; IUS &amp; IUB"/>
    <x v="62"/>
    <n v="200"/>
  </r>
  <r>
    <x v="62"/>
    <n v="2025"/>
    <x v="2"/>
    <x v="2"/>
    <s v="RX"/>
    <s v="IUDs Cu &amp; IUS &amp; IUB"/>
    <x v="62"/>
    <n v="512"/>
  </r>
  <r>
    <x v="62"/>
    <n v="2025"/>
    <x v="3"/>
    <x v="2"/>
    <s v="RX"/>
    <s v="IUDs Cu &amp; IUS &amp; IUB"/>
    <x v="62"/>
    <n v="325"/>
  </r>
  <r>
    <x v="62"/>
    <n v="2025"/>
    <x v="4"/>
    <x v="2"/>
    <s v="RX"/>
    <s v="IUDs Cu &amp; IUS &amp; IUB"/>
    <x v="62"/>
    <n v="8847"/>
  </r>
  <r>
    <x v="62"/>
    <n v="2025"/>
    <x v="5"/>
    <x v="2"/>
    <s v="RX"/>
    <s v="IUDs Cu &amp; IUS &amp; IUB"/>
    <x v="62"/>
    <n v="8697"/>
  </r>
  <r>
    <x v="62"/>
    <n v="2025"/>
    <x v="6"/>
    <x v="2"/>
    <s v="RX"/>
    <s v="IUDs Cu &amp; IUS &amp; IUB"/>
    <x v="62"/>
    <n v="8547"/>
  </r>
  <r>
    <x v="62"/>
    <n v="2025"/>
    <x v="7"/>
    <x v="2"/>
    <s v="RX"/>
    <s v="IUDs Cu &amp; IUS &amp; IUB"/>
    <x v="62"/>
    <n v="8397"/>
  </r>
  <r>
    <x v="62"/>
    <n v="2025"/>
    <x v="8"/>
    <x v="2"/>
    <s v="RX"/>
    <s v="IUDs Cu &amp; IUS &amp; IUB"/>
    <x v="62"/>
    <n v="8162"/>
  </r>
  <r>
    <x v="62"/>
    <n v="2025"/>
    <x v="9"/>
    <x v="2"/>
    <s v="RX"/>
    <s v="IUDs Cu &amp; IUS &amp; IUB"/>
    <x v="62"/>
    <n v="7627"/>
  </r>
  <r>
    <x v="62"/>
    <n v="2025"/>
    <x v="10"/>
    <x v="2"/>
    <s v="RX"/>
    <s v="IUDs Cu &amp; IUS &amp; IUB"/>
    <x v="62"/>
    <n v="7092"/>
  </r>
  <r>
    <x v="62"/>
    <n v="2025"/>
    <x v="11"/>
    <x v="2"/>
    <s v="RX"/>
    <s v="IUDs Cu &amp; IUS &amp; IUB"/>
    <x v="62"/>
    <n v="6558"/>
  </r>
  <r>
    <x v="63"/>
    <n v="2025"/>
    <x v="0"/>
    <x v="2"/>
    <s v="RX"/>
    <s v="IUDs Cu &amp; IUS &amp; IUB"/>
    <x v="63"/>
    <n v="53"/>
  </r>
  <r>
    <x v="63"/>
    <n v="2025"/>
    <x v="1"/>
    <x v="2"/>
    <s v="RX"/>
    <s v="IUDs Cu &amp; IUS &amp; IUB"/>
    <x v="63"/>
    <n v="177"/>
  </r>
  <r>
    <x v="63"/>
    <n v="2025"/>
    <x v="2"/>
    <x v="2"/>
    <s v="RX"/>
    <s v="IUDs Cu &amp; IUS &amp; IUB"/>
    <x v="63"/>
    <n v="287"/>
  </r>
  <r>
    <x v="63"/>
    <n v="2025"/>
    <x v="3"/>
    <x v="2"/>
    <s v="RX"/>
    <s v="IUDs Cu &amp; IUS &amp; IUB"/>
    <x v="63"/>
    <n v="200"/>
  </r>
  <r>
    <x v="63"/>
    <n v="2025"/>
    <x v="4"/>
    <x v="2"/>
    <s v="RX"/>
    <s v="IUDs Cu &amp; IUS &amp; IUB"/>
    <x v="63"/>
    <n v="9047"/>
  </r>
  <r>
    <x v="63"/>
    <n v="2025"/>
    <x v="5"/>
    <x v="2"/>
    <s v="RX"/>
    <s v="IUDs Cu &amp; IUS &amp; IUB"/>
    <x v="63"/>
    <n v="8983"/>
  </r>
  <r>
    <x v="63"/>
    <n v="2025"/>
    <x v="6"/>
    <x v="2"/>
    <s v="RX"/>
    <s v="IUDs Cu &amp; IUS &amp; IUB"/>
    <x v="63"/>
    <n v="8919"/>
  </r>
  <r>
    <x v="63"/>
    <n v="2025"/>
    <x v="7"/>
    <x v="2"/>
    <s v="RX"/>
    <s v="IUDs Cu &amp; IUS &amp; IUB"/>
    <x v="63"/>
    <n v="8769"/>
  </r>
  <r>
    <x v="63"/>
    <n v="2025"/>
    <x v="8"/>
    <x v="2"/>
    <s v="RX"/>
    <s v="IUDs Cu &amp; IUS &amp; IUB"/>
    <x v="63"/>
    <n v="8555"/>
  </r>
  <r>
    <x v="63"/>
    <n v="2025"/>
    <x v="9"/>
    <x v="2"/>
    <s v="RX"/>
    <s v="IUDs Cu &amp; IUS &amp; IUB"/>
    <x v="63"/>
    <n v="8234"/>
  </r>
  <r>
    <x v="63"/>
    <n v="2025"/>
    <x v="10"/>
    <x v="2"/>
    <s v="RX"/>
    <s v="IUDs Cu &amp; IUS &amp; IUB"/>
    <x v="63"/>
    <n v="7913"/>
  </r>
  <r>
    <x v="63"/>
    <n v="2025"/>
    <x v="11"/>
    <x v="2"/>
    <s v="RX"/>
    <s v="IUDs Cu &amp; IUS &amp; IUB"/>
    <x v="63"/>
    <n v="7592"/>
  </r>
  <r>
    <x v="64"/>
    <n v="2025"/>
    <x v="0"/>
    <x v="2"/>
    <s v="RX"/>
    <s v="Hysterometer"/>
    <x v="64"/>
    <n v="2985"/>
  </r>
  <r>
    <x v="64"/>
    <n v="2025"/>
    <x v="1"/>
    <x v="2"/>
    <s v="RX"/>
    <s v="Hysterometer"/>
    <x v="64"/>
    <n v="3710"/>
  </r>
  <r>
    <x v="64"/>
    <n v="2025"/>
    <x v="2"/>
    <x v="2"/>
    <s v="RX"/>
    <s v="Hysterometer"/>
    <x v="64"/>
    <n v="5836"/>
  </r>
  <r>
    <x v="64"/>
    <n v="2025"/>
    <x v="3"/>
    <x v="2"/>
    <s v="RX"/>
    <s v="Hysterometer"/>
    <x v="64"/>
    <n v="1028"/>
  </r>
  <r>
    <x v="64"/>
    <n v="2025"/>
    <x v="4"/>
    <x v="2"/>
    <s v="RX"/>
    <s v="Hysterometer"/>
    <x v="64"/>
    <n v="44341"/>
  </r>
  <r>
    <x v="64"/>
    <n v="2025"/>
    <x v="5"/>
    <x v="2"/>
    <s v="RX"/>
    <s v="Hysterometer"/>
    <x v="64"/>
    <n v="36269"/>
  </r>
  <r>
    <x v="64"/>
    <n v="2025"/>
    <x v="6"/>
    <x v="2"/>
    <s v="RX"/>
    <s v="Hysterometer"/>
    <x v="64"/>
    <n v="48269"/>
  </r>
  <r>
    <x v="64"/>
    <n v="2025"/>
    <x v="7"/>
    <x v="2"/>
    <s v="RX"/>
    <s v="Hysterometer"/>
    <x v="64"/>
    <n v="41069"/>
  </r>
  <r>
    <x v="64"/>
    <n v="2025"/>
    <x v="8"/>
    <x v="2"/>
    <s v="RX"/>
    <s v="Hysterometer"/>
    <x v="64"/>
    <n v="33869"/>
  </r>
  <r>
    <x v="64"/>
    <n v="2025"/>
    <x v="9"/>
    <x v="2"/>
    <s v="RX"/>
    <s v="Hysterometer"/>
    <x v="64"/>
    <n v="26669"/>
  </r>
  <r>
    <x v="64"/>
    <n v="2025"/>
    <x v="10"/>
    <x v="2"/>
    <s v="RX"/>
    <s v="Hysterometer"/>
    <x v="64"/>
    <n v="19469"/>
  </r>
  <r>
    <x v="64"/>
    <n v="2025"/>
    <x v="11"/>
    <x v="2"/>
    <s v="RX"/>
    <s v="Hysterometer"/>
    <x v="64"/>
    <n v="21869"/>
  </r>
  <r>
    <x v="65"/>
    <n v="2025"/>
    <x v="0"/>
    <x v="2"/>
    <s v="RX"/>
    <s v="Injetable"/>
    <x v="65"/>
    <n v="300"/>
  </r>
  <r>
    <x v="65"/>
    <n v="2025"/>
    <x v="1"/>
    <x v="2"/>
    <s v="RX"/>
    <s v="Injetable"/>
    <x v="65"/>
    <n v="3000"/>
  </r>
  <r>
    <x v="65"/>
    <n v="2025"/>
    <x v="2"/>
    <x v="2"/>
    <s v="RX"/>
    <s v="Injetable"/>
    <x v="65"/>
    <n v="8700"/>
  </r>
  <r>
    <x v="65"/>
    <n v="2025"/>
    <x v="3"/>
    <x v="2"/>
    <s v="RX"/>
    <s v="Injetable"/>
    <x v="65"/>
    <n v="800"/>
  </r>
  <r>
    <x v="65"/>
    <n v="2025"/>
    <x v="4"/>
    <x v="2"/>
    <s v="RX"/>
    <s v="Injetable"/>
    <x v="65"/>
    <n v="41100"/>
  </r>
  <r>
    <x v="65"/>
    <n v="2025"/>
    <x v="5"/>
    <x v="2"/>
    <s v="RX"/>
    <s v="Injetable"/>
    <x v="65"/>
    <n v="40100"/>
  </r>
  <r>
    <x v="65"/>
    <n v="2025"/>
    <x v="6"/>
    <x v="2"/>
    <s v="RX"/>
    <s v="Injetable"/>
    <x v="65"/>
    <n v="39100"/>
  </r>
  <r>
    <x v="65"/>
    <n v="2025"/>
    <x v="7"/>
    <x v="2"/>
    <s v="RX"/>
    <s v="Injetable"/>
    <x v="65"/>
    <n v="38100"/>
  </r>
  <r>
    <x v="65"/>
    <n v="2025"/>
    <x v="8"/>
    <x v="2"/>
    <s v="RX"/>
    <s v="Injetable"/>
    <x v="65"/>
    <n v="37100"/>
  </r>
  <r>
    <x v="65"/>
    <n v="2025"/>
    <x v="9"/>
    <x v="2"/>
    <s v="RX"/>
    <s v="Injetable"/>
    <x v="65"/>
    <n v="36100"/>
  </r>
  <r>
    <x v="65"/>
    <n v="2025"/>
    <x v="10"/>
    <x v="2"/>
    <s v="RX"/>
    <s v="Injetable"/>
    <x v="65"/>
    <n v="35100"/>
  </r>
  <r>
    <x v="65"/>
    <n v="2025"/>
    <x v="11"/>
    <x v="2"/>
    <s v="RX"/>
    <s v="Injetable"/>
    <x v="65"/>
    <n v="34100"/>
  </r>
  <r>
    <x v="66"/>
    <n v="2025"/>
    <x v="0"/>
    <x v="2"/>
    <s v="RX"/>
    <s v="EC"/>
    <x v="66"/>
    <n v="25380"/>
  </r>
  <r>
    <x v="66"/>
    <n v="2025"/>
    <x v="1"/>
    <x v="2"/>
    <s v="RX"/>
    <s v="EC"/>
    <x v="66"/>
    <n v="56080"/>
  </r>
  <r>
    <x v="66"/>
    <n v="2025"/>
    <x v="2"/>
    <x v="2"/>
    <s v="RX"/>
    <s v="EC"/>
    <x v="66"/>
    <n v="32580"/>
  </r>
  <r>
    <x v="66"/>
    <n v="2025"/>
    <x v="3"/>
    <x v="2"/>
    <s v="RX"/>
    <s v="EC"/>
    <x v="66"/>
    <n v="361080"/>
  </r>
  <r>
    <x v="66"/>
    <n v="2025"/>
    <x v="4"/>
    <x v="2"/>
    <s v="RX"/>
    <s v="EC"/>
    <x v="66"/>
    <n v="23445"/>
  </r>
  <r>
    <x v="66"/>
    <n v="2025"/>
    <x v="5"/>
    <x v="2"/>
    <s v="RX"/>
    <s v="EC"/>
    <x v="66"/>
    <n v="3445"/>
  </r>
  <r>
    <x v="66"/>
    <n v="2025"/>
    <x v="6"/>
    <x v="2"/>
    <s v="RX"/>
    <s v="EC"/>
    <x v="66"/>
    <n v="13445"/>
  </r>
  <r>
    <x v="66"/>
    <n v="2025"/>
    <x v="7"/>
    <x v="2"/>
    <s v="RX"/>
    <s v="EC"/>
    <x v="66"/>
    <n v="13445"/>
  </r>
  <r>
    <x v="66"/>
    <n v="2025"/>
    <x v="8"/>
    <x v="2"/>
    <s v="RX"/>
    <s v="EC"/>
    <x v="66"/>
    <n v="0"/>
  </r>
  <r>
    <x v="66"/>
    <n v="2025"/>
    <x v="9"/>
    <x v="2"/>
    <s v="RX"/>
    <s v="EC"/>
    <x v="66"/>
    <n v="0"/>
  </r>
  <r>
    <x v="66"/>
    <n v="2025"/>
    <x v="10"/>
    <x v="2"/>
    <s v="RX"/>
    <s v="EC"/>
    <x v="66"/>
    <n v="270000"/>
  </r>
  <r>
    <x v="66"/>
    <n v="2025"/>
    <x v="11"/>
    <x v="2"/>
    <s v="RX"/>
    <s v="EC"/>
    <x v="66"/>
    <n v="680000"/>
  </r>
  <r>
    <x v="0"/>
    <n v="2024"/>
    <x v="0"/>
    <x v="3"/>
    <s v="Preservativo Masculino"/>
    <s v="Básico"/>
    <x v="0"/>
    <n v="0"/>
  </r>
  <r>
    <x v="0"/>
    <n v="2024"/>
    <x v="1"/>
    <x v="3"/>
    <s v="Preservativo Masculino"/>
    <s v="Básico"/>
    <x v="0"/>
    <n v="0"/>
  </r>
  <r>
    <x v="0"/>
    <n v="2024"/>
    <x v="2"/>
    <x v="3"/>
    <s v="Preservativo Masculino"/>
    <s v="Básico"/>
    <x v="0"/>
    <n v="0"/>
  </r>
  <r>
    <x v="0"/>
    <n v="2024"/>
    <x v="3"/>
    <x v="3"/>
    <s v="Preservativo Masculino"/>
    <s v="Básico"/>
    <x v="0"/>
    <n v="0"/>
  </r>
  <r>
    <x v="0"/>
    <n v="2024"/>
    <x v="4"/>
    <x v="3"/>
    <s v="Preservativo Masculino"/>
    <s v="Básico"/>
    <x v="0"/>
    <n v="0"/>
  </r>
  <r>
    <x v="0"/>
    <n v="2024"/>
    <x v="5"/>
    <x v="3"/>
    <s v="Preservativo Masculino"/>
    <s v="Básico"/>
    <x v="0"/>
    <n v="0"/>
  </r>
  <r>
    <x v="0"/>
    <n v="2024"/>
    <x v="6"/>
    <x v="3"/>
    <s v="Preservativo Masculino"/>
    <s v="Básico"/>
    <x v="0"/>
    <n v="0"/>
  </r>
  <r>
    <x v="0"/>
    <n v="2024"/>
    <x v="7"/>
    <x v="3"/>
    <s v="Preservativo Masculino"/>
    <s v="Básico"/>
    <x v="0"/>
    <n v="0"/>
  </r>
  <r>
    <x v="0"/>
    <n v="2024"/>
    <x v="8"/>
    <x v="3"/>
    <s v="Preservativo Masculino"/>
    <s v="Básico"/>
    <x v="0"/>
    <n v="0"/>
  </r>
  <r>
    <x v="0"/>
    <n v="2024"/>
    <x v="9"/>
    <x v="3"/>
    <s v="Preservativo Masculino"/>
    <s v="Básico"/>
    <x v="0"/>
    <n v="0"/>
  </r>
  <r>
    <x v="0"/>
    <n v="2024"/>
    <x v="10"/>
    <x v="3"/>
    <s v="Preservativo Masculino"/>
    <s v="Básico"/>
    <x v="0"/>
    <n v="0"/>
  </r>
  <r>
    <x v="0"/>
    <n v="2024"/>
    <x v="11"/>
    <x v="3"/>
    <s v="Preservativo Masculino"/>
    <s v="Básico"/>
    <x v="0"/>
    <n v="0"/>
  </r>
  <r>
    <x v="1"/>
    <n v="2024"/>
    <x v="0"/>
    <x v="3"/>
    <s v="Preservativo Masculino"/>
    <s v="Básico"/>
    <x v="1"/>
    <n v="0"/>
  </r>
  <r>
    <x v="1"/>
    <n v="2024"/>
    <x v="1"/>
    <x v="3"/>
    <s v="Preservativo Masculino"/>
    <s v="Básico"/>
    <x v="1"/>
    <n v="0"/>
  </r>
  <r>
    <x v="1"/>
    <n v="2024"/>
    <x v="2"/>
    <x v="3"/>
    <s v="Preservativo Masculino"/>
    <s v="Básico"/>
    <x v="1"/>
    <n v="0"/>
  </r>
  <r>
    <x v="1"/>
    <n v="2024"/>
    <x v="3"/>
    <x v="3"/>
    <s v="Preservativo Masculino"/>
    <s v="Básico"/>
    <x v="1"/>
    <n v="0"/>
  </r>
  <r>
    <x v="1"/>
    <n v="2024"/>
    <x v="4"/>
    <x v="3"/>
    <s v="Preservativo Masculino"/>
    <s v="Básico"/>
    <x v="1"/>
    <n v="0"/>
  </r>
  <r>
    <x v="1"/>
    <n v="2024"/>
    <x v="5"/>
    <x v="3"/>
    <s v="Preservativo Masculino"/>
    <s v="Básico"/>
    <x v="1"/>
    <n v="0"/>
  </r>
  <r>
    <x v="1"/>
    <n v="2024"/>
    <x v="6"/>
    <x v="3"/>
    <s v="Preservativo Masculino"/>
    <s v="Básico"/>
    <x v="1"/>
    <n v="0"/>
  </r>
  <r>
    <x v="1"/>
    <n v="2024"/>
    <x v="7"/>
    <x v="3"/>
    <s v="Preservativo Masculino"/>
    <s v="Básico"/>
    <x v="1"/>
    <n v="0"/>
  </r>
  <r>
    <x v="1"/>
    <n v="2024"/>
    <x v="8"/>
    <x v="3"/>
    <s v="Preservativo Masculino"/>
    <s v="Básico"/>
    <x v="1"/>
    <n v="0"/>
  </r>
  <r>
    <x v="1"/>
    <n v="2024"/>
    <x v="9"/>
    <x v="3"/>
    <s v="Preservativo Masculino"/>
    <s v="Básico"/>
    <x v="1"/>
    <n v="0"/>
  </r>
  <r>
    <x v="1"/>
    <n v="2024"/>
    <x v="10"/>
    <x v="3"/>
    <s v="Preservativo Masculino"/>
    <s v="Básico"/>
    <x v="1"/>
    <n v="0"/>
  </r>
  <r>
    <x v="1"/>
    <n v="2024"/>
    <x v="11"/>
    <x v="3"/>
    <s v="Preservativo Masculino"/>
    <s v="Básico"/>
    <x v="1"/>
    <n v="0"/>
  </r>
  <r>
    <x v="2"/>
    <n v="2024"/>
    <x v="0"/>
    <x v="3"/>
    <s v="Preservativo Masculino"/>
    <s v="Básico"/>
    <x v="2"/>
    <n v="0"/>
  </r>
  <r>
    <x v="2"/>
    <n v="2024"/>
    <x v="1"/>
    <x v="3"/>
    <s v="Preservativo Masculino"/>
    <s v="Básico"/>
    <x v="2"/>
    <n v="0"/>
  </r>
  <r>
    <x v="2"/>
    <n v="2024"/>
    <x v="2"/>
    <x v="3"/>
    <s v="Preservativo Masculino"/>
    <s v="Básico"/>
    <x v="2"/>
    <n v="0"/>
  </r>
  <r>
    <x v="2"/>
    <n v="2024"/>
    <x v="3"/>
    <x v="3"/>
    <s v="Preservativo Masculino"/>
    <s v="Básico"/>
    <x v="2"/>
    <n v="0"/>
  </r>
  <r>
    <x v="2"/>
    <n v="2024"/>
    <x v="4"/>
    <x v="3"/>
    <s v="Preservativo Masculino"/>
    <s v="Básico"/>
    <x v="2"/>
    <n v="0"/>
  </r>
  <r>
    <x v="2"/>
    <n v="2024"/>
    <x v="5"/>
    <x v="3"/>
    <s v="Preservativo Masculino"/>
    <s v="Básico"/>
    <x v="2"/>
    <n v="0"/>
  </r>
  <r>
    <x v="2"/>
    <n v="2024"/>
    <x v="6"/>
    <x v="3"/>
    <s v="Preservativo Masculino"/>
    <s v="Básico"/>
    <x v="2"/>
    <n v="0"/>
  </r>
  <r>
    <x v="2"/>
    <n v="2024"/>
    <x v="7"/>
    <x v="3"/>
    <s v="Preservativo Masculino"/>
    <s v="Básico"/>
    <x v="2"/>
    <n v="0"/>
  </r>
  <r>
    <x v="2"/>
    <n v="2024"/>
    <x v="8"/>
    <x v="3"/>
    <s v="Preservativo Masculino"/>
    <s v="Básico"/>
    <x v="2"/>
    <n v="0"/>
  </r>
  <r>
    <x v="2"/>
    <n v="2024"/>
    <x v="9"/>
    <x v="3"/>
    <s v="Preservativo Masculino"/>
    <s v="Básico"/>
    <x v="2"/>
    <n v="0"/>
  </r>
  <r>
    <x v="2"/>
    <n v="2024"/>
    <x v="10"/>
    <x v="3"/>
    <s v="Preservativo Masculino"/>
    <s v="Básico"/>
    <x v="2"/>
    <n v="0"/>
  </r>
  <r>
    <x v="2"/>
    <n v="2024"/>
    <x v="11"/>
    <x v="3"/>
    <s v="Preservativo Masculino"/>
    <s v="Básico"/>
    <x v="2"/>
    <n v="0"/>
  </r>
  <r>
    <x v="3"/>
    <n v="2024"/>
    <x v="0"/>
    <x v="3"/>
    <s v="Preservativo Masculino"/>
    <s v="Cores e Sabores"/>
    <x v="3"/>
    <n v="0"/>
  </r>
  <r>
    <x v="3"/>
    <n v="2024"/>
    <x v="1"/>
    <x v="3"/>
    <s v="Preservativo Masculino"/>
    <s v="Cores e Sabores"/>
    <x v="3"/>
    <n v="0"/>
  </r>
  <r>
    <x v="3"/>
    <n v="2024"/>
    <x v="2"/>
    <x v="3"/>
    <s v="Preservativo Masculino"/>
    <s v="Cores e Sabores"/>
    <x v="3"/>
    <n v="0"/>
  </r>
  <r>
    <x v="3"/>
    <n v="2024"/>
    <x v="3"/>
    <x v="3"/>
    <s v="Preservativo Masculino"/>
    <s v="Cores e Sabores"/>
    <x v="3"/>
    <n v="0"/>
  </r>
  <r>
    <x v="3"/>
    <n v="2024"/>
    <x v="4"/>
    <x v="3"/>
    <s v="Preservativo Masculino"/>
    <s v="Cores e Sabores"/>
    <x v="3"/>
    <n v="0"/>
  </r>
  <r>
    <x v="3"/>
    <n v="2024"/>
    <x v="5"/>
    <x v="3"/>
    <s v="Preservativo Masculino"/>
    <s v="Cores e Sabores"/>
    <x v="3"/>
    <n v="0"/>
  </r>
  <r>
    <x v="3"/>
    <n v="2024"/>
    <x v="6"/>
    <x v="3"/>
    <s v="Preservativo Masculino"/>
    <s v="Cores e Sabores"/>
    <x v="3"/>
    <n v="0"/>
  </r>
  <r>
    <x v="3"/>
    <n v="2024"/>
    <x v="7"/>
    <x v="3"/>
    <s v="Preservativo Masculino"/>
    <s v="Cores e Sabores"/>
    <x v="3"/>
    <n v="0"/>
  </r>
  <r>
    <x v="3"/>
    <n v="2024"/>
    <x v="8"/>
    <x v="3"/>
    <s v="Preservativo Masculino"/>
    <s v="Cores e Sabores"/>
    <x v="3"/>
    <n v="0"/>
  </r>
  <r>
    <x v="3"/>
    <n v="2024"/>
    <x v="9"/>
    <x v="3"/>
    <s v="Preservativo Masculino"/>
    <s v="Cores e Sabores"/>
    <x v="3"/>
    <n v="0"/>
  </r>
  <r>
    <x v="3"/>
    <n v="2024"/>
    <x v="10"/>
    <x v="3"/>
    <s v="Preservativo Masculino"/>
    <s v="Cores e Sabores"/>
    <x v="3"/>
    <n v="0"/>
  </r>
  <r>
    <x v="3"/>
    <n v="2024"/>
    <x v="11"/>
    <x v="3"/>
    <s v="Preservativo Masculino"/>
    <s v="Cores e Sabores"/>
    <x v="3"/>
    <n v="0"/>
  </r>
  <r>
    <x v="4"/>
    <n v="2024"/>
    <x v="0"/>
    <x v="3"/>
    <s v="Preservativo Masculino"/>
    <s v="Cores e Sabores"/>
    <x v="4"/>
    <n v="0"/>
  </r>
  <r>
    <x v="4"/>
    <n v="2024"/>
    <x v="1"/>
    <x v="3"/>
    <s v="Preservativo Masculino"/>
    <s v="Cores e Sabores"/>
    <x v="4"/>
    <n v="0"/>
  </r>
  <r>
    <x v="4"/>
    <n v="2024"/>
    <x v="2"/>
    <x v="3"/>
    <s v="Preservativo Masculino"/>
    <s v="Cores e Sabores"/>
    <x v="4"/>
    <n v="0"/>
  </r>
  <r>
    <x v="4"/>
    <n v="2024"/>
    <x v="3"/>
    <x v="3"/>
    <s v="Preservativo Masculino"/>
    <s v="Cores e Sabores"/>
    <x v="4"/>
    <n v="0"/>
  </r>
  <r>
    <x v="4"/>
    <n v="2024"/>
    <x v="4"/>
    <x v="3"/>
    <s v="Preservativo Masculino"/>
    <s v="Cores e Sabores"/>
    <x v="4"/>
    <n v="0"/>
  </r>
  <r>
    <x v="4"/>
    <n v="2024"/>
    <x v="5"/>
    <x v="3"/>
    <s v="Preservativo Masculino"/>
    <s v="Cores e Sabores"/>
    <x v="4"/>
    <n v="0"/>
  </r>
  <r>
    <x v="4"/>
    <n v="2024"/>
    <x v="6"/>
    <x v="3"/>
    <s v="Preservativo Masculino"/>
    <s v="Cores e Sabores"/>
    <x v="4"/>
    <n v="0"/>
  </r>
  <r>
    <x v="4"/>
    <n v="2024"/>
    <x v="7"/>
    <x v="3"/>
    <s v="Preservativo Masculino"/>
    <s v="Cores e Sabores"/>
    <x v="4"/>
    <n v="0"/>
  </r>
  <r>
    <x v="4"/>
    <n v="2024"/>
    <x v="8"/>
    <x v="3"/>
    <s v="Preservativo Masculino"/>
    <s v="Cores e Sabores"/>
    <x v="4"/>
    <n v="0"/>
  </r>
  <r>
    <x v="4"/>
    <n v="2024"/>
    <x v="9"/>
    <x v="3"/>
    <s v="Preservativo Masculino"/>
    <s v="Cores e Sabores"/>
    <x v="4"/>
    <n v="0"/>
  </r>
  <r>
    <x v="4"/>
    <n v="2024"/>
    <x v="10"/>
    <x v="3"/>
    <s v="Preservativo Masculino"/>
    <s v="Cores e Sabores"/>
    <x v="4"/>
    <n v="0"/>
  </r>
  <r>
    <x v="4"/>
    <n v="2024"/>
    <x v="11"/>
    <x v="3"/>
    <s v="Preservativo Masculino"/>
    <s v="Cores e Sabores"/>
    <x v="4"/>
    <n v="0"/>
  </r>
  <r>
    <x v="5"/>
    <n v="2024"/>
    <x v="0"/>
    <x v="3"/>
    <s v="Preservativo Masculino"/>
    <s v="Cores e Sabores"/>
    <x v="5"/>
    <n v="0"/>
  </r>
  <r>
    <x v="5"/>
    <n v="2024"/>
    <x v="1"/>
    <x v="3"/>
    <s v="Preservativo Masculino"/>
    <s v="Cores e Sabores"/>
    <x v="5"/>
    <n v="0"/>
  </r>
  <r>
    <x v="5"/>
    <n v="2024"/>
    <x v="2"/>
    <x v="3"/>
    <s v="Preservativo Masculino"/>
    <s v="Cores e Sabores"/>
    <x v="5"/>
    <n v="0"/>
  </r>
  <r>
    <x v="5"/>
    <n v="2024"/>
    <x v="3"/>
    <x v="3"/>
    <s v="Preservativo Masculino"/>
    <s v="Cores e Sabores"/>
    <x v="5"/>
    <n v="0"/>
  </r>
  <r>
    <x v="5"/>
    <n v="2024"/>
    <x v="4"/>
    <x v="3"/>
    <s v="Preservativo Masculino"/>
    <s v="Cores e Sabores"/>
    <x v="5"/>
    <n v="0"/>
  </r>
  <r>
    <x v="5"/>
    <n v="2024"/>
    <x v="5"/>
    <x v="3"/>
    <s v="Preservativo Masculino"/>
    <s v="Cores e Sabores"/>
    <x v="5"/>
    <n v="0"/>
  </r>
  <r>
    <x v="5"/>
    <n v="2024"/>
    <x v="6"/>
    <x v="3"/>
    <s v="Preservativo Masculino"/>
    <s v="Cores e Sabores"/>
    <x v="5"/>
    <n v="0"/>
  </r>
  <r>
    <x v="5"/>
    <n v="2024"/>
    <x v="7"/>
    <x v="3"/>
    <s v="Preservativo Masculino"/>
    <s v="Cores e Sabores"/>
    <x v="5"/>
    <n v="0"/>
  </r>
  <r>
    <x v="5"/>
    <n v="2024"/>
    <x v="8"/>
    <x v="3"/>
    <s v="Preservativo Masculino"/>
    <s v="Cores e Sabores"/>
    <x v="5"/>
    <n v="0"/>
  </r>
  <r>
    <x v="5"/>
    <n v="2024"/>
    <x v="9"/>
    <x v="3"/>
    <s v="Preservativo Masculino"/>
    <s v="Cores e Sabores"/>
    <x v="5"/>
    <n v="0"/>
  </r>
  <r>
    <x v="5"/>
    <n v="2024"/>
    <x v="10"/>
    <x v="3"/>
    <s v="Preservativo Masculino"/>
    <s v="Cores e Sabores"/>
    <x v="5"/>
    <n v="0"/>
  </r>
  <r>
    <x v="5"/>
    <n v="2024"/>
    <x v="11"/>
    <x v="3"/>
    <s v="Preservativo Masculino"/>
    <s v="Cores e Sabores"/>
    <x v="5"/>
    <n v="0"/>
  </r>
  <r>
    <x v="6"/>
    <n v="2024"/>
    <x v="0"/>
    <x v="3"/>
    <s v="Preservativo Masculino"/>
    <s v="Cores e Sabores"/>
    <x v="6"/>
    <n v="0"/>
  </r>
  <r>
    <x v="6"/>
    <n v="2024"/>
    <x v="1"/>
    <x v="3"/>
    <s v="Preservativo Masculino"/>
    <s v="Cores e Sabores"/>
    <x v="6"/>
    <n v="0"/>
  </r>
  <r>
    <x v="6"/>
    <n v="2024"/>
    <x v="2"/>
    <x v="3"/>
    <s v="Preservativo Masculino"/>
    <s v="Cores e Sabores"/>
    <x v="6"/>
    <n v="0"/>
  </r>
  <r>
    <x v="6"/>
    <n v="2024"/>
    <x v="3"/>
    <x v="3"/>
    <s v="Preservativo Masculino"/>
    <s v="Cores e Sabores"/>
    <x v="6"/>
    <n v="0"/>
  </r>
  <r>
    <x v="6"/>
    <n v="2024"/>
    <x v="4"/>
    <x v="3"/>
    <s v="Preservativo Masculino"/>
    <s v="Cores e Sabores"/>
    <x v="6"/>
    <n v="0"/>
  </r>
  <r>
    <x v="6"/>
    <n v="2024"/>
    <x v="5"/>
    <x v="3"/>
    <s v="Preservativo Masculino"/>
    <s v="Cores e Sabores"/>
    <x v="6"/>
    <n v="0"/>
  </r>
  <r>
    <x v="6"/>
    <n v="2024"/>
    <x v="6"/>
    <x v="3"/>
    <s v="Preservativo Masculino"/>
    <s v="Cores e Sabores"/>
    <x v="6"/>
    <n v="0"/>
  </r>
  <r>
    <x v="6"/>
    <n v="2024"/>
    <x v="7"/>
    <x v="3"/>
    <s v="Preservativo Masculino"/>
    <s v="Cores e Sabores"/>
    <x v="6"/>
    <n v="0"/>
  </r>
  <r>
    <x v="6"/>
    <n v="2024"/>
    <x v="8"/>
    <x v="3"/>
    <s v="Preservativo Masculino"/>
    <s v="Cores e Sabores"/>
    <x v="6"/>
    <n v="0"/>
  </r>
  <r>
    <x v="6"/>
    <n v="2024"/>
    <x v="9"/>
    <x v="3"/>
    <s v="Preservativo Masculino"/>
    <s v="Cores e Sabores"/>
    <x v="6"/>
    <n v="0"/>
  </r>
  <r>
    <x v="6"/>
    <n v="2024"/>
    <x v="10"/>
    <x v="3"/>
    <s v="Preservativo Masculino"/>
    <s v="Cores e Sabores"/>
    <x v="6"/>
    <n v="0"/>
  </r>
  <r>
    <x v="6"/>
    <n v="2024"/>
    <x v="11"/>
    <x v="3"/>
    <s v="Preservativo Masculino"/>
    <s v="Cores e Sabores"/>
    <x v="6"/>
    <n v="0"/>
  </r>
  <r>
    <x v="7"/>
    <n v="2024"/>
    <x v="0"/>
    <x v="3"/>
    <s v="Preservativo Masculino"/>
    <s v="Cores e Sabores"/>
    <x v="7"/>
    <n v="0"/>
  </r>
  <r>
    <x v="7"/>
    <n v="2024"/>
    <x v="1"/>
    <x v="3"/>
    <s v="Preservativo Masculino"/>
    <s v="Cores e Sabores"/>
    <x v="7"/>
    <n v="0"/>
  </r>
  <r>
    <x v="7"/>
    <n v="2024"/>
    <x v="2"/>
    <x v="3"/>
    <s v="Preservativo Masculino"/>
    <s v="Cores e Sabores"/>
    <x v="7"/>
    <n v="0"/>
  </r>
  <r>
    <x v="7"/>
    <n v="2024"/>
    <x v="3"/>
    <x v="3"/>
    <s v="Preservativo Masculino"/>
    <s v="Cores e Sabores"/>
    <x v="7"/>
    <n v="0"/>
  </r>
  <r>
    <x v="7"/>
    <n v="2024"/>
    <x v="4"/>
    <x v="3"/>
    <s v="Preservativo Masculino"/>
    <s v="Cores e Sabores"/>
    <x v="7"/>
    <n v="0"/>
  </r>
  <r>
    <x v="7"/>
    <n v="2024"/>
    <x v="5"/>
    <x v="3"/>
    <s v="Preservativo Masculino"/>
    <s v="Cores e Sabores"/>
    <x v="7"/>
    <n v="0"/>
  </r>
  <r>
    <x v="7"/>
    <n v="2024"/>
    <x v="6"/>
    <x v="3"/>
    <s v="Preservativo Masculino"/>
    <s v="Cores e Sabores"/>
    <x v="7"/>
    <n v="0"/>
  </r>
  <r>
    <x v="7"/>
    <n v="2024"/>
    <x v="7"/>
    <x v="3"/>
    <s v="Preservativo Masculino"/>
    <s v="Cores e Sabores"/>
    <x v="7"/>
    <n v="0"/>
  </r>
  <r>
    <x v="7"/>
    <n v="2024"/>
    <x v="8"/>
    <x v="3"/>
    <s v="Preservativo Masculino"/>
    <s v="Cores e Sabores"/>
    <x v="7"/>
    <n v="0"/>
  </r>
  <r>
    <x v="7"/>
    <n v="2024"/>
    <x v="9"/>
    <x v="3"/>
    <s v="Preservativo Masculino"/>
    <s v="Cores e Sabores"/>
    <x v="7"/>
    <n v="0"/>
  </r>
  <r>
    <x v="7"/>
    <n v="2024"/>
    <x v="10"/>
    <x v="3"/>
    <s v="Preservativo Masculino"/>
    <s v="Cores e Sabores"/>
    <x v="7"/>
    <n v="0"/>
  </r>
  <r>
    <x v="7"/>
    <n v="2024"/>
    <x v="11"/>
    <x v="3"/>
    <s v="Preservativo Masculino"/>
    <s v="Cores e Sabores"/>
    <x v="7"/>
    <n v="0"/>
  </r>
  <r>
    <x v="8"/>
    <n v="2024"/>
    <x v="0"/>
    <x v="3"/>
    <s v="Preservativo Masculino"/>
    <s v="Cores e Sabores"/>
    <x v="8"/>
    <n v="0"/>
  </r>
  <r>
    <x v="8"/>
    <n v="2024"/>
    <x v="1"/>
    <x v="3"/>
    <s v="Preservativo Masculino"/>
    <s v="Cores e Sabores"/>
    <x v="8"/>
    <n v="0"/>
  </r>
  <r>
    <x v="8"/>
    <n v="2024"/>
    <x v="2"/>
    <x v="3"/>
    <s v="Preservativo Masculino"/>
    <s v="Cores e Sabores"/>
    <x v="8"/>
    <n v="0"/>
  </r>
  <r>
    <x v="8"/>
    <n v="2024"/>
    <x v="3"/>
    <x v="3"/>
    <s v="Preservativo Masculino"/>
    <s v="Cores e Sabores"/>
    <x v="8"/>
    <n v="0"/>
  </r>
  <r>
    <x v="8"/>
    <n v="2024"/>
    <x v="4"/>
    <x v="3"/>
    <s v="Preservativo Masculino"/>
    <s v="Cores e Sabores"/>
    <x v="8"/>
    <n v="0"/>
  </r>
  <r>
    <x v="8"/>
    <n v="2024"/>
    <x v="5"/>
    <x v="3"/>
    <s v="Preservativo Masculino"/>
    <s v="Cores e Sabores"/>
    <x v="8"/>
    <n v="0"/>
  </r>
  <r>
    <x v="8"/>
    <n v="2024"/>
    <x v="6"/>
    <x v="3"/>
    <s v="Preservativo Masculino"/>
    <s v="Cores e Sabores"/>
    <x v="8"/>
    <n v="0"/>
  </r>
  <r>
    <x v="8"/>
    <n v="2024"/>
    <x v="7"/>
    <x v="3"/>
    <s v="Preservativo Masculino"/>
    <s v="Cores e Sabores"/>
    <x v="8"/>
    <n v="0"/>
  </r>
  <r>
    <x v="8"/>
    <n v="2024"/>
    <x v="8"/>
    <x v="3"/>
    <s v="Preservativo Masculino"/>
    <s v="Cores e Sabores"/>
    <x v="8"/>
    <n v="0"/>
  </r>
  <r>
    <x v="8"/>
    <n v="2024"/>
    <x v="9"/>
    <x v="3"/>
    <s v="Preservativo Masculino"/>
    <s v="Cores e Sabores"/>
    <x v="8"/>
    <n v="0"/>
  </r>
  <r>
    <x v="8"/>
    <n v="2024"/>
    <x v="10"/>
    <x v="3"/>
    <s v="Preservativo Masculino"/>
    <s v="Cores e Sabores"/>
    <x v="8"/>
    <n v="0"/>
  </r>
  <r>
    <x v="8"/>
    <n v="2024"/>
    <x v="11"/>
    <x v="3"/>
    <s v="Preservativo Masculino"/>
    <s v="Cores e Sabores"/>
    <x v="8"/>
    <n v="0"/>
  </r>
  <r>
    <x v="9"/>
    <n v="2024"/>
    <x v="0"/>
    <x v="3"/>
    <s v="Preservativo Masculino"/>
    <s v="Cores e Sabores"/>
    <x v="9"/>
    <n v="0"/>
  </r>
  <r>
    <x v="9"/>
    <n v="2024"/>
    <x v="1"/>
    <x v="3"/>
    <s v="Preservativo Masculino"/>
    <s v="Cores e Sabores"/>
    <x v="9"/>
    <n v="0"/>
  </r>
  <r>
    <x v="9"/>
    <n v="2024"/>
    <x v="2"/>
    <x v="3"/>
    <s v="Preservativo Masculino"/>
    <s v="Cores e Sabores"/>
    <x v="9"/>
    <n v="0"/>
  </r>
  <r>
    <x v="9"/>
    <n v="2024"/>
    <x v="3"/>
    <x v="3"/>
    <s v="Preservativo Masculino"/>
    <s v="Cores e Sabores"/>
    <x v="9"/>
    <n v="0"/>
  </r>
  <r>
    <x v="9"/>
    <n v="2024"/>
    <x v="4"/>
    <x v="3"/>
    <s v="Preservativo Masculino"/>
    <s v="Cores e Sabores"/>
    <x v="9"/>
    <n v="0"/>
  </r>
  <r>
    <x v="9"/>
    <n v="2024"/>
    <x v="5"/>
    <x v="3"/>
    <s v="Preservativo Masculino"/>
    <s v="Cores e Sabores"/>
    <x v="9"/>
    <n v="0"/>
  </r>
  <r>
    <x v="9"/>
    <n v="2024"/>
    <x v="6"/>
    <x v="3"/>
    <s v="Preservativo Masculino"/>
    <s v="Cores e Sabores"/>
    <x v="9"/>
    <n v="0"/>
  </r>
  <r>
    <x v="9"/>
    <n v="2024"/>
    <x v="7"/>
    <x v="3"/>
    <s v="Preservativo Masculino"/>
    <s v="Cores e Sabores"/>
    <x v="9"/>
    <n v="0"/>
  </r>
  <r>
    <x v="9"/>
    <n v="2024"/>
    <x v="8"/>
    <x v="3"/>
    <s v="Preservativo Masculino"/>
    <s v="Cores e Sabores"/>
    <x v="9"/>
    <n v="0"/>
  </r>
  <r>
    <x v="9"/>
    <n v="2024"/>
    <x v="9"/>
    <x v="3"/>
    <s v="Preservativo Masculino"/>
    <s v="Cores e Sabores"/>
    <x v="9"/>
    <n v="0"/>
  </r>
  <r>
    <x v="9"/>
    <n v="2024"/>
    <x v="10"/>
    <x v="3"/>
    <s v="Preservativo Masculino"/>
    <s v="Cores e Sabores"/>
    <x v="9"/>
    <n v="0"/>
  </r>
  <r>
    <x v="9"/>
    <n v="2024"/>
    <x v="11"/>
    <x v="3"/>
    <s v="Preservativo Masculino"/>
    <s v="Cores e Sabores"/>
    <x v="9"/>
    <n v="0"/>
  </r>
  <r>
    <x v="10"/>
    <n v="2024"/>
    <x v="0"/>
    <x v="3"/>
    <s v="Preservativo Masculino"/>
    <s v="Cores e Sabores"/>
    <x v="10"/>
    <n v="0"/>
  </r>
  <r>
    <x v="10"/>
    <n v="2024"/>
    <x v="1"/>
    <x v="3"/>
    <s v="Preservativo Masculino"/>
    <s v="Cores e Sabores"/>
    <x v="10"/>
    <n v="0"/>
  </r>
  <r>
    <x v="10"/>
    <n v="2024"/>
    <x v="2"/>
    <x v="3"/>
    <s v="Preservativo Masculino"/>
    <s v="Cores e Sabores"/>
    <x v="10"/>
    <n v="0"/>
  </r>
  <r>
    <x v="10"/>
    <n v="2024"/>
    <x v="3"/>
    <x v="3"/>
    <s v="Preservativo Masculino"/>
    <s v="Cores e Sabores"/>
    <x v="10"/>
    <n v="0"/>
  </r>
  <r>
    <x v="10"/>
    <n v="2024"/>
    <x v="4"/>
    <x v="3"/>
    <s v="Preservativo Masculino"/>
    <s v="Cores e Sabores"/>
    <x v="10"/>
    <n v="0"/>
  </r>
  <r>
    <x v="10"/>
    <n v="2024"/>
    <x v="5"/>
    <x v="3"/>
    <s v="Preservativo Masculino"/>
    <s v="Cores e Sabores"/>
    <x v="10"/>
    <n v="0"/>
  </r>
  <r>
    <x v="10"/>
    <n v="2024"/>
    <x v="6"/>
    <x v="3"/>
    <s v="Preservativo Masculino"/>
    <s v="Cores e Sabores"/>
    <x v="10"/>
    <n v="0"/>
  </r>
  <r>
    <x v="10"/>
    <n v="2024"/>
    <x v="7"/>
    <x v="3"/>
    <s v="Preservativo Masculino"/>
    <s v="Cores e Sabores"/>
    <x v="10"/>
    <n v="0"/>
  </r>
  <r>
    <x v="10"/>
    <n v="2024"/>
    <x v="8"/>
    <x v="3"/>
    <s v="Preservativo Masculino"/>
    <s v="Cores e Sabores"/>
    <x v="10"/>
    <n v="0"/>
  </r>
  <r>
    <x v="10"/>
    <n v="2024"/>
    <x v="9"/>
    <x v="3"/>
    <s v="Preservativo Masculino"/>
    <s v="Cores e Sabores"/>
    <x v="10"/>
    <n v="0"/>
  </r>
  <r>
    <x v="10"/>
    <n v="2024"/>
    <x v="10"/>
    <x v="3"/>
    <s v="Preservativo Masculino"/>
    <s v="Cores e Sabores"/>
    <x v="10"/>
    <n v="0"/>
  </r>
  <r>
    <x v="10"/>
    <n v="2024"/>
    <x v="11"/>
    <x v="3"/>
    <s v="Preservativo Masculino"/>
    <s v="Cores e Sabores"/>
    <x v="10"/>
    <n v="0"/>
  </r>
  <r>
    <x v="11"/>
    <n v="2024"/>
    <x v="0"/>
    <x v="3"/>
    <s v="Preservativo Masculino"/>
    <s v="Cores e Sabores"/>
    <x v="11"/>
    <n v="0"/>
  </r>
  <r>
    <x v="11"/>
    <n v="2024"/>
    <x v="1"/>
    <x v="3"/>
    <s v="Preservativo Masculino"/>
    <s v="Cores e Sabores"/>
    <x v="11"/>
    <n v="0"/>
  </r>
  <r>
    <x v="11"/>
    <n v="2024"/>
    <x v="2"/>
    <x v="3"/>
    <s v="Preservativo Masculino"/>
    <s v="Cores e Sabores"/>
    <x v="11"/>
    <n v="0"/>
  </r>
  <r>
    <x v="11"/>
    <n v="2024"/>
    <x v="3"/>
    <x v="3"/>
    <s v="Preservativo Masculino"/>
    <s v="Cores e Sabores"/>
    <x v="11"/>
    <n v="0"/>
  </r>
  <r>
    <x v="11"/>
    <n v="2024"/>
    <x v="4"/>
    <x v="3"/>
    <s v="Preservativo Masculino"/>
    <s v="Cores e Sabores"/>
    <x v="11"/>
    <n v="0"/>
  </r>
  <r>
    <x v="11"/>
    <n v="2024"/>
    <x v="5"/>
    <x v="3"/>
    <s v="Preservativo Masculino"/>
    <s v="Cores e Sabores"/>
    <x v="11"/>
    <n v="0"/>
  </r>
  <r>
    <x v="11"/>
    <n v="2024"/>
    <x v="6"/>
    <x v="3"/>
    <s v="Preservativo Masculino"/>
    <s v="Cores e Sabores"/>
    <x v="11"/>
    <n v="0"/>
  </r>
  <r>
    <x v="11"/>
    <n v="2024"/>
    <x v="7"/>
    <x v="3"/>
    <s v="Preservativo Masculino"/>
    <s v="Cores e Sabores"/>
    <x v="11"/>
    <n v="0"/>
  </r>
  <r>
    <x v="11"/>
    <n v="2024"/>
    <x v="8"/>
    <x v="3"/>
    <s v="Preservativo Masculino"/>
    <s v="Cores e Sabores"/>
    <x v="11"/>
    <n v="0"/>
  </r>
  <r>
    <x v="11"/>
    <n v="2024"/>
    <x v="9"/>
    <x v="3"/>
    <s v="Preservativo Masculino"/>
    <s v="Cores e Sabores"/>
    <x v="11"/>
    <n v="0"/>
  </r>
  <r>
    <x v="11"/>
    <n v="2024"/>
    <x v="10"/>
    <x v="3"/>
    <s v="Preservativo Masculino"/>
    <s v="Cores e Sabores"/>
    <x v="11"/>
    <n v="0"/>
  </r>
  <r>
    <x v="11"/>
    <n v="2024"/>
    <x v="11"/>
    <x v="3"/>
    <s v="Preservativo Masculino"/>
    <s v="Cores e Sabores"/>
    <x v="11"/>
    <n v="0"/>
  </r>
  <r>
    <x v="12"/>
    <n v="2024"/>
    <x v="0"/>
    <x v="3"/>
    <s v="Preservativo Masculino"/>
    <s v="Cores e Sabores"/>
    <x v="12"/>
    <n v="0"/>
  </r>
  <r>
    <x v="12"/>
    <n v="2024"/>
    <x v="1"/>
    <x v="3"/>
    <s v="Preservativo Masculino"/>
    <s v="Cores e Sabores"/>
    <x v="12"/>
    <n v="0"/>
  </r>
  <r>
    <x v="12"/>
    <n v="2024"/>
    <x v="2"/>
    <x v="3"/>
    <s v="Preservativo Masculino"/>
    <s v="Cores e Sabores"/>
    <x v="12"/>
    <n v="0"/>
  </r>
  <r>
    <x v="12"/>
    <n v="2024"/>
    <x v="3"/>
    <x v="3"/>
    <s v="Preservativo Masculino"/>
    <s v="Cores e Sabores"/>
    <x v="12"/>
    <n v="0"/>
  </r>
  <r>
    <x v="12"/>
    <n v="2024"/>
    <x v="4"/>
    <x v="3"/>
    <s v="Preservativo Masculino"/>
    <s v="Cores e Sabores"/>
    <x v="12"/>
    <n v="0"/>
  </r>
  <r>
    <x v="12"/>
    <n v="2024"/>
    <x v="5"/>
    <x v="3"/>
    <s v="Preservativo Masculino"/>
    <s v="Cores e Sabores"/>
    <x v="12"/>
    <n v="0"/>
  </r>
  <r>
    <x v="12"/>
    <n v="2024"/>
    <x v="6"/>
    <x v="3"/>
    <s v="Preservativo Masculino"/>
    <s v="Cores e Sabores"/>
    <x v="12"/>
    <n v="0"/>
  </r>
  <r>
    <x v="12"/>
    <n v="2024"/>
    <x v="7"/>
    <x v="3"/>
    <s v="Preservativo Masculino"/>
    <s v="Cores e Sabores"/>
    <x v="12"/>
    <n v="0"/>
  </r>
  <r>
    <x v="12"/>
    <n v="2024"/>
    <x v="8"/>
    <x v="3"/>
    <s v="Preservativo Masculino"/>
    <s v="Cores e Sabores"/>
    <x v="12"/>
    <n v="0"/>
  </r>
  <r>
    <x v="12"/>
    <n v="2024"/>
    <x v="9"/>
    <x v="3"/>
    <s v="Preservativo Masculino"/>
    <s v="Cores e Sabores"/>
    <x v="12"/>
    <n v="0"/>
  </r>
  <r>
    <x v="12"/>
    <n v="2024"/>
    <x v="10"/>
    <x v="3"/>
    <s v="Preservativo Masculino"/>
    <s v="Cores e Sabores"/>
    <x v="12"/>
    <n v="0"/>
  </r>
  <r>
    <x v="12"/>
    <n v="2024"/>
    <x v="11"/>
    <x v="3"/>
    <s v="Preservativo Masculino"/>
    <s v="Cores e Sabores"/>
    <x v="12"/>
    <n v="0"/>
  </r>
  <r>
    <x v="13"/>
    <n v="2024"/>
    <x v="0"/>
    <x v="3"/>
    <s v="Preservativo Masculino"/>
    <s v="Cores e Sabores"/>
    <x v="13"/>
    <n v="0"/>
  </r>
  <r>
    <x v="13"/>
    <n v="2024"/>
    <x v="1"/>
    <x v="3"/>
    <s v="Preservativo Masculino"/>
    <s v="Cores e Sabores"/>
    <x v="13"/>
    <n v="0"/>
  </r>
  <r>
    <x v="13"/>
    <n v="2024"/>
    <x v="2"/>
    <x v="3"/>
    <s v="Preservativo Masculino"/>
    <s v="Cores e Sabores"/>
    <x v="13"/>
    <n v="0"/>
  </r>
  <r>
    <x v="13"/>
    <n v="2024"/>
    <x v="3"/>
    <x v="3"/>
    <s v="Preservativo Masculino"/>
    <s v="Cores e Sabores"/>
    <x v="13"/>
    <n v="0"/>
  </r>
  <r>
    <x v="13"/>
    <n v="2024"/>
    <x v="4"/>
    <x v="3"/>
    <s v="Preservativo Masculino"/>
    <s v="Cores e Sabores"/>
    <x v="13"/>
    <n v="0"/>
  </r>
  <r>
    <x v="13"/>
    <n v="2024"/>
    <x v="5"/>
    <x v="3"/>
    <s v="Preservativo Masculino"/>
    <s v="Cores e Sabores"/>
    <x v="13"/>
    <n v="0"/>
  </r>
  <r>
    <x v="13"/>
    <n v="2024"/>
    <x v="6"/>
    <x v="3"/>
    <s v="Preservativo Masculino"/>
    <s v="Cores e Sabores"/>
    <x v="13"/>
    <n v="0"/>
  </r>
  <r>
    <x v="13"/>
    <n v="2024"/>
    <x v="7"/>
    <x v="3"/>
    <s v="Preservativo Masculino"/>
    <s v="Cores e Sabores"/>
    <x v="13"/>
    <n v="0"/>
  </r>
  <r>
    <x v="13"/>
    <n v="2024"/>
    <x v="8"/>
    <x v="3"/>
    <s v="Preservativo Masculino"/>
    <s v="Cores e Sabores"/>
    <x v="13"/>
    <n v="0"/>
  </r>
  <r>
    <x v="13"/>
    <n v="2024"/>
    <x v="9"/>
    <x v="3"/>
    <s v="Preservativo Masculino"/>
    <s v="Cores e Sabores"/>
    <x v="13"/>
    <n v="0"/>
  </r>
  <r>
    <x v="13"/>
    <n v="2024"/>
    <x v="10"/>
    <x v="3"/>
    <s v="Preservativo Masculino"/>
    <s v="Cores e Sabores"/>
    <x v="13"/>
    <n v="0"/>
  </r>
  <r>
    <x v="13"/>
    <n v="2024"/>
    <x v="11"/>
    <x v="3"/>
    <s v="Preservativo Masculino"/>
    <s v="Cores e Sabores"/>
    <x v="13"/>
    <n v="0"/>
  </r>
  <r>
    <x v="14"/>
    <n v="2024"/>
    <x v="0"/>
    <x v="3"/>
    <s v="Preservativo Masculino"/>
    <s v="Cores e Sabores"/>
    <x v="14"/>
    <n v="0"/>
  </r>
  <r>
    <x v="14"/>
    <n v="2024"/>
    <x v="1"/>
    <x v="3"/>
    <s v="Preservativo Masculino"/>
    <s v="Cores e Sabores"/>
    <x v="14"/>
    <n v="0"/>
  </r>
  <r>
    <x v="14"/>
    <n v="2024"/>
    <x v="2"/>
    <x v="3"/>
    <s v="Preservativo Masculino"/>
    <s v="Cores e Sabores"/>
    <x v="14"/>
    <n v="0"/>
  </r>
  <r>
    <x v="14"/>
    <n v="2024"/>
    <x v="3"/>
    <x v="3"/>
    <s v="Preservativo Masculino"/>
    <s v="Cores e Sabores"/>
    <x v="14"/>
    <n v="0"/>
  </r>
  <r>
    <x v="14"/>
    <n v="2024"/>
    <x v="4"/>
    <x v="3"/>
    <s v="Preservativo Masculino"/>
    <s v="Cores e Sabores"/>
    <x v="14"/>
    <n v="0"/>
  </r>
  <r>
    <x v="14"/>
    <n v="2024"/>
    <x v="5"/>
    <x v="3"/>
    <s v="Preservativo Masculino"/>
    <s v="Cores e Sabores"/>
    <x v="14"/>
    <n v="0"/>
  </r>
  <r>
    <x v="14"/>
    <n v="2024"/>
    <x v="6"/>
    <x v="3"/>
    <s v="Preservativo Masculino"/>
    <s v="Cores e Sabores"/>
    <x v="14"/>
    <n v="0"/>
  </r>
  <r>
    <x v="14"/>
    <n v="2024"/>
    <x v="7"/>
    <x v="3"/>
    <s v="Preservativo Masculino"/>
    <s v="Cores e Sabores"/>
    <x v="14"/>
    <n v="0"/>
  </r>
  <r>
    <x v="14"/>
    <n v="2024"/>
    <x v="8"/>
    <x v="3"/>
    <s v="Preservativo Masculino"/>
    <s v="Cores e Sabores"/>
    <x v="14"/>
    <n v="0"/>
  </r>
  <r>
    <x v="14"/>
    <n v="2024"/>
    <x v="9"/>
    <x v="3"/>
    <s v="Preservativo Masculino"/>
    <s v="Cores e Sabores"/>
    <x v="14"/>
    <n v="0"/>
  </r>
  <r>
    <x v="14"/>
    <n v="2024"/>
    <x v="10"/>
    <x v="3"/>
    <s v="Preservativo Masculino"/>
    <s v="Cores e Sabores"/>
    <x v="14"/>
    <n v="0"/>
  </r>
  <r>
    <x v="14"/>
    <n v="2024"/>
    <x v="11"/>
    <x v="3"/>
    <s v="Preservativo Masculino"/>
    <s v="Cores e Sabores"/>
    <x v="14"/>
    <n v="0"/>
  </r>
  <r>
    <x v="15"/>
    <n v="2024"/>
    <x v="0"/>
    <x v="3"/>
    <s v="Preservativo Masculino"/>
    <s v="Performance"/>
    <x v="15"/>
    <n v="0"/>
  </r>
  <r>
    <x v="15"/>
    <n v="2024"/>
    <x v="1"/>
    <x v="3"/>
    <s v="Preservativo Masculino"/>
    <s v="Performance"/>
    <x v="15"/>
    <n v="0"/>
  </r>
  <r>
    <x v="15"/>
    <n v="2024"/>
    <x v="2"/>
    <x v="3"/>
    <s v="Preservativo Masculino"/>
    <s v="Performance"/>
    <x v="15"/>
    <n v="0"/>
  </r>
  <r>
    <x v="15"/>
    <n v="2024"/>
    <x v="3"/>
    <x v="3"/>
    <s v="Preservativo Masculino"/>
    <s v="Performance"/>
    <x v="15"/>
    <n v="0"/>
  </r>
  <r>
    <x v="15"/>
    <n v="2024"/>
    <x v="4"/>
    <x v="3"/>
    <s v="Preservativo Masculino"/>
    <s v="Performance"/>
    <x v="15"/>
    <n v="0"/>
  </r>
  <r>
    <x v="15"/>
    <n v="2024"/>
    <x v="5"/>
    <x v="3"/>
    <s v="Preservativo Masculino"/>
    <s v="Performance"/>
    <x v="15"/>
    <n v="0"/>
  </r>
  <r>
    <x v="15"/>
    <n v="2024"/>
    <x v="6"/>
    <x v="3"/>
    <s v="Preservativo Masculino"/>
    <s v="Performance"/>
    <x v="15"/>
    <n v="0"/>
  </r>
  <r>
    <x v="15"/>
    <n v="2024"/>
    <x v="7"/>
    <x v="3"/>
    <s v="Preservativo Masculino"/>
    <s v="Performance"/>
    <x v="15"/>
    <n v="0"/>
  </r>
  <r>
    <x v="15"/>
    <n v="2024"/>
    <x v="8"/>
    <x v="3"/>
    <s v="Preservativo Masculino"/>
    <s v="Performance"/>
    <x v="15"/>
    <n v="0"/>
  </r>
  <r>
    <x v="15"/>
    <n v="2024"/>
    <x v="9"/>
    <x v="3"/>
    <s v="Preservativo Masculino"/>
    <s v="Performance"/>
    <x v="15"/>
    <n v="0"/>
  </r>
  <r>
    <x v="15"/>
    <n v="2024"/>
    <x v="10"/>
    <x v="3"/>
    <s v="Preservativo Masculino"/>
    <s v="Performance"/>
    <x v="15"/>
    <n v="0"/>
  </r>
  <r>
    <x v="15"/>
    <n v="2024"/>
    <x v="11"/>
    <x v="3"/>
    <s v="Preservativo Masculino"/>
    <s v="Performance"/>
    <x v="15"/>
    <n v="0"/>
  </r>
  <r>
    <x v="16"/>
    <n v="2024"/>
    <x v="0"/>
    <x v="3"/>
    <s v="Preservativo Masculino"/>
    <s v="Performance"/>
    <x v="16"/>
    <n v="0"/>
  </r>
  <r>
    <x v="16"/>
    <n v="2024"/>
    <x v="1"/>
    <x v="3"/>
    <s v="Preservativo Masculino"/>
    <s v="Performance"/>
    <x v="16"/>
    <n v="0"/>
  </r>
  <r>
    <x v="16"/>
    <n v="2024"/>
    <x v="2"/>
    <x v="3"/>
    <s v="Preservativo Masculino"/>
    <s v="Performance"/>
    <x v="16"/>
    <n v="0"/>
  </r>
  <r>
    <x v="16"/>
    <n v="2024"/>
    <x v="3"/>
    <x v="3"/>
    <s v="Preservativo Masculino"/>
    <s v="Performance"/>
    <x v="16"/>
    <n v="0"/>
  </r>
  <r>
    <x v="16"/>
    <n v="2024"/>
    <x v="4"/>
    <x v="3"/>
    <s v="Preservativo Masculino"/>
    <s v="Performance"/>
    <x v="16"/>
    <n v="0"/>
  </r>
  <r>
    <x v="16"/>
    <n v="2024"/>
    <x v="5"/>
    <x v="3"/>
    <s v="Preservativo Masculino"/>
    <s v="Performance"/>
    <x v="16"/>
    <n v="0"/>
  </r>
  <r>
    <x v="16"/>
    <n v="2024"/>
    <x v="6"/>
    <x v="3"/>
    <s v="Preservativo Masculino"/>
    <s v="Performance"/>
    <x v="16"/>
    <n v="0"/>
  </r>
  <r>
    <x v="16"/>
    <n v="2024"/>
    <x v="7"/>
    <x v="3"/>
    <s v="Preservativo Masculino"/>
    <s v="Performance"/>
    <x v="16"/>
    <n v="0"/>
  </r>
  <r>
    <x v="16"/>
    <n v="2024"/>
    <x v="8"/>
    <x v="3"/>
    <s v="Preservativo Masculino"/>
    <s v="Performance"/>
    <x v="16"/>
    <n v="0"/>
  </r>
  <r>
    <x v="16"/>
    <n v="2024"/>
    <x v="9"/>
    <x v="3"/>
    <s v="Preservativo Masculino"/>
    <s v="Performance"/>
    <x v="16"/>
    <n v="0"/>
  </r>
  <r>
    <x v="16"/>
    <n v="2024"/>
    <x v="10"/>
    <x v="3"/>
    <s v="Preservativo Masculino"/>
    <s v="Performance"/>
    <x v="16"/>
    <n v="0"/>
  </r>
  <r>
    <x v="16"/>
    <n v="2024"/>
    <x v="11"/>
    <x v="3"/>
    <s v="Preservativo Masculino"/>
    <s v="Performance"/>
    <x v="16"/>
    <n v="0"/>
  </r>
  <r>
    <x v="17"/>
    <n v="2024"/>
    <x v="0"/>
    <x v="3"/>
    <s v="Preservativo Masculino"/>
    <s v="Performance"/>
    <x v="17"/>
    <n v="0"/>
  </r>
  <r>
    <x v="17"/>
    <n v="2024"/>
    <x v="1"/>
    <x v="3"/>
    <s v="Preservativo Masculino"/>
    <s v="Performance"/>
    <x v="17"/>
    <n v="0"/>
  </r>
  <r>
    <x v="17"/>
    <n v="2024"/>
    <x v="2"/>
    <x v="3"/>
    <s v="Preservativo Masculino"/>
    <s v="Performance"/>
    <x v="17"/>
    <n v="0"/>
  </r>
  <r>
    <x v="17"/>
    <n v="2024"/>
    <x v="3"/>
    <x v="3"/>
    <s v="Preservativo Masculino"/>
    <s v="Performance"/>
    <x v="17"/>
    <n v="0"/>
  </r>
  <r>
    <x v="17"/>
    <n v="2024"/>
    <x v="4"/>
    <x v="3"/>
    <s v="Preservativo Masculino"/>
    <s v="Performance"/>
    <x v="17"/>
    <n v="0"/>
  </r>
  <r>
    <x v="17"/>
    <n v="2024"/>
    <x v="5"/>
    <x v="3"/>
    <s v="Preservativo Masculino"/>
    <s v="Performance"/>
    <x v="17"/>
    <n v="0"/>
  </r>
  <r>
    <x v="17"/>
    <n v="2024"/>
    <x v="6"/>
    <x v="3"/>
    <s v="Preservativo Masculino"/>
    <s v="Performance"/>
    <x v="17"/>
    <n v="0"/>
  </r>
  <r>
    <x v="17"/>
    <n v="2024"/>
    <x v="7"/>
    <x v="3"/>
    <s v="Preservativo Masculino"/>
    <s v="Performance"/>
    <x v="17"/>
    <n v="0"/>
  </r>
  <r>
    <x v="17"/>
    <n v="2024"/>
    <x v="8"/>
    <x v="3"/>
    <s v="Preservativo Masculino"/>
    <s v="Performance"/>
    <x v="17"/>
    <n v="0"/>
  </r>
  <r>
    <x v="17"/>
    <n v="2024"/>
    <x v="9"/>
    <x v="3"/>
    <s v="Preservativo Masculino"/>
    <s v="Performance"/>
    <x v="17"/>
    <n v="0"/>
  </r>
  <r>
    <x v="17"/>
    <n v="2024"/>
    <x v="10"/>
    <x v="3"/>
    <s v="Preservativo Masculino"/>
    <s v="Performance"/>
    <x v="17"/>
    <n v="0"/>
  </r>
  <r>
    <x v="17"/>
    <n v="2024"/>
    <x v="11"/>
    <x v="3"/>
    <s v="Preservativo Masculino"/>
    <s v="Performance"/>
    <x v="17"/>
    <n v="0"/>
  </r>
  <r>
    <x v="18"/>
    <n v="2024"/>
    <x v="0"/>
    <x v="3"/>
    <s v="Preservativo Masculino"/>
    <s v="Performance"/>
    <x v="18"/>
    <n v="0"/>
  </r>
  <r>
    <x v="18"/>
    <n v="2024"/>
    <x v="1"/>
    <x v="3"/>
    <s v="Preservativo Masculino"/>
    <s v="Performance"/>
    <x v="18"/>
    <n v="0"/>
  </r>
  <r>
    <x v="18"/>
    <n v="2024"/>
    <x v="2"/>
    <x v="3"/>
    <s v="Preservativo Masculino"/>
    <s v="Performance"/>
    <x v="18"/>
    <n v="0"/>
  </r>
  <r>
    <x v="18"/>
    <n v="2024"/>
    <x v="3"/>
    <x v="3"/>
    <s v="Preservativo Masculino"/>
    <s v="Performance"/>
    <x v="18"/>
    <n v="0"/>
  </r>
  <r>
    <x v="18"/>
    <n v="2024"/>
    <x v="4"/>
    <x v="3"/>
    <s v="Preservativo Masculino"/>
    <s v="Performance"/>
    <x v="18"/>
    <n v="0"/>
  </r>
  <r>
    <x v="18"/>
    <n v="2024"/>
    <x v="5"/>
    <x v="3"/>
    <s v="Preservativo Masculino"/>
    <s v="Performance"/>
    <x v="18"/>
    <n v="0"/>
  </r>
  <r>
    <x v="18"/>
    <n v="2024"/>
    <x v="6"/>
    <x v="3"/>
    <s v="Preservativo Masculino"/>
    <s v="Performance"/>
    <x v="18"/>
    <n v="0"/>
  </r>
  <r>
    <x v="18"/>
    <n v="2024"/>
    <x v="7"/>
    <x v="3"/>
    <s v="Preservativo Masculino"/>
    <s v="Performance"/>
    <x v="18"/>
    <n v="0"/>
  </r>
  <r>
    <x v="18"/>
    <n v="2024"/>
    <x v="8"/>
    <x v="3"/>
    <s v="Preservativo Masculino"/>
    <s v="Performance"/>
    <x v="18"/>
    <n v="0"/>
  </r>
  <r>
    <x v="18"/>
    <n v="2024"/>
    <x v="9"/>
    <x v="3"/>
    <s v="Preservativo Masculino"/>
    <s v="Performance"/>
    <x v="18"/>
    <n v="0"/>
  </r>
  <r>
    <x v="18"/>
    <n v="2024"/>
    <x v="10"/>
    <x v="3"/>
    <s v="Preservativo Masculino"/>
    <s v="Performance"/>
    <x v="18"/>
    <n v="0"/>
  </r>
  <r>
    <x v="18"/>
    <n v="2024"/>
    <x v="11"/>
    <x v="3"/>
    <s v="Preservativo Masculino"/>
    <s v="Performance"/>
    <x v="18"/>
    <n v="0"/>
  </r>
  <r>
    <x v="19"/>
    <n v="2024"/>
    <x v="0"/>
    <x v="3"/>
    <s v="Preservativo Masculino"/>
    <s v="Performance"/>
    <x v="19"/>
    <n v="0"/>
  </r>
  <r>
    <x v="19"/>
    <n v="2024"/>
    <x v="1"/>
    <x v="3"/>
    <s v="Preservativo Masculino"/>
    <s v="Performance"/>
    <x v="19"/>
    <n v="0"/>
  </r>
  <r>
    <x v="19"/>
    <n v="2024"/>
    <x v="2"/>
    <x v="3"/>
    <s v="Preservativo Masculino"/>
    <s v="Performance"/>
    <x v="19"/>
    <n v="0"/>
  </r>
  <r>
    <x v="19"/>
    <n v="2024"/>
    <x v="3"/>
    <x v="3"/>
    <s v="Preservativo Masculino"/>
    <s v="Performance"/>
    <x v="19"/>
    <n v="0"/>
  </r>
  <r>
    <x v="19"/>
    <n v="2024"/>
    <x v="4"/>
    <x v="3"/>
    <s v="Preservativo Masculino"/>
    <s v="Performance"/>
    <x v="19"/>
    <n v="0"/>
  </r>
  <r>
    <x v="19"/>
    <n v="2024"/>
    <x v="5"/>
    <x v="3"/>
    <s v="Preservativo Masculino"/>
    <s v="Performance"/>
    <x v="19"/>
    <n v="0"/>
  </r>
  <r>
    <x v="19"/>
    <n v="2024"/>
    <x v="6"/>
    <x v="3"/>
    <s v="Preservativo Masculino"/>
    <s v="Performance"/>
    <x v="19"/>
    <n v="0"/>
  </r>
  <r>
    <x v="19"/>
    <n v="2024"/>
    <x v="7"/>
    <x v="3"/>
    <s v="Preservativo Masculino"/>
    <s v="Performance"/>
    <x v="19"/>
    <n v="0"/>
  </r>
  <r>
    <x v="19"/>
    <n v="2024"/>
    <x v="8"/>
    <x v="3"/>
    <s v="Preservativo Masculino"/>
    <s v="Performance"/>
    <x v="19"/>
    <n v="0"/>
  </r>
  <r>
    <x v="19"/>
    <n v="2024"/>
    <x v="9"/>
    <x v="3"/>
    <s v="Preservativo Masculino"/>
    <s v="Performance"/>
    <x v="19"/>
    <n v="0"/>
  </r>
  <r>
    <x v="19"/>
    <n v="2024"/>
    <x v="10"/>
    <x v="3"/>
    <s v="Preservativo Masculino"/>
    <s v="Performance"/>
    <x v="19"/>
    <n v="0"/>
  </r>
  <r>
    <x v="19"/>
    <n v="2024"/>
    <x v="11"/>
    <x v="3"/>
    <s v="Preservativo Masculino"/>
    <s v="Performance"/>
    <x v="19"/>
    <n v="0"/>
  </r>
  <r>
    <x v="20"/>
    <n v="2024"/>
    <x v="0"/>
    <x v="3"/>
    <s v="Preservativo Masculino"/>
    <s v="Performance"/>
    <x v="20"/>
    <n v="0"/>
  </r>
  <r>
    <x v="20"/>
    <n v="2024"/>
    <x v="1"/>
    <x v="3"/>
    <s v="Preservativo Masculino"/>
    <s v="Performance"/>
    <x v="20"/>
    <n v="0"/>
  </r>
  <r>
    <x v="20"/>
    <n v="2024"/>
    <x v="2"/>
    <x v="3"/>
    <s v="Preservativo Masculino"/>
    <s v="Performance"/>
    <x v="20"/>
    <n v="0"/>
  </r>
  <r>
    <x v="20"/>
    <n v="2024"/>
    <x v="3"/>
    <x v="3"/>
    <s v="Preservativo Masculino"/>
    <s v="Performance"/>
    <x v="20"/>
    <n v="0"/>
  </r>
  <r>
    <x v="20"/>
    <n v="2024"/>
    <x v="4"/>
    <x v="3"/>
    <s v="Preservativo Masculino"/>
    <s v="Performance"/>
    <x v="20"/>
    <n v="0"/>
  </r>
  <r>
    <x v="20"/>
    <n v="2024"/>
    <x v="5"/>
    <x v="3"/>
    <s v="Preservativo Masculino"/>
    <s v="Performance"/>
    <x v="20"/>
    <n v="0"/>
  </r>
  <r>
    <x v="20"/>
    <n v="2024"/>
    <x v="6"/>
    <x v="3"/>
    <s v="Preservativo Masculino"/>
    <s v="Performance"/>
    <x v="20"/>
    <n v="0"/>
  </r>
  <r>
    <x v="20"/>
    <n v="2024"/>
    <x v="7"/>
    <x v="3"/>
    <s v="Preservativo Masculino"/>
    <s v="Performance"/>
    <x v="20"/>
    <n v="0"/>
  </r>
  <r>
    <x v="20"/>
    <n v="2024"/>
    <x v="8"/>
    <x v="3"/>
    <s v="Preservativo Masculino"/>
    <s v="Performance"/>
    <x v="20"/>
    <n v="0"/>
  </r>
  <r>
    <x v="20"/>
    <n v="2024"/>
    <x v="9"/>
    <x v="3"/>
    <s v="Preservativo Masculino"/>
    <s v="Performance"/>
    <x v="20"/>
    <n v="0"/>
  </r>
  <r>
    <x v="20"/>
    <n v="2024"/>
    <x v="10"/>
    <x v="3"/>
    <s v="Preservativo Masculino"/>
    <s v="Performance"/>
    <x v="20"/>
    <n v="0"/>
  </r>
  <r>
    <x v="20"/>
    <n v="2024"/>
    <x v="11"/>
    <x v="3"/>
    <s v="Preservativo Masculino"/>
    <s v="Performance"/>
    <x v="20"/>
    <n v="0"/>
  </r>
  <r>
    <x v="21"/>
    <n v="2024"/>
    <x v="0"/>
    <x v="3"/>
    <s v="Preservativo Masculino"/>
    <s v="Performance"/>
    <x v="21"/>
    <n v="0"/>
  </r>
  <r>
    <x v="21"/>
    <n v="2024"/>
    <x v="1"/>
    <x v="3"/>
    <s v="Preservativo Masculino"/>
    <s v="Performance"/>
    <x v="21"/>
    <n v="0"/>
  </r>
  <r>
    <x v="21"/>
    <n v="2024"/>
    <x v="2"/>
    <x v="3"/>
    <s v="Preservativo Masculino"/>
    <s v="Performance"/>
    <x v="21"/>
    <n v="0"/>
  </r>
  <r>
    <x v="21"/>
    <n v="2024"/>
    <x v="3"/>
    <x v="3"/>
    <s v="Preservativo Masculino"/>
    <s v="Performance"/>
    <x v="21"/>
    <n v="0"/>
  </r>
  <r>
    <x v="21"/>
    <n v="2024"/>
    <x v="4"/>
    <x v="3"/>
    <s v="Preservativo Masculino"/>
    <s v="Performance"/>
    <x v="21"/>
    <n v="0"/>
  </r>
  <r>
    <x v="21"/>
    <n v="2024"/>
    <x v="5"/>
    <x v="3"/>
    <s v="Preservativo Masculino"/>
    <s v="Performance"/>
    <x v="21"/>
    <n v="0"/>
  </r>
  <r>
    <x v="21"/>
    <n v="2024"/>
    <x v="6"/>
    <x v="3"/>
    <s v="Preservativo Masculino"/>
    <s v="Performance"/>
    <x v="21"/>
    <n v="0"/>
  </r>
  <r>
    <x v="21"/>
    <n v="2024"/>
    <x v="7"/>
    <x v="3"/>
    <s v="Preservativo Masculino"/>
    <s v="Performance"/>
    <x v="21"/>
    <n v="0"/>
  </r>
  <r>
    <x v="21"/>
    <n v="2024"/>
    <x v="8"/>
    <x v="3"/>
    <s v="Preservativo Masculino"/>
    <s v="Performance"/>
    <x v="21"/>
    <n v="0"/>
  </r>
  <r>
    <x v="21"/>
    <n v="2024"/>
    <x v="9"/>
    <x v="3"/>
    <s v="Preservativo Masculino"/>
    <s v="Performance"/>
    <x v="21"/>
    <n v="0"/>
  </r>
  <r>
    <x v="21"/>
    <n v="2024"/>
    <x v="10"/>
    <x v="3"/>
    <s v="Preservativo Masculino"/>
    <s v="Performance"/>
    <x v="21"/>
    <n v="0"/>
  </r>
  <r>
    <x v="21"/>
    <n v="2024"/>
    <x v="11"/>
    <x v="3"/>
    <s v="Preservativo Masculino"/>
    <s v="Performance"/>
    <x v="21"/>
    <n v="0"/>
  </r>
  <r>
    <x v="22"/>
    <n v="2024"/>
    <x v="0"/>
    <x v="3"/>
    <s v="Preservativo Masculino"/>
    <s v="Cores e Sabores"/>
    <x v="22"/>
    <n v="0"/>
  </r>
  <r>
    <x v="22"/>
    <n v="2024"/>
    <x v="1"/>
    <x v="3"/>
    <s v="Preservativo Masculino"/>
    <s v="Cores e Sabores"/>
    <x v="22"/>
    <n v="0"/>
  </r>
  <r>
    <x v="22"/>
    <n v="2024"/>
    <x v="2"/>
    <x v="3"/>
    <s v="Preservativo Masculino"/>
    <s v="Cores e Sabores"/>
    <x v="22"/>
    <n v="0"/>
  </r>
  <r>
    <x v="22"/>
    <n v="2024"/>
    <x v="3"/>
    <x v="3"/>
    <s v="Preservativo Masculino"/>
    <s v="Cores e Sabores"/>
    <x v="22"/>
    <n v="0"/>
  </r>
  <r>
    <x v="22"/>
    <n v="2024"/>
    <x v="4"/>
    <x v="3"/>
    <s v="Preservativo Masculino"/>
    <s v="Cores e Sabores"/>
    <x v="22"/>
    <n v="0"/>
  </r>
  <r>
    <x v="22"/>
    <n v="2024"/>
    <x v="5"/>
    <x v="3"/>
    <s v="Preservativo Masculino"/>
    <s v="Cores e Sabores"/>
    <x v="22"/>
    <n v="0"/>
  </r>
  <r>
    <x v="22"/>
    <n v="2024"/>
    <x v="6"/>
    <x v="3"/>
    <s v="Preservativo Masculino"/>
    <s v="Cores e Sabores"/>
    <x v="22"/>
    <n v="0"/>
  </r>
  <r>
    <x v="22"/>
    <n v="2024"/>
    <x v="7"/>
    <x v="3"/>
    <s v="Preservativo Masculino"/>
    <s v="Cores e Sabores"/>
    <x v="22"/>
    <n v="0"/>
  </r>
  <r>
    <x v="22"/>
    <n v="2024"/>
    <x v="8"/>
    <x v="3"/>
    <s v="Preservativo Masculino"/>
    <s v="Cores e Sabores"/>
    <x v="22"/>
    <n v="0"/>
  </r>
  <r>
    <x v="22"/>
    <n v="2024"/>
    <x v="9"/>
    <x v="3"/>
    <s v="Preservativo Masculino"/>
    <s v="Cores e Sabores"/>
    <x v="22"/>
    <n v="0"/>
  </r>
  <r>
    <x v="22"/>
    <n v="2024"/>
    <x v="10"/>
    <x v="3"/>
    <s v="Preservativo Masculino"/>
    <s v="Cores e Sabores"/>
    <x v="22"/>
    <n v="0"/>
  </r>
  <r>
    <x v="22"/>
    <n v="2024"/>
    <x v="11"/>
    <x v="3"/>
    <s v="Preservativo Masculino"/>
    <s v="Cores e Sabores"/>
    <x v="22"/>
    <n v="0"/>
  </r>
  <r>
    <x v="23"/>
    <n v="2024"/>
    <x v="0"/>
    <x v="3"/>
    <s v="Preservativo Masculino"/>
    <s v="Performance"/>
    <x v="23"/>
    <n v="0"/>
  </r>
  <r>
    <x v="23"/>
    <n v="2024"/>
    <x v="1"/>
    <x v="3"/>
    <s v="Preservativo Masculino"/>
    <s v="Performance"/>
    <x v="23"/>
    <n v="0"/>
  </r>
  <r>
    <x v="23"/>
    <n v="2024"/>
    <x v="2"/>
    <x v="3"/>
    <s v="Preservativo Masculino"/>
    <s v="Performance"/>
    <x v="23"/>
    <n v="0"/>
  </r>
  <r>
    <x v="23"/>
    <n v="2024"/>
    <x v="3"/>
    <x v="3"/>
    <s v="Preservativo Masculino"/>
    <s v="Performance"/>
    <x v="23"/>
    <n v="0"/>
  </r>
  <r>
    <x v="23"/>
    <n v="2024"/>
    <x v="4"/>
    <x v="3"/>
    <s v="Preservativo Masculino"/>
    <s v="Performance"/>
    <x v="23"/>
    <n v="0"/>
  </r>
  <r>
    <x v="23"/>
    <n v="2024"/>
    <x v="5"/>
    <x v="3"/>
    <s v="Preservativo Masculino"/>
    <s v="Performance"/>
    <x v="23"/>
    <n v="0"/>
  </r>
  <r>
    <x v="23"/>
    <n v="2024"/>
    <x v="6"/>
    <x v="3"/>
    <s v="Preservativo Masculino"/>
    <s v="Performance"/>
    <x v="23"/>
    <n v="0"/>
  </r>
  <r>
    <x v="23"/>
    <n v="2024"/>
    <x v="7"/>
    <x v="3"/>
    <s v="Preservativo Masculino"/>
    <s v="Performance"/>
    <x v="23"/>
    <n v="0"/>
  </r>
  <r>
    <x v="23"/>
    <n v="2024"/>
    <x v="8"/>
    <x v="3"/>
    <s v="Preservativo Masculino"/>
    <s v="Performance"/>
    <x v="23"/>
    <n v="0"/>
  </r>
  <r>
    <x v="23"/>
    <n v="2024"/>
    <x v="9"/>
    <x v="3"/>
    <s v="Preservativo Masculino"/>
    <s v="Performance"/>
    <x v="23"/>
    <n v="0"/>
  </r>
  <r>
    <x v="23"/>
    <n v="2024"/>
    <x v="10"/>
    <x v="3"/>
    <s v="Preservativo Masculino"/>
    <s v="Performance"/>
    <x v="23"/>
    <n v="0"/>
  </r>
  <r>
    <x v="23"/>
    <n v="2024"/>
    <x v="11"/>
    <x v="3"/>
    <s v="Preservativo Masculino"/>
    <s v="Performance"/>
    <x v="23"/>
    <n v="0"/>
  </r>
  <r>
    <x v="24"/>
    <n v="2024"/>
    <x v="0"/>
    <x v="3"/>
    <s v="Preservativo Masculino"/>
    <s v="Performance"/>
    <x v="24"/>
    <n v="0"/>
  </r>
  <r>
    <x v="24"/>
    <n v="2024"/>
    <x v="1"/>
    <x v="3"/>
    <s v="Preservativo Masculino"/>
    <s v="Performance"/>
    <x v="24"/>
    <n v="0"/>
  </r>
  <r>
    <x v="24"/>
    <n v="2024"/>
    <x v="2"/>
    <x v="3"/>
    <s v="Preservativo Masculino"/>
    <s v="Performance"/>
    <x v="24"/>
    <n v="0"/>
  </r>
  <r>
    <x v="24"/>
    <n v="2024"/>
    <x v="3"/>
    <x v="3"/>
    <s v="Preservativo Masculino"/>
    <s v="Performance"/>
    <x v="24"/>
    <n v="0"/>
  </r>
  <r>
    <x v="24"/>
    <n v="2024"/>
    <x v="4"/>
    <x v="3"/>
    <s v="Preservativo Masculino"/>
    <s v="Performance"/>
    <x v="24"/>
    <n v="0"/>
  </r>
  <r>
    <x v="24"/>
    <n v="2024"/>
    <x v="5"/>
    <x v="3"/>
    <s v="Preservativo Masculino"/>
    <s v="Performance"/>
    <x v="24"/>
    <n v="0"/>
  </r>
  <r>
    <x v="24"/>
    <n v="2024"/>
    <x v="6"/>
    <x v="3"/>
    <s v="Preservativo Masculino"/>
    <s v="Performance"/>
    <x v="24"/>
    <n v="0"/>
  </r>
  <r>
    <x v="24"/>
    <n v="2024"/>
    <x v="7"/>
    <x v="3"/>
    <s v="Preservativo Masculino"/>
    <s v="Performance"/>
    <x v="24"/>
    <n v="0"/>
  </r>
  <r>
    <x v="24"/>
    <n v="2024"/>
    <x v="8"/>
    <x v="3"/>
    <s v="Preservativo Masculino"/>
    <s v="Performance"/>
    <x v="24"/>
    <n v="0"/>
  </r>
  <r>
    <x v="24"/>
    <n v="2024"/>
    <x v="9"/>
    <x v="3"/>
    <s v="Preservativo Masculino"/>
    <s v="Performance"/>
    <x v="24"/>
    <n v="0"/>
  </r>
  <r>
    <x v="24"/>
    <n v="2024"/>
    <x v="10"/>
    <x v="3"/>
    <s v="Preservativo Masculino"/>
    <s v="Performance"/>
    <x v="24"/>
    <n v="0"/>
  </r>
  <r>
    <x v="24"/>
    <n v="2024"/>
    <x v="11"/>
    <x v="3"/>
    <s v="Preservativo Masculino"/>
    <s v="Performance"/>
    <x v="24"/>
    <n v="0"/>
  </r>
  <r>
    <x v="25"/>
    <n v="2024"/>
    <x v="0"/>
    <x v="3"/>
    <s v="Preservativo Masculino"/>
    <s v="Performance"/>
    <x v="25"/>
    <n v="0"/>
  </r>
  <r>
    <x v="25"/>
    <n v="2024"/>
    <x v="1"/>
    <x v="3"/>
    <s v="Preservativo Masculino"/>
    <s v="Performance"/>
    <x v="25"/>
    <n v="0"/>
  </r>
  <r>
    <x v="25"/>
    <n v="2024"/>
    <x v="2"/>
    <x v="3"/>
    <s v="Preservativo Masculino"/>
    <s v="Performance"/>
    <x v="25"/>
    <n v="0"/>
  </r>
  <r>
    <x v="25"/>
    <n v="2024"/>
    <x v="3"/>
    <x v="3"/>
    <s v="Preservativo Masculino"/>
    <s v="Performance"/>
    <x v="25"/>
    <n v="0"/>
  </r>
  <r>
    <x v="25"/>
    <n v="2024"/>
    <x v="4"/>
    <x v="3"/>
    <s v="Preservativo Masculino"/>
    <s v="Performance"/>
    <x v="25"/>
    <n v="0"/>
  </r>
  <r>
    <x v="25"/>
    <n v="2024"/>
    <x v="5"/>
    <x v="3"/>
    <s v="Preservativo Masculino"/>
    <s v="Performance"/>
    <x v="25"/>
    <n v="0"/>
  </r>
  <r>
    <x v="25"/>
    <n v="2024"/>
    <x v="6"/>
    <x v="3"/>
    <s v="Preservativo Masculino"/>
    <s v="Performance"/>
    <x v="25"/>
    <n v="0"/>
  </r>
  <r>
    <x v="25"/>
    <n v="2024"/>
    <x v="7"/>
    <x v="3"/>
    <s v="Preservativo Masculino"/>
    <s v="Performance"/>
    <x v="25"/>
    <n v="0"/>
  </r>
  <r>
    <x v="25"/>
    <n v="2024"/>
    <x v="8"/>
    <x v="3"/>
    <s v="Preservativo Masculino"/>
    <s v="Performance"/>
    <x v="25"/>
    <n v="0"/>
  </r>
  <r>
    <x v="25"/>
    <n v="2024"/>
    <x v="9"/>
    <x v="3"/>
    <s v="Preservativo Masculino"/>
    <s v="Performance"/>
    <x v="25"/>
    <n v="0"/>
  </r>
  <r>
    <x v="25"/>
    <n v="2024"/>
    <x v="10"/>
    <x v="3"/>
    <s v="Preservativo Masculino"/>
    <s v="Performance"/>
    <x v="25"/>
    <n v="0"/>
  </r>
  <r>
    <x v="25"/>
    <n v="2024"/>
    <x v="11"/>
    <x v="3"/>
    <s v="Preservativo Masculino"/>
    <s v="Performance"/>
    <x v="25"/>
    <n v="0"/>
  </r>
  <r>
    <x v="26"/>
    <n v="2024"/>
    <x v="0"/>
    <x v="3"/>
    <s v="Preservativo Masculino"/>
    <s v="Low Price "/>
    <x v="26"/>
    <n v="0"/>
  </r>
  <r>
    <x v="26"/>
    <n v="2024"/>
    <x v="1"/>
    <x v="3"/>
    <s v="Preservativo Masculino"/>
    <s v="Low Price "/>
    <x v="26"/>
    <n v="0"/>
  </r>
  <r>
    <x v="26"/>
    <n v="2024"/>
    <x v="2"/>
    <x v="3"/>
    <s v="Preservativo Masculino"/>
    <s v="Low Price "/>
    <x v="26"/>
    <n v="0"/>
  </r>
  <r>
    <x v="26"/>
    <n v="2024"/>
    <x v="3"/>
    <x v="3"/>
    <s v="Preservativo Masculino"/>
    <s v="Low Price "/>
    <x v="26"/>
    <n v="0"/>
  </r>
  <r>
    <x v="26"/>
    <n v="2024"/>
    <x v="4"/>
    <x v="3"/>
    <s v="Preservativo Masculino"/>
    <s v="Low Price "/>
    <x v="26"/>
    <n v="0"/>
  </r>
  <r>
    <x v="26"/>
    <n v="2024"/>
    <x v="5"/>
    <x v="3"/>
    <s v="Preservativo Masculino"/>
    <s v="Low Price "/>
    <x v="26"/>
    <n v="0"/>
  </r>
  <r>
    <x v="26"/>
    <n v="2024"/>
    <x v="6"/>
    <x v="3"/>
    <s v="Preservativo Masculino"/>
    <s v="Low Price "/>
    <x v="26"/>
    <n v="0"/>
  </r>
  <r>
    <x v="26"/>
    <n v="2024"/>
    <x v="7"/>
    <x v="3"/>
    <s v="Preservativo Masculino"/>
    <s v="Low Price "/>
    <x v="26"/>
    <n v="0"/>
  </r>
  <r>
    <x v="26"/>
    <n v="2024"/>
    <x v="8"/>
    <x v="3"/>
    <s v="Preservativo Masculino"/>
    <s v="Low Price "/>
    <x v="26"/>
    <n v="0"/>
  </r>
  <r>
    <x v="26"/>
    <n v="2024"/>
    <x v="9"/>
    <x v="3"/>
    <s v="Preservativo Masculino"/>
    <s v="Low Price "/>
    <x v="26"/>
    <n v="0"/>
  </r>
  <r>
    <x v="26"/>
    <n v="2024"/>
    <x v="10"/>
    <x v="3"/>
    <s v="Preservativo Masculino"/>
    <s v="Low Price "/>
    <x v="26"/>
    <n v="0"/>
  </r>
  <r>
    <x v="26"/>
    <n v="2024"/>
    <x v="11"/>
    <x v="3"/>
    <s v="Preservativo Masculino"/>
    <s v="Low Price "/>
    <x v="26"/>
    <n v="0"/>
  </r>
  <r>
    <x v="27"/>
    <n v="2024"/>
    <x v="0"/>
    <x v="3"/>
    <s v="Preservativo Masculino"/>
    <s v="Low Price "/>
    <x v="27"/>
    <n v="0"/>
  </r>
  <r>
    <x v="27"/>
    <n v="2024"/>
    <x v="1"/>
    <x v="3"/>
    <s v="Preservativo Masculino"/>
    <s v="Low Price "/>
    <x v="27"/>
    <n v="0"/>
  </r>
  <r>
    <x v="27"/>
    <n v="2024"/>
    <x v="2"/>
    <x v="3"/>
    <s v="Preservativo Masculino"/>
    <s v="Low Price "/>
    <x v="27"/>
    <n v="0"/>
  </r>
  <r>
    <x v="27"/>
    <n v="2024"/>
    <x v="3"/>
    <x v="3"/>
    <s v="Preservativo Masculino"/>
    <s v="Low Price "/>
    <x v="27"/>
    <n v="0"/>
  </r>
  <r>
    <x v="27"/>
    <n v="2024"/>
    <x v="4"/>
    <x v="3"/>
    <s v="Preservativo Masculino"/>
    <s v="Low Price "/>
    <x v="27"/>
    <n v="0"/>
  </r>
  <r>
    <x v="27"/>
    <n v="2024"/>
    <x v="5"/>
    <x v="3"/>
    <s v="Preservativo Masculino"/>
    <s v="Low Price "/>
    <x v="27"/>
    <n v="0"/>
  </r>
  <r>
    <x v="27"/>
    <n v="2024"/>
    <x v="6"/>
    <x v="3"/>
    <s v="Preservativo Masculino"/>
    <s v="Low Price "/>
    <x v="27"/>
    <n v="0"/>
  </r>
  <r>
    <x v="27"/>
    <n v="2024"/>
    <x v="7"/>
    <x v="3"/>
    <s v="Preservativo Masculino"/>
    <s v="Low Price "/>
    <x v="27"/>
    <n v="0"/>
  </r>
  <r>
    <x v="27"/>
    <n v="2024"/>
    <x v="8"/>
    <x v="3"/>
    <s v="Preservativo Masculino"/>
    <s v="Low Price "/>
    <x v="27"/>
    <n v="0"/>
  </r>
  <r>
    <x v="27"/>
    <n v="2024"/>
    <x v="9"/>
    <x v="3"/>
    <s v="Preservativo Masculino"/>
    <s v="Low Price "/>
    <x v="27"/>
    <n v="0"/>
  </r>
  <r>
    <x v="27"/>
    <n v="2024"/>
    <x v="10"/>
    <x v="3"/>
    <s v="Preservativo Masculino"/>
    <s v="Low Price "/>
    <x v="27"/>
    <n v="0"/>
  </r>
  <r>
    <x v="27"/>
    <n v="2024"/>
    <x v="11"/>
    <x v="3"/>
    <s v="Preservativo Masculino"/>
    <s v="Low Price "/>
    <x v="27"/>
    <n v="0"/>
  </r>
  <r>
    <x v="28"/>
    <n v="2024"/>
    <x v="0"/>
    <x v="3"/>
    <s v="Preservativo Masculino"/>
    <s v="Low Price "/>
    <x v="28"/>
    <n v="0"/>
  </r>
  <r>
    <x v="28"/>
    <n v="2024"/>
    <x v="1"/>
    <x v="3"/>
    <s v="Preservativo Masculino"/>
    <s v="Low Price "/>
    <x v="28"/>
    <n v="0"/>
  </r>
  <r>
    <x v="28"/>
    <n v="2024"/>
    <x v="2"/>
    <x v="3"/>
    <s v="Preservativo Masculino"/>
    <s v="Low Price "/>
    <x v="28"/>
    <n v="0"/>
  </r>
  <r>
    <x v="28"/>
    <n v="2024"/>
    <x v="3"/>
    <x v="3"/>
    <s v="Preservativo Masculino"/>
    <s v="Low Price "/>
    <x v="28"/>
    <n v="0"/>
  </r>
  <r>
    <x v="28"/>
    <n v="2024"/>
    <x v="4"/>
    <x v="3"/>
    <s v="Preservativo Masculino"/>
    <s v="Low Price "/>
    <x v="28"/>
    <n v="0"/>
  </r>
  <r>
    <x v="28"/>
    <n v="2024"/>
    <x v="5"/>
    <x v="3"/>
    <s v="Preservativo Masculino"/>
    <s v="Low Price "/>
    <x v="28"/>
    <n v="0"/>
  </r>
  <r>
    <x v="28"/>
    <n v="2024"/>
    <x v="6"/>
    <x v="3"/>
    <s v="Preservativo Masculino"/>
    <s v="Low Price "/>
    <x v="28"/>
    <n v="0"/>
  </r>
  <r>
    <x v="28"/>
    <n v="2024"/>
    <x v="7"/>
    <x v="3"/>
    <s v="Preservativo Masculino"/>
    <s v="Low Price "/>
    <x v="28"/>
    <n v="0"/>
  </r>
  <r>
    <x v="28"/>
    <n v="2024"/>
    <x v="8"/>
    <x v="3"/>
    <s v="Preservativo Masculino"/>
    <s v="Low Price "/>
    <x v="28"/>
    <n v="0"/>
  </r>
  <r>
    <x v="28"/>
    <n v="2024"/>
    <x v="9"/>
    <x v="3"/>
    <s v="Preservativo Masculino"/>
    <s v="Low Price "/>
    <x v="28"/>
    <n v="0"/>
  </r>
  <r>
    <x v="28"/>
    <n v="2024"/>
    <x v="10"/>
    <x v="3"/>
    <s v="Preservativo Masculino"/>
    <s v="Low Price "/>
    <x v="28"/>
    <n v="0"/>
  </r>
  <r>
    <x v="28"/>
    <n v="2024"/>
    <x v="11"/>
    <x v="3"/>
    <s v="Preservativo Masculino"/>
    <s v="Low Price "/>
    <x v="28"/>
    <n v="0"/>
  </r>
  <r>
    <x v="29"/>
    <n v="2024"/>
    <x v="0"/>
    <x v="3"/>
    <s v="Preservativo Masculino"/>
    <s v="Low Price "/>
    <x v="29"/>
    <n v="0"/>
  </r>
  <r>
    <x v="29"/>
    <n v="2024"/>
    <x v="1"/>
    <x v="3"/>
    <s v="Preservativo Masculino"/>
    <s v="Low Price "/>
    <x v="29"/>
    <n v="0"/>
  </r>
  <r>
    <x v="29"/>
    <n v="2024"/>
    <x v="2"/>
    <x v="3"/>
    <s v="Preservativo Masculino"/>
    <s v="Low Price "/>
    <x v="29"/>
    <n v="0"/>
  </r>
  <r>
    <x v="29"/>
    <n v="2024"/>
    <x v="3"/>
    <x v="3"/>
    <s v="Preservativo Masculino"/>
    <s v="Low Price "/>
    <x v="29"/>
    <n v="0"/>
  </r>
  <r>
    <x v="29"/>
    <n v="2024"/>
    <x v="4"/>
    <x v="3"/>
    <s v="Preservativo Masculino"/>
    <s v="Low Price "/>
    <x v="29"/>
    <n v="0"/>
  </r>
  <r>
    <x v="29"/>
    <n v="2024"/>
    <x v="5"/>
    <x v="3"/>
    <s v="Preservativo Masculino"/>
    <s v="Low Price "/>
    <x v="29"/>
    <n v="0"/>
  </r>
  <r>
    <x v="29"/>
    <n v="2024"/>
    <x v="6"/>
    <x v="3"/>
    <s v="Preservativo Masculino"/>
    <s v="Low Price "/>
    <x v="29"/>
    <n v="0"/>
  </r>
  <r>
    <x v="29"/>
    <n v="2024"/>
    <x v="7"/>
    <x v="3"/>
    <s v="Preservativo Masculino"/>
    <s v="Low Price "/>
    <x v="29"/>
    <n v="0"/>
  </r>
  <r>
    <x v="29"/>
    <n v="2024"/>
    <x v="8"/>
    <x v="3"/>
    <s v="Preservativo Masculino"/>
    <s v="Low Price "/>
    <x v="29"/>
    <n v="0"/>
  </r>
  <r>
    <x v="29"/>
    <n v="2024"/>
    <x v="9"/>
    <x v="3"/>
    <s v="Preservativo Masculino"/>
    <s v="Low Price "/>
    <x v="29"/>
    <n v="0"/>
  </r>
  <r>
    <x v="29"/>
    <n v="2024"/>
    <x v="10"/>
    <x v="3"/>
    <s v="Preservativo Masculino"/>
    <s v="Low Price "/>
    <x v="29"/>
    <n v="0"/>
  </r>
  <r>
    <x v="29"/>
    <n v="2024"/>
    <x v="11"/>
    <x v="3"/>
    <s v="Preservativo Masculino"/>
    <s v="Low Price "/>
    <x v="29"/>
    <n v="0"/>
  </r>
  <r>
    <x v="30"/>
    <n v="2024"/>
    <x v="0"/>
    <x v="3"/>
    <s v="Preservativo Masculino"/>
    <s v="Básico"/>
    <x v="30"/>
    <n v="0"/>
  </r>
  <r>
    <x v="30"/>
    <n v="2024"/>
    <x v="1"/>
    <x v="3"/>
    <s v="Preservativo Masculino"/>
    <s v="Básico"/>
    <x v="30"/>
    <n v="0"/>
  </r>
  <r>
    <x v="30"/>
    <n v="2024"/>
    <x v="2"/>
    <x v="3"/>
    <s v="Preservativo Masculino"/>
    <s v="Básico"/>
    <x v="30"/>
    <n v="0"/>
  </r>
  <r>
    <x v="30"/>
    <n v="2024"/>
    <x v="3"/>
    <x v="3"/>
    <s v="Preservativo Masculino"/>
    <s v="Básico"/>
    <x v="30"/>
    <n v="0"/>
  </r>
  <r>
    <x v="30"/>
    <n v="2024"/>
    <x v="4"/>
    <x v="3"/>
    <s v="Preservativo Masculino"/>
    <s v="Básico"/>
    <x v="30"/>
    <n v="0"/>
  </r>
  <r>
    <x v="30"/>
    <n v="2024"/>
    <x v="5"/>
    <x v="3"/>
    <s v="Preservativo Masculino"/>
    <s v="Básico"/>
    <x v="30"/>
    <n v="0"/>
  </r>
  <r>
    <x v="30"/>
    <n v="2024"/>
    <x v="6"/>
    <x v="3"/>
    <s v="Preservativo Masculino"/>
    <s v="Básico"/>
    <x v="30"/>
    <n v="0"/>
  </r>
  <r>
    <x v="30"/>
    <n v="2024"/>
    <x v="7"/>
    <x v="3"/>
    <s v="Preservativo Masculino"/>
    <s v="Básico"/>
    <x v="30"/>
    <n v="0"/>
  </r>
  <r>
    <x v="30"/>
    <n v="2024"/>
    <x v="8"/>
    <x v="3"/>
    <s v="Preservativo Masculino"/>
    <s v="Básico"/>
    <x v="30"/>
    <n v="0"/>
  </r>
  <r>
    <x v="30"/>
    <n v="2024"/>
    <x v="9"/>
    <x v="3"/>
    <s v="Preservativo Masculino"/>
    <s v="Básico"/>
    <x v="30"/>
    <n v="0"/>
  </r>
  <r>
    <x v="30"/>
    <n v="2024"/>
    <x v="10"/>
    <x v="3"/>
    <s v="Preservativo Masculino"/>
    <s v="Básico"/>
    <x v="30"/>
    <n v="0"/>
  </r>
  <r>
    <x v="30"/>
    <n v="2024"/>
    <x v="11"/>
    <x v="3"/>
    <s v="Preservativo Masculino"/>
    <s v="Básico"/>
    <x v="30"/>
    <n v="0"/>
  </r>
  <r>
    <x v="31"/>
    <n v="2024"/>
    <x v="0"/>
    <x v="3"/>
    <s v="Preservativo Masculino"/>
    <s v="Básico"/>
    <x v="31"/>
    <n v="0"/>
  </r>
  <r>
    <x v="31"/>
    <n v="2024"/>
    <x v="1"/>
    <x v="3"/>
    <s v="Preservativo Masculino"/>
    <s v="Básico"/>
    <x v="31"/>
    <n v="0"/>
  </r>
  <r>
    <x v="31"/>
    <n v="2024"/>
    <x v="2"/>
    <x v="3"/>
    <s v="Preservativo Masculino"/>
    <s v="Básico"/>
    <x v="31"/>
    <n v="0"/>
  </r>
  <r>
    <x v="31"/>
    <n v="2024"/>
    <x v="3"/>
    <x v="3"/>
    <s v="Preservativo Masculino"/>
    <s v="Básico"/>
    <x v="31"/>
    <n v="0"/>
  </r>
  <r>
    <x v="31"/>
    <n v="2024"/>
    <x v="4"/>
    <x v="3"/>
    <s v="Preservativo Masculino"/>
    <s v="Básico"/>
    <x v="31"/>
    <n v="0"/>
  </r>
  <r>
    <x v="31"/>
    <n v="2024"/>
    <x v="5"/>
    <x v="3"/>
    <s v="Preservativo Masculino"/>
    <s v="Básico"/>
    <x v="31"/>
    <n v="0"/>
  </r>
  <r>
    <x v="31"/>
    <n v="2024"/>
    <x v="6"/>
    <x v="3"/>
    <s v="Preservativo Masculino"/>
    <s v="Básico"/>
    <x v="31"/>
    <n v="0"/>
  </r>
  <r>
    <x v="31"/>
    <n v="2024"/>
    <x v="7"/>
    <x v="3"/>
    <s v="Preservativo Masculino"/>
    <s v="Básico"/>
    <x v="31"/>
    <n v="0"/>
  </r>
  <r>
    <x v="31"/>
    <n v="2024"/>
    <x v="8"/>
    <x v="3"/>
    <s v="Preservativo Masculino"/>
    <s v="Básico"/>
    <x v="31"/>
    <n v="0"/>
  </r>
  <r>
    <x v="31"/>
    <n v="2024"/>
    <x v="9"/>
    <x v="3"/>
    <s v="Preservativo Masculino"/>
    <s v="Básico"/>
    <x v="31"/>
    <n v="0"/>
  </r>
  <r>
    <x v="31"/>
    <n v="2024"/>
    <x v="10"/>
    <x v="3"/>
    <s v="Preservativo Masculino"/>
    <s v="Básico"/>
    <x v="31"/>
    <n v="0"/>
  </r>
  <r>
    <x v="31"/>
    <n v="2024"/>
    <x v="11"/>
    <x v="3"/>
    <s v="Preservativo Masculino"/>
    <s v="Básico"/>
    <x v="31"/>
    <n v="0"/>
  </r>
  <r>
    <x v="32"/>
    <n v="2024"/>
    <x v="0"/>
    <x v="3"/>
    <s v="Preservativo Masculino"/>
    <s v="Básico"/>
    <x v="32"/>
    <n v="0"/>
  </r>
  <r>
    <x v="32"/>
    <n v="2024"/>
    <x v="1"/>
    <x v="3"/>
    <s v="Preservativo Masculino"/>
    <s v="Básico"/>
    <x v="32"/>
    <n v="0"/>
  </r>
  <r>
    <x v="32"/>
    <n v="2024"/>
    <x v="2"/>
    <x v="3"/>
    <s v="Preservativo Masculino"/>
    <s v="Básico"/>
    <x v="32"/>
    <n v="0"/>
  </r>
  <r>
    <x v="32"/>
    <n v="2024"/>
    <x v="3"/>
    <x v="3"/>
    <s v="Preservativo Masculino"/>
    <s v="Básico"/>
    <x v="32"/>
    <n v="0"/>
  </r>
  <r>
    <x v="32"/>
    <n v="2024"/>
    <x v="4"/>
    <x v="3"/>
    <s v="Preservativo Masculino"/>
    <s v="Básico"/>
    <x v="32"/>
    <n v="0"/>
  </r>
  <r>
    <x v="32"/>
    <n v="2024"/>
    <x v="5"/>
    <x v="3"/>
    <s v="Preservativo Masculino"/>
    <s v="Básico"/>
    <x v="32"/>
    <n v="0"/>
  </r>
  <r>
    <x v="32"/>
    <n v="2024"/>
    <x v="6"/>
    <x v="3"/>
    <s v="Preservativo Masculino"/>
    <s v="Básico"/>
    <x v="32"/>
    <n v="0"/>
  </r>
  <r>
    <x v="32"/>
    <n v="2024"/>
    <x v="7"/>
    <x v="3"/>
    <s v="Preservativo Masculino"/>
    <s v="Básico"/>
    <x v="32"/>
    <n v="0"/>
  </r>
  <r>
    <x v="32"/>
    <n v="2024"/>
    <x v="8"/>
    <x v="3"/>
    <s v="Preservativo Masculino"/>
    <s v="Básico"/>
    <x v="32"/>
    <n v="0"/>
  </r>
  <r>
    <x v="32"/>
    <n v="2024"/>
    <x v="9"/>
    <x v="3"/>
    <s v="Preservativo Masculino"/>
    <s v="Básico"/>
    <x v="32"/>
    <n v="0"/>
  </r>
  <r>
    <x v="32"/>
    <n v="2024"/>
    <x v="10"/>
    <x v="3"/>
    <s v="Preservativo Masculino"/>
    <s v="Básico"/>
    <x v="32"/>
    <n v="0"/>
  </r>
  <r>
    <x v="32"/>
    <n v="2024"/>
    <x v="11"/>
    <x v="3"/>
    <s v="Preservativo Masculino"/>
    <s v="Básico"/>
    <x v="32"/>
    <n v="0"/>
  </r>
  <r>
    <x v="33"/>
    <n v="2024"/>
    <x v="0"/>
    <x v="3"/>
    <s v="Preservativo Masculino"/>
    <s v="Performance"/>
    <x v="33"/>
    <n v="0"/>
  </r>
  <r>
    <x v="33"/>
    <n v="2024"/>
    <x v="1"/>
    <x v="3"/>
    <s v="Preservativo Masculino"/>
    <s v="Performance"/>
    <x v="33"/>
    <n v="0"/>
  </r>
  <r>
    <x v="33"/>
    <n v="2024"/>
    <x v="2"/>
    <x v="3"/>
    <s v="Preservativo Masculino"/>
    <s v="Performance"/>
    <x v="33"/>
    <n v="0"/>
  </r>
  <r>
    <x v="33"/>
    <n v="2024"/>
    <x v="3"/>
    <x v="3"/>
    <s v="Preservativo Masculino"/>
    <s v="Performance"/>
    <x v="33"/>
    <n v="0"/>
  </r>
  <r>
    <x v="33"/>
    <n v="2024"/>
    <x v="4"/>
    <x v="3"/>
    <s v="Preservativo Masculino"/>
    <s v="Performance"/>
    <x v="33"/>
    <n v="0"/>
  </r>
  <r>
    <x v="33"/>
    <n v="2024"/>
    <x v="5"/>
    <x v="3"/>
    <s v="Preservativo Masculino"/>
    <s v="Performance"/>
    <x v="33"/>
    <n v="0"/>
  </r>
  <r>
    <x v="33"/>
    <n v="2024"/>
    <x v="6"/>
    <x v="3"/>
    <s v="Preservativo Masculino"/>
    <s v="Performance"/>
    <x v="33"/>
    <n v="0"/>
  </r>
  <r>
    <x v="33"/>
    <n v="2024"/>
    <x v="7"/>
    <x v="3"/>
    <s v="Preservativo Masculino"/>
    <s v="Performance"/>
    <x v="33"/>
    <n v="0"/>
  </r>
  <r>
    <x v="33"/>
    <n v="2024"/>
    <x v="8"/>
    <x v="3"/>
    <s v="Preservativo Masculino"/>
    <s v="Performance"/>
    <x v="33"/>
    <n v="0"/>
  </r>
  <r>
    <x v="33"/>
    <n v="2024"/>
    <x v="9"/>
    <x v="3"/>
    <s v="Preservativo Masculino"/>
    <s v="Performance"/>
    <x v="33"/>
    <n v="0"/>
  </r>
  <r>
    <x v="33"/>
    <n v="2024"/>
    <x v="10"/>
    <x v="3"/>
    <s v="Preservativo Masculino"/>
    <s v="Performance"/>
    <x v="33"/>
    <n v="0"/>
  </r>
  <r>
    <x v="33"/>
    <n v="2024"/>
    <x v="11"/>
    <x v="3"/>
    <s v="Preservativo Masculino"/>
    <s v="Performance"/>
    <x v="33"/>
    <n v="0"/>
  </r>
  <r>
    <x v="34"/>
    <n v="2024"/>
    <x v="0"/>
    <x v="3"/>
    <s v="Preservativo Masculino"/>
    <s v="Performance"/>
    <x v="34"/>
    <n v="0"/>
  </r>
  <r>
    <x v="34"/>
    <n v="2024"/>
    <x v="1"/>
    <x v="3"/>
    <s v="Preservativo Masculino"/>
    <s v="Performance"/>
    <x v="34"/>
    <n v="0"/>
  </r>
  <r>
    <x v="34"/>
    <n v="2024"/>
    <x v="2"/>
    <x v="3"/>
    <s v="Preservativo Masculino"/>
    <s v="Performance"/>
    <x v="34"/>
    <n v="0"/>
  </r>
  <r>
    <x v="34"/>
    <n v="2024"/>
    <x v="3"/>
    <x v="3"/>
    <s v="Preservativo Masculino"/>
    <s v="Performance"/>
    <x v="34"/>
    <n v="0"/>
  </r>
  <r>
    <x v="34"/>
    <n v="2024"/>
    <x v="4"/>
    <x v="3"/>
    <s v="Preservativo Masculino"/>
    <s v="Performance"/>
    <x v="34"/>
    <n v="0"/>
  </r>
  <r>
    <x v="34"/>
    <n v="2024"/>
    <x v="5"/>
    <x v="3"/>
    <s v="Preservativo Masculino"/>
    <s v="Performance"/>
    <x v="34"/>
    <n v="0"/>
  </r>
  <r>
    <x v="34"/>
    <n v="2024"/>
    <x v="6"/>
    <x v="3"/>
    <s v="Preservativo Masculino"/>
    <s v="Performance"/>
    <x v="34"/>
    <n v="0"/>
  </r>
  <r>
    <x v="34"/>
    <n v="2024"/>
    <x v="7"/>
    <x v="3"/>
    <s v="Preservativo Masculino"/>
    <s v="Performance"/>
    <x v="34"/>
    <n v="0"/>
  </r>
  <r>
    <x v="34"/>
    <n v="2024"/>
    <x v="8"/>
    <x v="3"/>
    <s v="Preservativo Masculino"/>
    <s v="Performance"/>
    <x v="34"/>
    <n v="0"/>
  </r>
  <r>
    <x v="34"/>
    <n v="2024"/>
    <x v="9"/>
    <x v="3"/>
    <s v="Preservativo Masculino"/>
    <s v="Performance"/>
    <x v="34"/>
    <n v="0"/>
  </r>
  <r>
    <x v="34"/>
    <n v="2024"/>
    <x v="10"/>
    <x v="3"/>
    <s v="Preservativo Masculino"/>
    <s v="Performance"/>
    <x v="34"/>
    <n v="0"/>
  </r>
  <r>
    <x v="34"/>
    <n v="2024"/>
    <x v="11"/>
    <x v="3"/>
    <s v="Preservativo Masculino"/>
    <s v="Performance"/>
    <x v="34"/>
    <n v="0"/>
  </r>
  <r>
    <x v="35"/>
    <n v="2024"/>
    <x v="0"/>
    <x v="3"/>
    <s v="Preservativo Masculino"/>
    <s v="Performance"/>
    <x v="35"/>
    <n v="0"/>
  </r>
  <r>
    <x v="35"/>
    <n v="2024"/>
    <x v="1"/>
    <x v="3"/>
    <s v="Preservativo Masculino"/>
    <s v="Performance"/>
    <x v="35"/>
    <n v="0"/>
  </r>
  <r>
    <x v="35"/>
    <n v="2024"/>
    <x v="2"/>
    <x v="3"/>
    <s v="Preservativo Masculino"/>
    <s v="Performance"/>
    <x v="35"/>
    <n v="0"/>
  </r>
  <r>
    <x v="35"/>
    <n v="2024"/>
    <x v="3"/>
    <x v="3"/>
    <s v="Preservativo Masculino"/>
    <s v="Performance"/>
    <x v="35"/>
    <n v="0"/>
  </r>
  <r>
    <x v="35"/>
    <n v="2024"/>
    <x v="4"/>
    <x v="3"/>
    <s v="Preservativo Masculino"/>
    <s v="Performance"/>
    <x v="35"/>
    <n v="0"/>
  </r>
  <r>
    <x v="35"/>
    <n v="2024"/>
    <x v="5"/>
    <x v="3"/>
    <s v="Preservativo Masculino"/>
    <s v="Performance"/>
    <x v="35"/>
    <n v="0"/>
  </r>
  <r>
    <x v="35"/>
    <n v="2024"/>
    <x v="6"/>
    <x v="3"/>
    <s v="Preservativo Masculino"/>
    <s v="Performance"/>
    <x v="35"/>
    <n v="0"/>
  </r>
  <r>
    <x v="35"/>
    <n v="2024"/>
    <x v="7"/>
    <x v="3"/>
    <s v="Preservativo Masculino"/>
    <s v="Performance"/>
    <x v="35"/>
    <n v="0"/>
  </r>
  <r>
    <x v="35"/>
    <n v="2024"/>
    <x v="8"/>
    <x v="3"/>
    <s v="Preservativo Masculino"/>
    <s v="Performance"/>
    <x v="35"/>
    <n v="0"/>
  </r>
  <r>
    <x v="35"/>
    <n v="2024"/>
    <x v="9"/>
    <x v="3"/>
    <s v="Preservativo Masculino"/>
    <s v="Performance"/>
    <x v="35"/>
    <n v="0"/>
  </r>
  <r>
    <x v="35"/>
    <n v="2024"/>
    <x v="10"/>
    <x v="3"/>
    <s v="Preservativo Masculino"/>
    <s v="Performance"/>
    <x v="35"/>
    <n v="0"/>
  </r>
  <r>
    <x v="35"/>
    <n v="2024"/>
    <x v="11"/>
    <x v="3"/>
    <s v="Preservativo Masculino"/>
    <s v="Performance"/>
    <x v="35"/>
    <n v="0"/>
  </r>
  <r>
    <x v="36"/>
    <n v="2024"/>
    <x v="0"/>
    <x v="3"/>
    <s v="Preservativo Masculino"/>
    <s v="Performance"/>
    <x v="36"/>
    <n v="0"/>
  </r>
  <r>
    <x v="36"/>
    <n v="2024"/>
    <x v="1"/>
    <x v="3"/>
    <s v="Preservativo Masculino"/>
    <s v="Performance"/>
    <x v="36"/>
    <n v="0"/>
  </r>
  <r>
    <x v="36"/>
    <n v="2024"/>
    <x v="2"/>
    <x v="3"/>
    <s v="Preservativo Masculino"/>
    <s v="Performance"/>
    <x v="36"/>
    <n v="0"/>
  </r>
  <r>
    <x v="36"/>
    <n v="2024"/>
    <x v="3"/>
    <x v="3"/>
    <s v="Preservativo Masculino"/>
    <s v="Performance"/>
    <x v="36"/>
    <n v="0"/>
  </r>
  <r>
    <x v="36"/>
    <n v="2024"/>
    <x v="4"/>
    <x v="3"/>
    <s v="Preservativo Masculino"/>
    <s v="Performance"/>
    <x v="36"/>
    <n v="0"/>
  </r>
  <r>
    <x v="36"/>
    <n v="2024"/>
    <x v="5"/>
    <x v="3"/>
    <s v="Preservativo Masculino"/>
    <s v="Performance"/>
    <x v="36"/>
    <n v="0"/>
  </r>
  <r>
    <x v="36"/>
    <n v="2024"/>
    <x v="6"/>
    <x v="3"/>
    <s v="Preservativo Masculino"/>
    <s v="Performance"/>
    <x v="36"/>
    <n v="0"/>
  </r>
  <r>
    <x v="36"/>
    <n v="2024"/>
    <x v="7"/>
    <x v="3"/>
    <s v="Preservativo Masculino"/>
    <s v="Performance"/>
    <x v="36"/>
    <n v="0"/>
  </r>
  <r>
    <x v="36"/>
    <n v="2024"/>
    <x v="8"/>
    <x v="3"/>
    <s v="Preservativo Masculino"/>
    <s v="Performance"/>
    <x v="36"/>
    <n v="0"/>
  </r>
  <r>
    <x v="36"/>
    <n v="2024"/>
    <x v="9"/>
    <x v="3"/>
    <s v="Preservativo Masculino"/>
    <s v="Performance"/>
    <x v="36"/>
    <n v="0"/>
  </r>
  <r>
    <x v="36"/>
    <n v="2024"/>
    <x v="10"/>
    <x v="3"/>
    <s v="Preservativo Masculino"/>
    <s v="Performance"/>
    <x v="36"/>
    <n v="0"/>
  </r>
  <r>
    <x v="36"/>
    <n v="2024"/>
    <x v="11"/>
    <x v="3"/>
    <s v="Preservativo Masculino"/>
    <s v="Performance"/>
    <x v="36"/>
    <n v="0"/>
  </r>
  <r>
    <x v="37"/>
    <n v="2024"/>
    <x v="0"/>
    <x v="3"/>
    <s v="Preservativo Masculino"/>
    <s v="Performance"/>
    <x v="37"/>
    <n v="0"/>
  </r>
  <r>
    <x v="37"/>
    <n v="2024"/>
    <x v="1"/>
    <x v="3"/>
    <s v="Preservativo Masculino"/>
    <s v="Performance"/>
    <x v="37"/>
    <n v="0"/>
  </r>
  <r>
    <x v="37"/>
    <n v="2024"/>
    <x v="2"/>
    <x v="3"/>
    <s v="Preservativo Masculino"/>
    <s v="Performance"/>
    <x v="37"/>
    <n v="0"/>
  </r>
  <r>
    <x v="37"/>
    <n v="2024"/>
    <x v="3"/>
    <x v="3"/>
    <s v="Preservativo Masculino"/>
    <s v="Performance"/>
    <x v="37"/>
    <n v="0"/>
  </r>
  <r>
    <x v="37"/>
    <n v="2024"/>
    <x v="4"/>
    <x v="3"/>
    <s v="Preservativo Masculino"/>
    <s v="Performance"/>
    <x v="37"/>
    <n v="0"/>
  </r>
  <r>
    <x v="37"/>
    <n v="2024"/>
    <x v="5"/>
    <x v="3"/>
    <s v="Preservativo Masculino"/>
    <s v="Performance"/>
    <x v="37"/>
    <n v="0"/>
  </r>
  <r>
    <x v="37"/>
    <n v="2024"/>
    <x v="6"/>
    <x v="3"/>
    <s v="Preservativo Masculino"/>
    <s v="Performance"/>
    <x v="37"/>
    <n v="0"/>
  </r>
  <r>
    <x v="37"/>
    <n v="2024"/>
    <x v="7"/>
    <x v="3"/>
    <s v="Preservativo Masculino"/>
    <s v="Performance"/>
    <x v="37"/>
    <n v="0"/>
  </r>
  <r>
    <x v="37"/>
    <n v="2024"/>
    <x v="8"/>
    <x v="3"/>
    <s v="Preservativo Masculino"/>
    <s v="Performance"/>
    <x v="37"/>
    <n v="0"/>
  </r>
  <r>
    <x v="37"/>
    <n v="2024"/>
    <x v="9"/>
    <x v="3"/>
    <s v="Preservativo Masculino"/>
    <s v="Performance"/>
    <x v="37"/>
    <n v="0"/>
  </r>
  <r>
    <x v="37"/>
    <n v="2024"/>
    <x v="10"/>
    <x v="3"/>
    <s v="Preservativo Masculino"/>
    <s v="Performance"/>
    <x v="37"/>
    <n v="0"/>
  </r>
  <r>
    <x v="37"/>
    <n v="2024"/>
    <x v="11"/>
    <x v="3"/>
    <s v="Preservativo Masculino"/>
    <s v="Performance"/>
    <x v="37"/>
    <n v="0"/>
  </r>
  <r>
    <x v="38"/>
    <n v="2024"/>
    <x v="0"/>
    <x v="3"/>
    <s v="Preservativo Masculino"/>
    <s v="Performance"/>
    <x v="38"/>
    <n v="0"/>
  </r>
  <r>
    <x v="38"/>
    <n v="2024"/>
    <x v="1"/>
    <x v="3"/>
    <s v="Preservativo Masculino"/>
    <s v="Performance"/>
    <x v="38"/>
    <n v="0"/>
  </r>
  <r>
    <x v="38"/>
    <n v="2024"/>
    <x v="2"/>
    <x v="3"/>
    <s v="Preservativo Masculino"/>
    <s v="Performance"/>
    <x v="38"/>
    <n v="0"/>
  </r>
  <r>
    <x v="38"/>
    <n v="2024"/>
    <x v="3"/>
    <x v="3"/>
    <s v="Preservativo Masculino"/>
    <s v="Performance"/>
    <x v="38"/>
    <n v="0"/>
  </r>
  <r>
    <x v="38"/>
    <n v="2024"/>
    <x v="4"/>
    <x v="3"/>
    <s v="Preservativo Masculino"/>
    <s v="Performance"/>
    <x v="38"/>
    <n v="0"/>
  </r>
  <r>
    <x v="38"/>
    <n v="2024"/>
    <x v="5"/>
    <x v="3"/>
    <s v="Preservativo Masculino"/>
    <s v="Performance"/>
    <x v="38"/>
    <n v="0"/>
  </r>
  <r>
    <x v="38"/>
    <n v="2024"/>
    <x v="6"/>
    <x v="3"/>
    <s v="Preservativo Masculino"/>
    <s v="Performance"/>
    <x v="38"/>
    <n v="0"/>
  </r>
  <r>
    <x v="38"/>
    <n v="2024"/>
    <x v="7"/>
    <x v="3"/>
    <s v="Preservativo Masculino"/>
    <s v="Performance"/>
    <x v="38"/>
    <n v="0"/>
  </r>
  <r>
    <x v="38"/>
    <n v="2024"/>
    <x v="8"/>
    <x v="3"/>
    <s v="Preservativo Masculino"/>
    <s v="Performance"/>
    <x v="38"/>
    <n v="0"/>
  </r>
  <r>
    <x v="38"/>
    <n v="2024"/>
    <x v="9"/>
    <x v="3"/>
    <s v="Preservativo Masculino"/>
    <s v="Performance"/>
    <x v="38"/>
    <n v="0"/>
  </r>
  <r>
    <x v="38"/>
    <n v="2024"/>
    <x v="10"/>
    <x v="3"/>
    <s v="Preservativo Masculino"/>
    <s v="Performance"/>
    <x v="38"/>
    <n v="0"/>
  </r>
  <r>
    <x v="38"/>
    <n v="2024"/>
    <x v="11"/>
    <x v="3"/>
    <s v="Preservativo Masculino"/>
    <s v="Performance"/>
    <x v="38"/>
    <n v="0"/>
  </r>
  <r>
    <x v="39"/>
    <n v="2024"/>
    <x v="0"/>
    <x v="3"/>
    <s v="Preservativo Masculino"/>
    <s v="Performance"/>
    <x v="39"/>
    <n v="0"/>
  </r>
  <r>
    <x v="39"/>
    <n v="2024"/>
    <x v="1"/>
    <x v="3"/>
    <s v="Preservativo Masculino"/>
    <s v="Performance"/>
    <x v="39"/>
    <n v="0"/>
  </r>
  <r>
    <x v="39"/>
    <n v="2024"/>
    <x v="2"/>
    <x v="3"/>
    <s v="Preservativo Masculino"/>
    <s v="Performance"/>
    <x v="39"/>
    <n v="0"/>
  </r>
  <r>
    <x v="39"/>
    <n v="2024"/>
    <x v="3"/>
    <x v="3"/>
    <s v="Preservativo Masculino"/>
    <s v="Performance"/>
    <x v="39"/>
    <n v="0"/>
  </r>
  <r>
    <x v="39"/>
    <n v="2024"/>
    <x v="4"/>
    <x v="3"/>
    <s v="Preservativo Masculino"/>
    <s v="Performance"/>
    <x v="39"/>
    <n v="0"/>
  </r>
  <r>
    <x v="39"/>
    <n v="2024"/>
    <x v="5"/>
    <x v="3"/>
    <s v="Preservativo Masculino"/>
    <s v="Performance"/>
    <x v="39"/>
    <n v="0"/>
  </r>
  <r>
    <x v="39"/>
    <n v="2024"/>
    <x v="6"/>
    <x v="3"/>
    <s v="Preservativo Masculino"/>
    <s v="Performance"/>
    <x v="39"/>
    <n v="0"/>
  </r>
  <r>
    <x v="39"/>
    <n v="2024"/>
    <x v="7"/>
    <x v="3"/>
    <s v="Preservativo Masculino"/>
    <s v="Performance"/>
    <x v="39"/>
    <n v="0"/>
  </r>
  <r>
    <x v="39"/>
    <n v="2024"/>
    <x v="8"/>
    <x v="3"/>
    <s v="Preservativo Masculino"/>
    <s v="Performance"/>
    <x v="39"/>
    <n v="0"/>
  </r>
  <r>
    <x v="39"/>
    <n v="2024"/>
    <x v="9"/>
    <x v="3"/>
    <s v="Preservativo Masculino"/>
    <s v="Performance"/>
    <x v="39"/>
    <n v="0"/>
  </r>
  <r>
    <x v="39"/>
    <n v="2024"/>
    <x v="10"/>
    <x v="3"/>
    <s v="Preservativo Masculino"/>
    <s v="Performance"/>
    <x v="39"/>
    <n v="0"/>
  </r>
  <r>
    <x v="39"/>
    <n v="2024"/>
    <x v="11"/>
    <x v="3"/>
    <s v="Preservativo Masculino"/>
    <s v="Performance"/>
    <x v="39"/>
    <n v="0"/>
  </r>
  <r>
    <x v="40"/>
    <n v="2024"/>
    <x v="0"/>
    <x v="3"/>
    <s v="Gel Lubrificante"/>
    <s v="Lub 100G"/>
    <x v="40"/>
    <n v="0"/>
  </r>
  <r>
    <x v="40"/>
    <n v="2024"/>
    <x v="1"/>
    <x v="3"/>
    <s v="Gel Lubrificante"/>
    <s v="Lub 100G"/>
    <x v="40"/>
    <n v="0"/>
  </r>
  <r>
    <x v="40"/>
    <n v="2024"/>
    <x v="2"/>
    <x v="3"/>
    <s v="Gel Lubrificante"/>
    <s v="Lub 100G"/>
    <x v="40"/>
    <n v="0"/>
  </r>
  <r>
    <x v="40"/>
    <n v="2024"/>
    <x v="3"/>
    <x v="3"/>
    <s v="Gel Lubrificante"/>
    <s v="Lub 100G"/>
    <x v="40"/>
    <n v="0"/>
  </r>
  <r>
    <x v="40"/>
    <n v="2024"/>
    <x v="4"/>
    <x v="3"/>
    <s v="Gel Lubrificante"/>
    <s v="Lub 100G"/>
    <x v="40"/>
    <n v="0"/>
  </r>
  <r>
    <x v="40"/>
    <n v="2024"/>
    <x v="5"/>
    <x v="3"/>
    <s v="Gel Lubrificante"/>
    <s v="Lub 100G"/>
    <x v="40"/>
    <n v="0"/>
  </r>
  <r>
    <x v="40"/>
    <n v="2024"/>
    <x v="6"/>
    <x v="3"/>
    <s v="Gel Lubrificante"/>
    <s v="Lub 100G"/>
    <x v="40"/>
    <n v="0"/>
  </r>
  <r>
    <x v="40"/>
    <n v="2024"/>
    <x v="7"/>
    <x v="3"/>
    <s v="Gel Lubrificante"/>
    <s v="Lub 100G"/>
    <x v="40"/>
    <n v="0"/>
  </r>
  <r>
    <x v="40"/>
    <n v="2024"/>
    <x v="8"/>
    <x v="3"/>
    <s v="Gel Lubrificante"/>
    <s v="Lub 100G"/>
    <x v="40"/>
    <n v="0"/>
  </r>
  <r>
    <x v="40"/>
    <n v="2024"/>
    <x v="9"/>
    <x v="3"/>
    <s v="Gel Lubrificante"/>
    <s v="Lub 100G"/>
    <x v="40"/>
    <n v="0"/>
  </r>
  <r>
    <x v="40"/>
    <n v="2024"/>
    <x v="10"/>
    <x v="3"/>
    <s v="Gel Lubrificante"/>
    <s v="Lub 100G"/>
    <x v="40"/>
    <n v="0"/>
  </r>
  <r>
    <x v="40"/>
    <n v="2024"/>
    <x v="11"/>
    <x v="3"/>
    <s v="Gel Lubrificante"/>
    <s v="Lub 100G"/>
    <x v="40"/>
    <n v="0"/>
  </r>
  <r>
    <x v="41"/>
    <n v="2024"/>
    <x v="0"/>
    <x v="3"/>
    <s v="Gel Lubrificante"/>
    <s v="Lub 100G"/>
    <x v="41"/>
    <n v="0"/>
  </r>
  <r>
    <x v="41"/>
    <n v="2024"/>
    <x v="1"/>
    <x v="3"/>
    <s v="Gel Lubrificante"/>
    <s v="Lub 100G"/>
    <x v="41"/>
    <n v="0"/>
  </r>
  <r>
    <x v="41"/>
    <n v="2024"/>
    <x v="2"/>
    <x v="3"/>
    <s v="Gel Lubrificante"/>
    <s v="Lub 100G"/>
    <x v="41"/>
    <n v="0"/>
  </r>
  <r>
    <x v="41"/>
    <n v="2024"/>
    <x v="3"/>
    <x v="3"/>
    <s v="Gel Lubrificante"/>
    <s v="Lub 100G"/>
    <x v="41"/>
    <n v="0"/>
  </r>
  <r>
    <x v="41"/>
    <n v="2024"/>
    <x v="4"/>
    <x v="3"/>
    <s v="Gel Lubrificante"/>
    <s v="Lub 100G"/>
    <x v="41"/>
    <n v="0"/>
  </r>
  <r>
    <x v="41"/>
    <n v="2024"/>
    <x v="5"/>
    <x v="3"/>
    <s v="Gel Lubrificante"/>
    <s v="Lub 100G"/>
    <x v="41"/>
    <n v="0"/>
  </r>
  <r>
    <x v="41"/>
    <n v="2024"/>
    <x v="6"/>
    <x v="3"/>
    <s v="Gel Lubrificante"/>
    <s v="Lub 100G"/>
    <x v="41"/>
    <n v="0"/>
  </r>
  <r>
    <x v="41"/>
    <n v="2024"/>
    <x v="7"/>
    <x v="3"/>
    <s v="Gel Lubrificante"/>
    <s v="Lub 100G"/>
    <x v="41"/>
    <n v="0"/>
  </r>
  <r>
    <x v="41"/>
    <n v="2024"/>
    <x v="8"/>
    <x v="3"/>
    <s v="Gel Lubrificante"/>
    <s v="Lub 100G"/>
    <x v="41"/>
    <n v="0"/>
  </r>
  <r>
    <x v="41"/>
    <n v="2024"/>
    <x v="9"/>
    <x v="3"/>
    <s v="Gel Lubrificante"/>
    <s v="Lub 100G"/>
    <x v="41"/>
    <n v="0"/>
  </r>
  <r>
    <x v="41"/>
    <n v="2024"/>
    <x v="10"/>
    <x v="3"/>
    <s v="Gel Lubrificante"/>
    <s v="Lub 100G"/>
    <x v="41"/>
    <n v="0"/>
  </r>
  <r>
    <x v="41"/>
    <n v="2024"/>
    <x v="11"/>
    <x v="3"/>
    <s v="Gel Lubrificante"/>
    <s v="Lub 100G"/>
    <x v="41"/>
    <n v="0"/>
  </r>
  <r>
    <x v="42"/>
    <n v="2024"/>
    <x v="0"/>
    <x v="3"/>
    <s v="Gel Lubrificante"/>
    <s v="Lub 100G"/>
    <x v="42"/>
    <n v="0"/>
  </r>
  <r>
    <x v="42"/>
    <n v="2024"/>
    <x v="1"/>
    <x v="3"/>
    <s v="Gel Lubrificante"/>
    <s v="Lub 100G"/>
    <x v="42"/>
    <n v="0"/>
  </r>
  <r>
    <x v="42"/>
    <n v="2024"/>
    <x v="2"/>
    <x v="3"/>
    <s v="Gel Lubrificante"/>
    <s v="Lub 100G"/>
    <x v="42"/>
    <n v="0"/>
  </r>
  <r>
    <x v="42"/>
    <n v="2024"/>
    <x v="3"/>
    <x v="3"/>
    <s v="Gel Lubrificante"/>
    <s v="Lub 100G"/>
    <x v="42"/>
    <n v="0"/>
  </r>
  <r>
    <x v="42"/>
    <n v="2024"/>
    <x v="4"/>
    <x v="3"/>
    <s v="Gel Lubrificante"/>
    <s v="Lub 100G"/>
    <x v="42"/>
    <n v="0"/>
  </r>
  <r>
    <x v="42"/>
    <n v="2024"/>
    <x v="5"/>
    <x v="3"/>
    <s v="Gel Lubrificante"/>
    <s v="Lub 100G"/>
    <x v="42"/>
    <n v="0"/>
  </r>
  <r>
    <x v="42"/>
    <n v="2024"/>
    <x v="6"/>
    <x v="3"/>
    <s v="Gel Lubrificante"/>
    <s v="Lub 100G"/>
    <x v="42"/>
    <n v="0"/>
  </r>
  <r>
    <x v="42"/>
    <n v="2024"/>
    <x v="7"/>
    <x v="3"/>
    <s v="Gel Lubrificante"/>
    <s v="Lub 100G"/>
    <x v="42"/>
    <n v="0"/>
  </r>
  <r>
    <x v="42"/>
    <n v="2024"/>
    <x v="8"/>
    <x v="3"/>
    <s v="Gel Lubrificante"/>
    <s v="Lub 100G"/>
    <x v="42"/>
    <n v="0"/>
  </r>
  <r>
    <x v="42"/>
    <n v="2024"/>
    <x v="9"/>
    <x v="3"/>
    <s v="Gel Lubrificante"/>
    <s v="Lub 100G"/>
    <x v="42"/>
    <n v="0"/>
  </r>
  <r>
    <x v="42"/>
    <n v="2024"/>
    <x v="10"/>
    <x v="3"/>
    <s v="Gel Lubrificante"/>
    <s v="Lub 100G"/>
    <x v="42"/>
    <n v="0"/>
  </r>
  <r>
    <x v="42"/>
    <n v="2024"/>
    <x v="11"/>
    <x v="3"/>
    <s v="Gel Lubrificante"/>
    <s v="Lub 100G"/>
    <x v="42"/>
    <n v="0"/>
  </r>
  <r>
    <x v="43"/>
    <n v="2024"/>
    <x v="0"/>
    <x v="3"/>
    <s v="Gel Lubrificante"/>
    <s v="Lub 100G"/>
    <x v="43"/>
    <n v="0"/>
  </r>
  <r>
    <x v="43"/>
    <n v="2024"/>
    <x v="1"/>
    <x v="3"/>
    <s v="Gel Lubrificante"/>
    <s v="Lub 100G"/>
    <x v="43"/>
    <n v="0"/>
  </r>
  <r>
    <x v="43"/>
    <n v="2024"/>
    <x v="2"/>
    <x v="3"/>
    <s v="Gel Lubrificante"/>
    <s v="Lub 100G"/>
    <x v="43"/>
    <n v="0"/>
  </r>
  <r>
    <x v="43"/>
    <n v="2024"/>
    <x v="3"/>
    <x v="3"/>
    <s v="Gel Lubrificante"/>
    <s v="Lub 100G"/>
    <x v="43"/>
    <n v="0"/>
  </r>
  <r>
    <x v="43"/>
    <n v="2024"/>
    <x v="4"/>
    <x v="3"/>
    <s v="Gel Lubrificante"/>
    <s v="Lub 100G"/>
    <x v="43"/>
    <n v="0"/>
  </r>
  <r>
    <x v="43"/>
    <n v="2024"/>
    <x v="5"/>
    <x v="3"/>
    <s v="Gel Lubrificante"/>
    <s v="Lub 100G"/>
    <x v="43"/>
    <n v="0"/>
  </r>
  <r>
    <x v="43"/>
    <n v="2024"/>
    <x v="6"/>
    <x v="3"/>
    <s v="Gel Lubrificante"/>
    <s v="Lub 100G"/>
    <x v="43"/>
    <n v="0"/>
  </r>
  <r>
    <x v="43"/>
    <n v="2024"/>
    <x v="7"/>
    <x v="3"/>
    <s v="Gel Lubrificante"/>
    <s v="Lub 100G"/>
    <x v="43"/>
    <n v="0"/>
  </r>
  <r>
    <x v="43"/>
    <n v="2024"/>
    <x v="8"/>
    <x v="3"/>
    <s v="Gel Lubrificante"/>
    <s v="Lub 100G"/>
    <x v="43"/>
    <n v="0"/>
  </r>
  <r>
    <x v="43"/>
    <n v="2024"/>
    <x v="9"/>
    <x v="3"/>
    <s v="Gel Lubrificante"/>
    <s v="Lub 100G"/>
    <x v="43"/>
    <n v="0"/>
  </r>
  <r>
    <x v="43"/>
    <n v="2024"/>
    <x v="10"/>
    <x v="3"/>
    <s v="Gel Lubrificante"/>
    <s v="Lub 100G"/>
    <x v="43"/>
    <n v="0"/>
  </r>
  <r>
    <x v="43"/>
    <n v="2024"/>
    <x v="11"/>
    <x v="3"/>
    <s v="Gel Lubrificante"/>
    <s v="Lub 100G"/>
    <x v="43"/>
    <n v="0"/>
  </r>
  <r>
    <x v="44"/>
    <n v="2024"/>
    <x v="0"/>
    <x v="3"/>
    <s v="Gel Lubrificante"/>
    <s v="Lub 60G"/>
    <x v="44"/>
    <n v="0"/>
  </r>
  <r>
    <x v="44"/>
    <n v="2024"/>
    <x v="1"/>
    <x v="3"/>
    <s v="Gel Lubrificante"/>
    <s v="Lub 60G"/>
    <x v="44"/>
    <n v="0"/>
  </r>
  <r>
    <x v="44"/>
    <n v="2024"/>
    <x v="2"/>
    <x v="3"/>
    <s v="Gel Lubrificante"/>
    <s v="Lub 60G"/>
    <x v="44"/>
    <n v="0"/>
  </r>
  <r>
    <x v="44"/>
    <n v="2024"/>
    <x v="3"/>
    <x v="3"/>
    <s v="Gel Lubrificante"/>
    <s v="Lub 60G"/>
    <x v="44"/>
    <n v="0"/>
  </r>
  <r>
    <x v="44"/>
    <n v="2024"/>
    <x v="4"/>
    <x v="3"/>
    <s v="Gel Lubrificante"/>
    <s v="Lub 60G"/>
    <x v="44"/>
    <n v="0"/>
  </r>
  <r>
    <x v="44"/>
    <n v="2024"/>
    <x v="5"/>
    <x v="3"/>
    <s v="Gel Lubrificante"/>
    <s v="Lub 60G"/>
    <x v="44"/>
    <n v="0"/>
  </r>
  <r>
    <x v="44"/>
    <n v="2024"/>
    <x v="6"/>
    <x v="3"/>
    <s v="Gel Lubrificante"/>
    <s v="Lub 60G"/>
    <x v="44"/>
    <n v="0"/>
  </r>
  <r>
    <x v="44"/>
    <n v="2024"/>
    <x v="7"/>
    <x v="3"/>
    <s v="Gel Lubrificante"/>
    <s v="Lub 60G"/>
    <x v="44"/>
    <n v="0"/>
  </r>
  <r>
    <x v="44"/>
    <n v="2024"/>
    <x v="8"/>
    <x v="3"/>
    <s v="Gel Lubrificante"/>
    <s v="Lub 60G"/>
    <x v="44"/>
    <n v="0"/>
  </r>
  <r>
    <x v="44"/>
    <n v="2024"/>
    <x v="9"/>
    <x v="3"/>
    <s v="Gel Lubrificante"/>
    <s v="Lub 60G"/>
    <x v="44"/>
    <n v="0"/>
  </r>
  <r>
    <x v="44"/>
    <n v="2024"/>
    <x v="10"/>
    <x v="3"/>
    <s v="Gel Lubrificante"/>
    <s v="Lub 60G"/>
    <x v="44"/>
    <n v="0"/>
  </r>
  <r>
    <x v="44"/>
    <n v="2024"/>
    <x v="11"/>
    <x v="3"/>
    <s v="Gel Lubrificante"/>
    <s v="Lub 60G"/>
    <x v="44"/>
    <n v="0"/>
  </r>
  <r>
    <x v="45"/>
    <n v="2024"/>
    <x v="0"/>
    <x v="3"/>
    <s v="Intima"/>
    <s v="Wipes &amp; Softcup"/>
    <x v="45"/>
    <n v="0"/>
  </r>
  <r>
    <x v="45"/>
    <n v="2024"/>
    <x v="1"/>
    <x v="3"/>
    <s v="Intima"/>
    <s v="Wipes &amp; Softcup"/>
    <x v="45"/>
    <n v="0"/>
  </r>
  <r>
    <x v="45"/>
    <n v="2024"/>
    <x v="2"/>
    <x v="3"/>
    <s v="Intima"/>
    <s v="Wipes &amp; Softcup"/>
    <x v="45"/>
    <n v="0"/>
  </r>
  <r>
    <x v="45"/>
    <n v="2024"/>
    <x v="3"/>
    <x v="3"/>
    <s v="Intima"/>
    <s v="Wipes &amp; Softcup"/>
    <x v="45"/>
    <n v="0"/>
  </r>
  <r>
    <x v="45"/>
    <n v="2024"/>
    <x v="4"/>
    <x v="3"/>
    <s v="Intima"/>
    <s v="Wipes &amp; Softcup"/>
    <x v="45"/>
    <n v="0"/>
  </r>
  <r>
    <x v="45"/>
    <n v="2024"/>
    <x v="5"/>
    <x v="3"/>
    <s v="Intima"/>
    <s v="Wipes &amp; Softcup"/>
    <x v="45"/>
    <n v="0"/>
  </r>
  <r>
    <x v="45"/>
    <n v="2024"/>
    <x v="6"/>
    <x v="3"/>
    <s v="Intima"/>
    <s v="Wipes &amp; Softcup"/>
    <x v="45"/>
    <n v="0"/>
  </r>
  <r>
    <x v="45"/>
    <n v="2024"/>
    <x v="7"/>
    <x v="3"/>
    <s v="Intima"/>
    <s v="Wipes &amp; Softcup"/>
    <x v="45"/>
    <n v="0"/>
  </r>
  <r>
    <x v="45"/>
    <n v="2024"/>
    <x v="8"/>
    <x v="3"/>
    <s v="Intima"/>
    <s v="Wipes &amp; Softcup"/>
    <x v="45"/>
    <n v="0"/>
  </r>
  <r>
    <x v="45"/>
    <n v="2024"/>
    <x v="9"/>
    <x v="3"/>
    <s v="Intima"/>
    <s v="Wipes &amp; Softcup"/>
    <x v="45"/>
    <n v="0"/>
  </r>
  <r>
    <x v="45"/>
    <n v="2024"/>
    <x v="10"/>
    <x v="3"/>
    <s v="Intima"/>
    <s v="Wipes &amp; Softcup"/>
    <x v="45"/>
    <n v="0"/>
  </r>
  <r>
    <x v="45"/>
    <n v="2024"/>
    <x v="11"/>
    <x v="3"/>
    <s v="Intima"/>
    <s v="Wipes &amp; Softcup"/>
    <x v="45"/>
    <n v="0"/>
  </r>
  <r>
    <x v="46"/>
    <n v="2024"/>
    <x v="0"/>
    <x v="3"/>
    <s v="Intima"/>
    <s v="Wipes &amp; Softcup"/>
    <x v="46"/>
    <n v="0"/>
  </r>
  <r>
    <x v="46"/>
    <n v="2024"/>
    <x v="1"/>
    <x v="3"/>
    <s v="Intima"/>
    <s v="Wipes &amp; Softcup"/>
    <x v="46"/>
    <n v="0"/>
  </r>
  <r>
    <x v="46"/>
    <n v="2024"/>
    <x v="2"/>
    <x v="3"/>
    <s v="Intima"/>
    <s v="Wipes &amp; Softcup"/>
    <x v="46"/>
    <n v="0"/>
  </r>
  <r>
    <x v="46"/>
    <n v="2024"/>
    <x v="3"/>
    <x v="3"/>
    <s v="Intima"/>
    <s v="Wipes &amp; Softcup"/>
    <x v="46"/>
    <n v="0"/>
  </r>
  <r>
    <x v="46"/>
    <n v="2024"/>
    <x v="4"/>
    <x v="3"/>
    <s v="Intima"/>
    <s v="Wipes &amp; Softcup"/>
    <x v="46"/>
    <n v="0"/>
  </r>
  <r>
    <x v="46"/>
    <n v="2024"/>
    <x v="5"/>
    <x v="3"/>
    <s v="Intima"/>
    <s v="Wipes &amp; Softcup"/>
    <x v="46"/>
    <n v="0"/>
  </r>
  <r>
    <x v="46"/>
    <n v="2024"/>
    <x v="6"/>
    <x v="3"/>
    <s v="Intima"/>
    <s v="Wipes &amp; Softcup"/>
    <x v="46"/>
    <n v="0"/>
  </r>
  <r>
    <x v="46"/>
    <n v="2024"/>
    <x v="7"/>
    <x v="3"/>
    <s v="Intima"/>
    <s v="Wipes &amp; Softcup"/>
    <x v="46"/>
    <n v="0"/>
  </r>
  <r>
    <x v="46"/>
    <n v="2024"/>
    <x v="8"/>
    <x v="3"/>
    <s v="Intima"/>
    <s v="Wipes &amp; Softcup"/>
    <x v="46"/>
    <n v="0"/>
  </r>
  <r>
    <x v="46"/>
    <n v="2024"/>
    <x v="9"/>
    <x v="3"/>
    <s v="Intima"/>
    <s v="Wipes &amp; Softcup"/>
    <x v="46"/>
    <n v="0"/>
  </r>
  <r>
    <x v="46"/>
    <n v="2024"/>
    <x v="10"/>
    <x v="3"/>
    <s v="Intima"/>
    <s v="Wipes &amp; Softcup"/>
    <x v="46"/>
    <n v="0"/>
  </r>
  <r>
    <x v="46"/>
    <n v="2024"/>
    <x v="11"/>
    <x v="3"/>
    <s v="Intima"/>
    <s v="Wipes &amp; Softcup"/>
    <x v="46"/>
    <n v="0"/>
  </r>
  <r>
    <x v="47"/>
    <n v="2024"/>
    <x v="0"/>
    <x v="3"/>
    <s v="RX"/>
    <s v="Aspirators"/>
    <x v="47"/>
    <n v="0"/>
  </r>
  <r>
    <x v="47"/>
    <n v="2024"/>
    <x v="1"/>
    <x v="3"/>
    <s v="RX"/>
    <s v="Aspirators"/>
    <x v="47"/>
    <n v="0"/>
  </r>
  <r>
    <x v="47"/>
    <n v="2024"/>
    <x v="2"/>
    <x v="3"/>
    <s v="RX"/>
    <s v="Aspirators"/>
    <x v="47"/>
    <n v="0"/>
  </r>
  <r>
    <x v="47"/>
    <n v="2024"/>
    <x v="3"/>
    <x v="3"/>
    <s v="RX"/>
    <s v="Aspirators"/>
    <x v="47"/>
    <n v="0"/>
  </r>
  <r>
    <x v="47"/>
    <n v="2024"/>
    <x v="4"/>
    <x v="3"/>
    <s v="RX"/>
    <s v="Aspirators"/>
    <x v="47"/>
    <n v="0"/>
  </r>
  <r>
    <x v="47"/>
    <n v="2024"/>
    <x v="5"/>
    <x v="3"/>
    <s v="RX"/>
    <s v="Aspirators"/>
    <x v="47"/>
    <n v="0"/>
  </r>
  <r>
    <x v="47"/>
    <n v="2024"/>
    <x v="6"/>
    <x v="3"/>
    <s v="RX"/>
    <s v="Aspirators"/>
    <x v="47"/>
    <n v="0"/>
  </r>
  <r>
    <x v="47"/>
    <n v="2024"/>
    <x v="7"/>
    <x v="3"/>
    <s v="RX"/>
    <s v="Aspirators"/>
    <x v="47"/>
    <n v="0"/>
  </r>
  <r>
    <x v="47"/>
    <n v="2024"/>
    <x v="8"/>
    <x v="3"/>
    <s v="RX"/>
    <s v="Aspirators"/>
    <x v="47"/>
    <n v="0"/>
  </r>
  <r>
    <x v="47"/>
    <n v="2024"/>
    <x v="9"/>
    <x v="3"/>
    <s v="RX"/>
    <s v="Aspirators"/>
    <x v="47"/>
    <n v="0"/>
  </r>
  <r>
    <x v="47"/>
    <n v="2024"/>
    <x v="10"/>
    <x v="3"/>
    <s v="RX"/>
    <s v="Aspirators"/>
    <x v="47"/>
    <n v="0"/>
  </r>
  <r>
    <x v="47"/>
    <n v="2024"/>
    <x v="11"/>
    <x v="3"/>
    <s v="RX"/>
    <s v="Aspirators"/>
    <x v="47"/>
    <n v="0"/>
  </r>
  <r>
    <x v="48"/>
    <n v="2024"/>
    <x v="0"/>
    <x v="3"/>
    <s v="RX"/>
    <s v="Aspirators"/>
    <x v="48"/>
    <n v="0"/>
  </r>
  <r>
    <x v="48"/>
    <n v="2024"/>
    <x v="1"/>
    <x v="3"/>
    <s v="RX"/>
    <s v="Aspirators"/>
    <x v="48"/>
    <n v="0"/>
  </r>
  <r>
    <x v="48"/>
    <n v="2024"/>
    <x v="2"/>
    <x v="3"/>
    <s v="RX"/>
    <s v="Aspirators"/>
    <x v="48"/>
    <n v="0"/>
  </r>
  <r>
    <x v="48"/>
    <n v="2024"/>
    <x v="3"/>
    <x v="3"/>
    <s v="RX"/>
    <s v="Aspirators"/>
    <x v="48"/>
    <n v="0"/>
  </r>
  <r>
    <x v="48"/>
    <n v="2024"/>
    <x v="4"/>
    <x v="3"/>
    <s v="RX"/>
    <s v="Aspirators"/>
    <x v="48"/>
    <n v="0"/>
  </r>
  <r>
    <x v="48"/>
    <n v="2024"/>
    <x v="5"/>
    <x v="3"/>
    <s v="RX"/>
    <s v="Aspirators"/>
    <x v="48"/>
    <n v="0"/>
  </r>
  <r>
    <x v="48"/>
    <n v="2024"/>
    <x v="6"/>
    <x v="3"/>
    <s v="RX"/>
    <s v="Aspirators"/>
    <x v="48"/>
    <n v="0"/>
  </r>
  <r>
    <x v="48"/>
    <n v="2024"/>
    <x v="7"/>
    <x v="3"/>
    <s v="RX"/>
    <s v="Aspirators"/>
    <x v="48"/>
    <n v="0"/>
  </r>
  <r>
    <x v="48"/>
    <n v="2024"/>
    <x v="8"/>
    <x v="3"/>
    <s v="RX"/>
    <s v="Aspirators"/>
    <x v="48"/>
    <n v="0"/>
  </r>
  <r>
    <x v="48"/>
    <n v="2024"/>
    <x v="9"/>
    <x v="3"/>
    <s v="RX"/>
    <s v="Aspirators"/>
    <x v="48"/>
    <n v="0"/>
  </r>
  <r>
    <x v="48"/>
    <n v="2024"/>
    <x v="10"/>
    <x v="3"/>
    <s v="RX"/>
    <s v="Aspirators"/>
    <x v="48"/>
    <n v="0"/>
  </r>
  <r>
    <x v="48"/>
    <n v="2024"/>
    <x v="11"/>
    <x v="3"/>
    <s v="RX"/>
    <s v="Aspirators"/>
    <x v="48"/>
    <n v="0"/>
  </r>
  <r>
    <x v="49"/>
    <n v="2024"/>
    <x v="0"/>
    <x v="3"/>
    <s v="RX"/>
    <s v="Cannulae"/>
    <x v="49"/>
    <n v="0"/>
  </r>
  <r>
    <x v="49"/>
    <n v="2024"/>
    <x v="1"/>
    <x v="3"/>
    <s v="RX"/>
    <s v="Cannulae"/>
    <x v="49"/>
    <n v="0"/>
  </r>
  <r>
    <x v="49"/>
    <n v="2024"/>
    <x v="2"/>
    <x v="3"/>
    <s v="RX"/>
    <s v="Cannulae"/>
    <x v="49"/>
    <n v="0"/>
  </r>
  <r>
    <x v="49"/>
    <n v="2024"/>
    <x v="3"/>
    <x v="3"/>
    <s v="RX"/>
    <s v="Cannulae"/>
    <x v="49"/>
    <n v="0"/>
  </r>
  <r>
    <x v="49"/>
    <n v="2024"/>
    <x v="4"/>
    <x v="3"/>
    <s v="RX"/>
    <s v="Cannulae"/>
    <x v="49"/>
    <n v="0"/>
  </r>
  <r>
    <x v="49"/>
    <n v="2024"/>
    <x v="5"/>
    <x v="3"/>
    <s v="RX"/>
    <s v="Cannulae"/>
    <x v="49"/>
    <n v="0"/>
  </r>
  <r>
    <x v="49"/>
    <n v="2024"/>
    <x v="6"/>
    <x v="3"/>
    <s v="RX"/>
    <s v="Cannulae"/>
    <x v="49"/>
    <n v="0"/>
  </r>
  <r>
    <x v="49"/>
    <n v="2024"/>
    <x v="7"/>
    <x v="3"/>
    <s v="RX"/>
    <s v="Cannulae"/>
    <x v="49"/>
    <n v="0"/>
  </r>
  <r>
    <x v="49"/>
    <n v="2024"/>
    <x v="8"/>
    <x v="3"/>
    <s v="RX"/>
    <s v="Cannulae"/>
    <x v="49"/>
    <n v="0"/>
  </r>
  <r>
    <x v="49"/>
    <n v="2024"/>
    <x v="9"/>
    <x v="3"/>
    <s v="RX"/>
    <s v="Cannulae"/>
    <x v="49"/>
    <n v="0"/>
  </r>
  <r>
    <x v="49"/>
    <n v="2024"/>
    <x v="10"/>
    <x v="3"/>
    <s v="RX"/>
    <s v="Cannulae"/>
    <x v="49"/>
    <n v="0"/>
  </r>
  <r>
    <x v="49"/>
    <n v="2024"/>
    <x v="11"/>
    <x v="3"/>
    <s v="RX"/>
    <s v="Cannulae"/>
    <x v="49"/>
    <n v="0"/>
  </r>
  <r>
    <x v="50"/>
    <n v="2024"/>
    <x v="0"/>
    <x v="3"/>
    <s v="RX"/>
    <s v="Cannulae"/>
    <x v="50"/>
    <n v="0"/>
  </r>
  <r>
    <x v="50"/>
    <n v="2024"/>
    <x v="1"/>
    <x v="3"/>
    <s v="RX"/>
    <s v="Cannulae"/>
    <x v="50"/>
    <n v="0"/>
  </r>
  <r>
    <x v="50"/>
    <n v="2024"/>
    <x v="2"/>
    <x v="3"/>
    <s v="RX"/>
    <s v="Cannulae"/>
    <x v="50"/>
    <n v="0"/>
  </r>
  <r>
    <x v="50"/>
    <n v="2024"/>
    <x v="3"/>
    <x v="3"/>
    <s v="RX"/>
    <s v="Cannulae"/>
    <x v="50"/>
    <n v="0"/>
  </r>
  <r>
    <x v="50"/>
    <n v="2024"/>
    <x v="4"/>
    <x v="3"/>
    <s v="RX"/>
    <s v="Cannulae"/>
    <x v="50"/>
    <n v="0"/>
  </r>
  <r>
    <x v="50"/>
    <n v="2024"/>
    <x v="5"/>
    <x v="3"/>
    <s v="RX"/>
    <s v="Cannulae"/>
    <x v="50"/>
    <n v="0"/>
  </r>
  <r>
    <x v="50"/>
    <n v="2024"/>
    <x v="6"/>
    <x v="3"/>
    <s v="RX"/>
    <s v="Cannulae"/>
    <x v="50"/>
    <n v="0"/>
  </r>
  <r>
    <x v="50"/>
    <n v="2024"/>
    <x v="7"/>
    <x v="3"/>
    <s v="RX"/>
    <s v="Cannulae"/>
    <x v="50"/>
    <n v="0"/>
  </r>
  <r>
    <x v="50"/>
    <n v="2024"/>
    <x v="8"/>
    <x v="3"/>
    <s v="RX"/>
    <s v="Cannulae"/>
    <x v="50"/>
    <n v="0"/>
  </r>
  <r>
    <x v="50"/>
    <n v="2024"/>
    <x v="9"/>
    <x v="3"/>
    <s v="RX"/>
    <s v="Cannulae"/>
    <x v="50"/>
    <n v="0"/>
  </r>
  <r>
    <x v="50"/>
    <n v="2024"/>
    <x v="10"/>
    <x v="3"/>
    <s v="RX"/>
    <s v="Cannulae"/>
    <x v="50"/>
    <n v="0"/>
  </r>
  <r>
    <x v="50"/>
    <n v="2024"/>
    <x v="11"/>
    <x v="3"/>
    <s v="RX"/>
    <s v="Cannulae"/>
    <x v="50"/>
    <n v="0"/>
  </r>
  <r>
    <x v="51"/>
    <n v="2024"/>
    <x v="0"/>
    <x v="3"/>
    <s v="RX"/>
    <s v="Cannulae"/>
    <x v="51"/>
    <n v="0"/>
  </r>
  <r>
    <x v="51"/>
    <n v="2024"/>
    <x v="1"/>
    <x v="3"/>
    <s v="RX"/>
    <s v="Cannulae"/>
    <x v="51"/>
    <n v="0"/>
  </r>
  <r>
    <x v="51"/>
    <n v="2024"/>
    <x v="2"/>
    <x v="3"/>
    <s v="RX"/>
    <s v="Cannulae"/>
    <x v="51"/>
    <n v="0"/>
  </r>
  <r>
    <x v="51"/>
    <n v="2024"/>
    <x v="3"/>
    <x v="3"/>
    <s v="RX"/>
    <s v="Cannulae"/>
    <x v="51"/>
    <n v="0"/>
  </r>
  <r>
    <x v="51"/>
    <n v="2024"/>
    <x v="4"/>
    <x v="3"/>
    <s v="RX"/>
    <s v="Cannulae"/>
    <x v="51"/>
    <n v="0"/>
  </r>
  <r>
    <x v="51"/>
    <n v="2024"/>
    <x v="5"/>
    <x v="3"/>
    <s v="RX"/>
    <s v="Cannulae"/>
    <x v="51"/>
    <n v="0"/>
  </r>
  <r>
    <x v="51"/>
    <n v="2024"/>
    <x v="6"/>
    <x v="3"/>
    <s v="RX"/>
    <s v="Cannulae"/>
    <x v="51"/>
    <n v="0"/>
  </r>
  <r>
    <x v="51"/>
    <n v="2024"/>
    <x v="7"/>
    <x v="3"/>
    <s v="RX"/>
    <s v="Cannulae"/>
    <x v="51"/>
    <n v="0"/>
  </r>
  <r>
    <x v="51"/>
    <n v="2024"/>
    <x v="8"/>
    <x v="3"/>
    <s v="RX"/>
    <s v="Cannulae"/>
    <x v="51"/>
    <n v="0"/>
  </r>
  <r>
    <x v="51"/>
    <n v="2024"/>
    <x v="9"/>
    <x v="3"/>
    <s v="RX"/>
    <s v="Cannulae"/>
    <x v="51"/>
    <n v="0"/>
  </r>
  <r>
    <x v="51"/>
    <n v="2024"/>
    <x v="10"/>
    <x v="3"/>
    <s v="RX"/>
    <s v="Cannulae"/>
    <x v="51"/>
    <n v="0"/>
  </r>
  <r>
    <x v="51"/>
    <n v="2024"/>
    <x v="11"/>
    <x v="3"/>
    <s v="RX"/>
    <s v="Cannulae"/>
    <x v="51"/>
    <n v="0"/>
  </r>
  <r>
    <x v="52"/>
    <n v="2024"/>
    <x v="0"/>
    <x v="3"/>
    <s v="RX"/>
    <s v="Cannulae"/>
    <x v="52"/>
    <n v="0"/>
  </r>
  <r>
    <x v="52"/>
    <n v="2024"/>
    <x v="1"/>
    <x v="3"/>
    <s v="RX"/>
    <s v="Cannulae"/>
    <x v="52"/>
    <n v="0"/>
  </r>
  <r>
    <x v="52"/>
    <n v="2024"/>
    <x v="2"/>
    <x v="3"/>
    <s v="RX"/>
    <s v="Cannulae"/>
    <x v="52"/>
    <n v="0"/>
  </r>
  <r>
    <x v="52"/>
    <n v="2024"/>
    <x v="3"/>
    <x v="3"/>
    <s v="RX"/>
    <s v="Cannulae"/>
    <x v="52"/>
    <n v="0"/>
  </r>
  <r>
    <x v="52"/>
    <n v="2024"/>
    <x v="4"/>
    <x v="3"/>
    <s v="RX"/>
    <s v="Cannulae"/>
    <x v="52"/>
    <n v="0"/>
  </r>
  <r>
    <x v="52"/>
    <n v="2024"/>
    <x v="5"/>
    <x v="3"/>
    <s v="RX"/>
    <s v="Cannulae"/>
    <x v="52"/>
    <n v="0"/>
  </r>
  <r>
    <x v="52"/>
    <n v="2024"/>
    <x v="6"/>
    <x v="3"/>
    <s v="RX"/>
    <s v="Cannulae"/>
    <x v="52"/>
    <n v="0"/>
  </r>
  <r>
    <x v="52"/>
    <n v="2024"/>
    <x v="7"/>
    <x v="3"/>
    <s v="RX"/>
    <s v="Cannulae"/>
    <x v="52"/>
    <n v="0"/>
  </r>
  <r>
    <x v="52"/>
    <n v="2024"/>
    <x v="8"/>
    <x v="3"/>
    <s v="RX"/>
    <s v="Cannulae"/>
    <x v="52"/>
    <n v="0"/>
  </r>
  <r>
    <x v="52"/>
    <n v="2024"/>
    <x v="9"/>
    <x v="3"/>
    <s v="RX"/>
    <s v="Cannulae"/>
    <x v="52"/>
    <n v="0"/>
  </r>
  <r>
    <x v="52"/>
    <n v="2024"/>
    <x v="10"/>
    <x v="3"/>
    <s v="RX"/>
    <s v="Cannulae"/>
    <x v="52"/>
    <n v="0"/>
  </r>
  <r>
    <x v="52"/>
    <n v="2024"/>
    <x v="11"/>
    <x v="3"/>
    <s v="RX"/>
    <s v="Cannulae"/>
    <x v="52"/>
    <n v="0"/>
  </r>
  <r>
    <x v="53"/>
    <n v="2024"/>
    <x v="0"/>
    <x v="3"/>
    <s v="RX"/>
    <s v="Cannulae"/>
    <x v="53"/>
    <n v="0"/>
  </r>
  <r>
    <x v="53"/>
    <n v="2024"/>
    <x v="1"/>
    <x v="3"/>
    <s v="RX"/>
    <s v="Cannulae"/>
    <x v="53"/>
    <n v="0"/>
  </r>
  <r>
    <x v="53"/>
    <n v="2024"/>
    <x v="2"/>
    <x v="3"/>
    <s v="RX"/>
    <s v="Cannulae"/>
    <x v="53"/>
    <n v="0"/>
  </r>
  <r>
    <x v="53"/>
    <n v="2024"/>
    <x v="3"/>
    <x v="3"/>
    <s v="RX"/>
    <s v="Cannulae"/>
    <x v="53"/>
    <n v="0"/>
  </r>
  <r>
    <x v="53"/>
    <n v="2024"/>
    <x v="4"/>
    <x v="3"/>
    <s v="RX"/>
    <s v="Cannulae"/>
    <x v="53"/>
    <n v="0"/>
  </r>
  <r>
    <x v="53"/>
    <n v="2024"/>
    <x v="5"/>
    <x v="3"/>
    <s v="RX"/>
    <s v="Cannulae"/>
    <x v="53"/>
    <n v="0"/>
  </r>
  <r>
    <x v="53"/>
    <n v="2024"/>
    <x v="6"/>
    <x v="3"/>
    <s v="RX"/>
    <s v="Cannulae"/>
    <x v="53"/>
    <n v="0"/>
  </r>
  <r>
    <x v="53"/>
    <n v="2024"/>
    <x v="7"/>
    <x v="3"/>
    <s v="RX"/>
    <s v="Cannulae"/>
    <x v="53"/>
    <n v="0"/>
  </r>
  <r>
    <x v="53"/>
    <n v="2024"/>
    <x v="8"/>
    <x v="3"/>
    <s v="RX"/>
    <s v="Cannulae"/>
    <x v="53"/>
    <n v="0"/>
  </r>
  <r>
    <x v="53"/>
    <n v="2024"/>
    <x v="9"/>
    <x v="3"/>
    <s v="RX"/>
    <s v="Cannulae"/>
    <x v="53"/>
    <n v="0"/>
  </r>
  <r>
    <x v="53"/>
    <n v="2024"/>
    <x v="10"/>
    <x v="3"/>
    <s v="RX"/>
    <s v="Cannulae"/>
    <x v="53"/>
    <n v="0"/>
  </r>
  <r>
    <x v="53"/>
    <n v="2024"/>
    <x v="11"/>
    <x v="3"/>
    <s v="RX"/>
    <s v="Cannulae"/>
    <x v="53"/>
    <n v="0"/>
  </r>
  <r>
    <x v="54"/>
    <n v="2024"/>
    <x v="0"/>
    <x v="3"/>
    <s v="RX"/>
    <s v="Cannulae"/>
    <x v="54"/>
    <n v="0"/>
  </r>
  <r>
    <x v="54"/>
    <n v="2024"/>
    <x v="1"/>
    <x v="3"/>
    <s v="RX"/>
    <s v="Cannulae"/>
    <x v="54"/>
    <n v="0"/>
  </r>
  <r>
    <x v="54"/>
    <n v="2024"/>
    <x v="2"/>
    <x v="3"/>
    <s v="RX"/>
    <s v="Cannulae"/>
    <x v="54"/>
    <n v="0"/>
  </r>
  <r>
    <x v="54"/>
    <n v="2024"/>
    <x v="3"/>
    <x v="3"/>
    <s v="RX"/>
    <s v="Cannulae"/>
    <x v="54"/>
    <n v="0"/>
  </r>
  <r>
    <x v="54"/>
    <n v="2024"/>
    <x v="4"/>
    <x v="3"/>
    <s v="RX"/>
    <s v="Cannulae"/>
    <x v="54"/>
    <n v="0"/>
  </r>
  <r>
    <x v="54"/>
    <n v="2024"/>
    <x v="5"/>
    <x v="3"/>
    <s v="RX"/>
    <s v="Cannulae"/>
    <x v="54"/>
    <n v="0"/>
  </r>
  <r>
    <x v="54"/>
    <n v="2024"/>
    <x v="6"/>
    <x v="3"/>
    <s v="RX"/>
    <s v="Cannulae"/>
    <x v="54"/>
    <n v="0"/>
  </r>
  <r>
    <x v="54"/>
    <n v="2024"/>
    <x v="7"/>
    <x v="3"/>
    <s v="RX"/>
    <s v="Cannulae"/>
    <x v="54"/>
    <n v="0"/>
  </r>
  <r>
    <x v="54"/>
    <n v="2024"/>
    <x v="8"/>
    <x v="3"/>
    <s v="RX"/>
    <s v="Cannulae"/>
    <x v="54"/>
    <n v="0"/>
  </r>
  <r>
    <x v="54"/>
    <n v="2024"/>
    <x v="9"/>
    <x v="3"/>
    <s v="RX"/>
    <s v="Cannulae"/>
    <x v="54"/>
    <n v="0"/>
  </r>
  <r>
    <x v="54"/>
    <n v="2024"/>
    <x v="10"/>
    <x v="3"/>
    <s v="RX"/>
    <s v="Cannulae"/>
    <x v="54"/>
    <n v="0"/>
  </r>
  <r>
    <x v="54"/>
    <n v="2024"/>
    <x v="11"/>
    <x v="3"/>
    <s v="RX"/>
    <s v="Cannulae"/>
    <x v="54"/>
    <n v="0"/>
  </r>
  <r>
    <x v="55"/>
    <n v="2024"/>
    <x v="0"/>
    <x v="3"/>
    <s v="RX"/>
    <s v="Cannulae"/>
    <x v="55"/>
    <n v="0"/>
  </r>
  <r>
    <x v="55"/>
    <n v="2024"/>
    <x v="1"/>
    <x v="3"/>
    <s v="RX"/>
    <s v="Cannulae"/>
    <x v="55"/>
    <n v="0"/>
  </r>
  <r>
    <x v="55"/>
    <n v="2024"/>
    <x v="2"/>
    <x v="3"/>
    <s v="RX"/>
    <s v="Cannulae"/>
    <x v="55"/>
    <n v="0"/>
  </r>
  <r>
    <x v="55"/>
    <n v="2024"/>
    <x v="3"/>
    <x v="3"/>
    <s v="RX"/>
    <s v="Cannulae"/>
    <x v="55"/>
    <n v="0"/>
  </r>
  <r>
    <x v="55"/>
    <n v="2024"/>
    <x v="4"/>
    <x v="3"/>
    <s v="RX"/>
    <s v="Cannulae"/>
    <x v="55"/>
    <n v="0"/>
  </r>
  <r>
    <x v="55"/>
    <n v="2024"/>
    <x v="5"/>
    <x v="3"/>
    <s v="RX"/>
    <s v="Cannulae"/>
    <x v="55"/>
    <n v="0"/>
  </r>
  <r>
    <x v="55"/>
    <n v="2024"/>
    <x v="6"/>
    <x v="3"/>
    <s v="RX"/>
    <s v="Cannulae"/>
    <x v="55"/>
    <n v="0"/>
  </r>
  <r>
    <x v="55"/>
    <n v="2024"/>
    <x v="7"/>
    <x v="3"/>
    <s v="RX"/>
    <s v="Cannulae"/>
    <x v="55"/>
    <n v="0"/>
  </r>
  <r>
    <x v="55"/>
    <n v="2024"/>
    <x v="8"/>
    <x v="3"/>
    <s v="RX"/>
    <s v="Cannulae"/>
    <x v="55"/>
    <n v="0"/>
  </r>
  <r>
    <x v="55"/>
    <n v="2024"/>
    <x v="9"/>
    <x v="3"/>
    <s v="RX"/>
    <s v="Cannulae"/>
    <x v="55"/>
    <n v="0"/>
  </r>
  <r>
    <x v="55"/>
    <n v="2024"/>
    <x v="10"/>
    <x v="3"/>
    <s v="RX"/>
    <s v="Cannulae"/>
    <x v="55"/>
    <n v="0"/>
  </r>
  <r>
    <x v="55"/>
    <n v="2024"/>
    <x v="11"/>
    <x v="3"/>
    <s v="RX"/>
    <s v="Cannulae"/>
    <x v="55"/>
    <n v="0"/>
  </r>
  <r>
    <x v="56"/>
    <n v="2024"/>
    <x v="0"/>
    <x v="3"/>
    <s v="RX"/>
    <s v="Cannulae"/>
    <x v="56"/>
    <n v="0"/>
  </r>
  <r>
    <x v="56"/>
    <n v="2024"/>
    <x v="1"/>
    <x v="3"/>
    <s v="RX"/>
    <s v="Cannulae"/>
    <x v="56"/>
    <n v="0"/>
  </r>
  <r>
    <x v="56"/>
    <n v="2024"/>
    <x v="2"/>
    <x v="3"/>
    <s v="RX"/>
    <s v="Cannulae"/>
    <x v="56"/>
    <n v="0"/>
  </r>
  <r>
    <x v="56"/>
    <n v="2024"/>
    <x v="3"/>
    <x v="3"/>
    <s v="RX"/>
    <s v="Cannulae"/>
    <x v="56"/>
    <n v="0"/>
  </r>
  <r>
    <x v="56"/>
    <n v="2024"/>
    <x v="4"/>
    <x v="3"/>
    <s v="RX"/>
    <s v="Cannulae"/>
    <x v="56"/>
    <n v="0"/>
  </r>
  <r>
    <x v="56"/>
    <n v="2024"/>
    <x v="5"/>
    <x v="3"/>
    <s v="RX"/>
    <s v="Cannulae"/>
    <x v="56"/>
    <n v="0"/>
  </r>
  <r>
    <x v="56"/>
    <n v="2024"/>
    <x v="6"/>
    <x v="3"/>
    <s v="RX"/>
    <s v="Cannulae"/>
    <x v="56"/>
    <n v="0"/>
  </r>
  <r>
    <x v="56"/>
    <n v="2024"/>
    <x v="7"/>
    <x v="3"/>
    <s v="RX"/>
    <s v="Cannulae"/>
    <x v="56"/>
    <n v="0"/>
  </r>
  <r>
    <x v="56"/>
    <n v="2024"/>
    <x v="8"/>
    <x v="3"/>
    <s v="RX"/>
    <s v="Cannulae"/>
    <x v="56"/>
    <n v="0"/>
  </r>
  <r>
    <x v="56"/>
    <n v="2024"/>
    <x v="9"/>
    <x v="3"/>
    <s v="RX"/>
    <s v="Cannulae"/>
    <x v="56"/>
    <n v="0"/>
  </r>
  <r>
    <x v="56"/>
    <n v="2024"/>
    <x v="10"/>
    <x v="3"/>
    <s v="RX"/>
    <s v="Cannulae"/>
    <x v="56"/>
    <n v="0"/>
  </r>
  <r>
    <x v="56"/>
    <n v="2024"/>
    <x v="11"/>
    <x v="3"/>
    <s v="RX"/>
    <s v="Cannulae"/>
    <x v="56"/>
    <n v="0"/>
  </r>
  <r>
    <x v="57"/>
    <n v="2024"/>
    <x v="0"/>
    <x v="3"/>
    <s v="RX"/>
    <s v="Dilators"/>
    <x v="57"/>
    <n v="0"/>
  </r>
  <r>
    <x v="57"/>
    <n v="2024"/>
    <x v="1"/>
    <x v="3"/>
    <s v="RX"/>
    <s v="Dilators"/>
    <x v="57"/>
    <n v="0"/>
  </r>
  <r>
    <x v="57"/>
    <n v="2024"/>
    <x v="2"/>
    <x v="3"/>
    <s v="RX"/>
    <s v="Dilators"/>
    <x v="57"/>
    <n v="0"/>
  </r>
  <r>
    <x v="57"/>
    <n v="2024"/>
    <x v="3"/>
    <x v="3"/>
    <s v="RX"/>
    <s v="Dilators"/>
    <x v="57"/>
    <n v="0"/>
  </r>
  <r>
    <x v="57"/>
    <n v="2024"/>
    <x v="4"/>
    <x v="3"/>
    <s v="RX"/>
    <s v="Dilators"/>
    <x v="57"/>
    <n v="0"/>
  </r>
  <r>
    <x v="57"/>
    <n v="2024"/>
    <x v="5"/>
    <x v="3"/>
    <s v="RX"/>
    <s v="Dilators"/>
    <x v="57"/>
    <n v="0"/>
  </r>
  <r>
    <x v="57"/>
    <n v="2024"/>
    <x v="6"/>
    <x v="3"/>
    <s v="RX"/>
    <s v="Dilators"/>
    <x v="57"/>
    <n v="0"/>
  </r>
  <r>
    <x v="57"/>
    <n v="2024"/>
    <x v="7"/>
    <x v="3"/>
    <s v="RX"/>
    <s v="Dilators"/>
    <x v="57"/>
    <n v="0"/>
  </r>
  <r>
    <x v="57"/>
    <n v="2024"/>
    <x v="8"/>
    <x v="3"/>
    <s v="RX"/>
    <s v="Dilators"/>
    <x v="57"/>
    <n v="0"/>
  </r>
  <r>
    <x v="57"/>
    <n v="2024"/>
    <x v="9"/>
    <x v="3"/>
    <s v="RX"/>
    <s v="Dilators"/>
    <x v="57"/>
    <n v="0"/>
  </r>
  <r>
    <x v="57"/>
    <n v="2024"/>
    <x v="10"/>
    <x v="3"/>
    <s v="RX"/>
    <s v="Dilators"/>
    <x v="57"/>
    <n v="0"/>
  </r>
  <r>
    <x v="57"/>
    <n v="2024"/>
    <x v="11"/>
    <x v="3"/>
    <s v="RX"/>
    <s v="Dilators"/>
    <x v="57"/>
    <n v="0"/>
  </r>
  <r>
    <x v="58"/>
    <n v="2024"/>
    <x v="0"/>
    <x v="3"/>
    <s v="RX"/>
    <s v="IUDs Cu &amp; IUS &amp; IUB"/>
    <x v="58"/>
    <n v="0"/>
  </r>
  <r>
    <x v="58"/>
    <n v="2024"/>
    <x v="1"/>
    <x v="3"/>
    <s v="RX"/>
    <s v="IUDs Cu &amp; IUS &amp; IUB"/>
    <x v="58"/>
    <n v="0"/>
  </r>
  <r>
    <x v="58"/>
    <n v="2024"/>
    <x v="2"/>
    <x v="3"/>
    <s v="RX"/>
    <s v="IUDs Cu &amp; IUS &amp; IUB"/>
    <x v="58"/>
    <n v="0"/>
  </r>
  <r>
    <x v="58"/>
    <n v="2024"/>
    <x v="3"/>
    <x v="3"/>
    <s v="RX"/>
    <s v="IUDs Cu &amp; IUS &amp; IUB"/>
    <x v="58"/>
    <n v="0"/>
  </r>
  <r>
    <x v="58"/>
    <n v="2024"/>
    <x v="4"/>
    <x v="3"/>
    <s v="RX"/>
    <s v="IUDs Cu &amp; IUS &amp; IUB"/>
    <x v="58"/>
    <n v="0"/>
  </r>
  <r>
    <x v="58"/>
    <n v="2024"/>
    <x v="5"/>
    <x v="3"/>
    <s v="RX"/>
    <s v="IUDs Cu &amp; IUS &amp; IUB"/>
    <x v="58"/>
    <n v="0"/>
  </r>
  <r>
    <x v="58"/>
    <n v="2024"/>
    <x v="6"/>
    <x v="3"/>
    <s v="RX"/>
    <s v="IUDs Cu &amp; IUS &amp; IUB"/>
    <x v="58"/>
    <n v="0"/>
  </r>
  <r>
    <x v="58"/>
    <n v="2024"/>
    <x v="7"/>
    <x v="3"/>
    <s v="RX"/>
    <s v="IUDs Cu &amp; IUS &amp; IUB"/>
    <x v="58"/>
    <n v="0"/>
  </r>
  <r>
    <x v="58"/>
    <n v="2024"/>
    <x v="8"/>
    <x v="3"/>
    <s v="RX"/>
    <s v="IUDs Cu &amp; IUS &amp; IUB"/>
    <x v="58"/>
    <n v="0"/>
  </r>
  <r>
    <x v="58"/>
    <n v="2024"/>
    <x v="9"/>
    <x v="3"/>
    <s v="RX"/>
    <s v="IUDs Cu &amp; IUS &amp; IUB"/>
    <x v="58"/>
    <n v="0"/>
  </r>
  <r>
    <x v="58"/>
    <n v="2024"/>
    <x v="10"/>
    <x v="3"/>
    <s v="RX"/>
    <s v="IUDs Cu &amp; IUS &amp; IUB"/>
    <x v="58"/>
    <n v="0"/>
  </r>
  <r>
    <x v="58"/>
    <n v="2024"/>
    <x v="11"/>
    <x v="3"/>
    <s v="RX"/>
    <s v="IUDs Cu &amp; IUS &amp; IUB"/>
    <x v="58"/>
    <n v="0"/>
  </r>
  <r>
    <x v="59"/>
    <n v="2024"/>
    <x v="0"/>
    <x v="3"/>
    <s v="RX"/>
    <s v="IUDs Cu &amp; IUS &amp; IUB"/>
    <x v="59"/>
    <n v="0"/>
  </r>
  <r>
    <x v="59"/>
    <n v="2024"/>
    <x v="1"/>
    <x v="3"/>
    <s v="RX"/>
    <s v="IUDs Cu &amp; IUS &amp; IUB"/>
    <x v="59"/>
    <n v="0"/>
  </r>
  <r>
    <x v="59"/>
    <n v="2024"/>
    <x v="2"/>
    <x v="3"/>
    <s v="RX"/>
    <s v="IUDs Cu &amp; IUS &amp; IUB"/>
    <x v="59"/>
    <n v="0"/>
  </r>
  <r>
    <x v="59"/>
    <n v="2024"/>
    <x v="3"/>
    <x v="3"/>
    <s v="RX"/>
    <s v="IUDs Cu &amp; IUS &amp; IUB"/>
    <x v="59"/>
    <n v="0"/>
  </r>
  <r>
    <x v="59"/>
    <n v="2024"/>
    <x v="4"/>
    <x v="3"/>
    <s v="RX"/>
    <s v="IUDs Cu &amp; IUS &amp; IUB"/>
    <x v="59"/>
    <n v="0"/>
  </r>
  <r>
    <x v="59"/>
    <n v="2024"/>
    <x v="5"/>
    <x v="3"/>
    <s v="RX"/>
    <s v="IUDs Cu &amp; IUS &amp; IUB"/>
    <x v="59"/>
    <n v="0"/>
  </r>
  <r>
    <x v="59"/>
    <n v="2024"/>
    <x v="6"/>
    <x v="3"/>
    <s v="RX"/>
    <s v="IUDs Cu &amp; IUS &amp; IUB"/>
    <x v="59"/>
    <n v="0"/>
  </r>
  <r>
    <x v="59"/>
    <n v="2024"/>
    <x v="7"/>
    <x v="3"/>
    <s v="RX"/>
    <s v="IUDs Cu &amp; IUS &amp; IUB"/>
    <x v="59"/>
    <n v="0"/>
  </r>
  <r>
    <x v="59"/>
    <n v="2024"/>
    <x v="8"/>
    <x v="3"/>
    <s v="RX"/>
    <s v="IUDs Cu &amp; IUS &amp; IUB"/>
    <x v="59"/>
    <n v="0"/>
  </r>
  <r>
    <x v="59"/>
    <n v="2024"/>
    <x v="9"/>
    <x v="3"/>
    <s v="RX"/>
    <s v="IUDs Cu &amp; IUS &amp; IUB"/>
    <x v="59"/>
    <n v="0"/>
  </r>
  <r>
    <x v="59"/>
    <n v="2024"/>
    <x v="10"/>
    <x v="3"/>
    <s v="RX"/>
    <s v="IUDs Cu &amp; IUS &amp; IUB"/>
    <x v="59"/>
    <n v="0"/>
  </r>
  <r>
    <x v="59"/>
    <n v="2024"/>
    <x v="11"/>
    <x v="3"/>
    <s v="RX"/>
    <s v="IUDs Cu &amp; IUS &amp; IUB"/>
    <x v="59"/>
    <n v="0"/>
  </r>
  <r>
    <x v="60"/>
    <n v="2024"/>
    <x v="0"/>
    <x v="3"/>
    <s v="RX"/>
    <s v="IUDs Cu &amp; IUS &amp; IUB"/>
    <x v="60"/>
    <n v="0"/>
  </r>
  <r>
    <x v="60"/>
    <n v="2024"/>
    <x v="1"/>
    <x v="3"/>
    <s v="RX"/>
    <s v="IUDs Cu &amp; IUS &amp; IUB"/>
    <x v="60"/>
    <n v="0"/>
  </r>
  <r>
    <x v="60"/>
    <n v="2024"/>
    <x v="2"/>
    <x v="3"/>
    <s v="RX"/>
    <s v="IUDs Cu &amp; IUS &amp; IUB"/>
    <x v="60"/>
    <n v="0"/>
  </r>
  <r>
    <x v="60"/>
    <n v="2024"/>
    <x v="3"/>
    <x v="3"/>
    <s v="RX"/>
    <s v="IUDs Cu &amp; IUS &amp; IUB"/>
    <x v="60"/>
    <n v="0"/>
  </r>
  <r>
    <x v="60"/>
    <n v="2024"/>
    <x v="4"/>
    <x v="3"/>
    <s v="RX"/>
    <s v="IUDs Cu &amp; IUS &amp; IUB"/>
    <x v="60"/>
    <n v="0"/>
  </r>
  <r>
    <x v="60"/>
    <n v="2024"/>
    <x v="5"/>
    <x v="3"/>
    <s v="RX"/>
    <s v="IUDs Cu &amp; IUS &amp; IUB"/>
    <x v="60"/>
    <n v="0"/>
  </r>
  <r>
    <x v="60"/>
    <n v="2024"/>
    <x v="6"/>
    <x v="3"/>
    <s v="RX"/>
    <s v="IUDs Cu &amp; IUS &amp; IUB"/>
    <x v="60"/>
    <n v="0"/>
  </r>
  <r>
    <x v="60"/>
    <n v="2024"/>
    <x v="7"/>
    <x v="3"/>
    <s v="RX"/>
    <s v="IUDs Cu &amp; IUS &amp; IUB"/>
    <x v="60"/>
    <n v="0"/>
  </r>
  <r>
    <x v="60"/>
    <n v="2024"/>
    <x v="8"/>
    <x v="3"/>
    <s v="RX"/>
    <s v="IUDs Cu &amp; IUS &amp; IUB"/>
    <x v="60"/>
    <n v="0"/>
  </r>
  <r>
    <x v="60"/>
    <n v="2024"/>
    <x v="9"/>
    <x v="3"/>
    <s v="RX"/>
    <s v="IUDs Cu &amp; IUS &amp; IUB"/>
    <x v="60"/>
    <n v="0"/>
  </r>
  <r>
    <x v="60"/>
    <n v="2024"/>
    <x v="10"/>
    <x v="3"/>
    <s v="RX"/>
    <s v="IUDs Cu &amp; IUS &amp; IUB"/>
    <x v="60"/>
    <n v="0"/>
  </r>
  <r>
    <x v="60"/>
    <n v="2024"/>
    <x v="11"/>
    <x v="3"/>
    <s v="RX"/>
    <s v="IUDs Cu &amp; IUS &amp; IUB"/>
    <x v="60"/>
    <n v="0"/>
  </r>
  <r>
    <x v="61"/>
    <n v="2024"/>
    <x v="0"/>
    <x v="3"/>
    <s v="RX"/>
    <s v="IUDs Cu &amp; IUS &amp; IUB"/>
    <x v="61"/>
    <n v="0"/>
  </r>
  <r>
    <x v="61"/>
    <n v="2024"/>
    <x v="1"/>
    <x v="3"/>
    <s v="RX"/>
    <s v="IUDs Cu &amp; IUS &amp; IUB"/>
    <x v="61"/>
    <n v="0"/>
  </r>
  <r>
    <x v="61"/>
    <n v="2024"/>
    <x v="2"/>
    <x v="3"/>
    <s v="RX"/>
    <s v="IUDs Cu &amp; IUS &amp; IUB"/>
    <x v="61"/>
    <n v="0"/>
  </r>
  <r>
    <x v="61"/>
    <n v="2024"/>
    <x v="3"/>
    <x v="3"/>
    <s v="RX"/>
    <s v="IUDs Cu &amp; IUS &amp; IUB"/>
    <x v="61"/>
    <n v="0"/>
  </r>
  <r>
    <x v="61"/>
    <n v="2024"/>
    <x v="4"/>
    <x v="3"/>
    <s v="RX"/>
    <s v="IUDs Cu &amp; IUS &amp; IUB"/>
    <x v="61"/>
    <n v="0"/>
  </r>
  <r>
    <x v="61"/>
    <n v="2024"/>
    <x v="5"/>
    <x v="3"/>
    <s v="RX"/>
    <s v="IUDs Cu &amp; IUS &amp; IUB"/>
    <x v="61"/>
    <n v="0"/>
  </r>
  <r>
    <x v="61"/>
    <n v="2024"/>
    <x v="6"/>
    <x v="3"/>
    <s v="RX"/>
    <s v="IUDs Cu &amp; IUS &amp; IUB"/>
    <x v="61"/>
    <n v="0"/>
  </r>
  <r>
    <x v="61"/>
    <n v="2024"/>
    <x v="7"/>
    <x v="3"/>
    <s v="RX"/>
    <s v="IUDs Cu &amp; IUS &amp; IUB"/>
    <x v="61"/>
    <n v="0"/>
  </r>
  <r>
    <x v="61"/>
    <n v="2024"/>
    <x v="8"/>
    <x v="3"/>
    <s v="RX"/>
    <s v="IUDs Cu &amp; IUS &amp; IUB"/>
    <x v="61"/>
    <n v="0"/>
  </r>
  <r>
    <x v="61"/>
    <n v="2024"/>
    <x v="9"/>
    <x v="3"/>
    <s v="RX"/>
    <s v="IUDs Cu &amp; IUS &amp; IUB"/>
    <x v="61"/>
    <n v="0"/>
  </r>
  <r>
    <x v="61"/>
    <n v="2024"/>
    <x v="10"/>
    <x v="3"/>
    <s v="RX"/>
    <s v="IUDs Cu &amp; IUS &amp; IUB"/>
    <x v="61"/>
    <n v="0"/>
  </r>
  <r>
    <x v="61"/>
    <n v="2024"/>
    <x v="11"/>
    <x v="3"/>
    <s v="RX"/>
    <s v="IUDs Cu &amp; IUS &amp; IUB"/>
    <x v="61"/>
    <n v="0"/>
  </r>
  <r>
    <x v="62"/>
    <n v="2024"/>
    <x v="0"/>
    <x v="3"/>
    <s v="RX"/>
    <s v="IUDs Cu &amp; IUS &amp; IUB"/>
    <x v="62"/>
    <n v="0"/>
  </r>
  <r>
    <x v="62"/>
    <n v="2024"/>
    <x v="1"/>
    <x v="3"/>
    <s v="RX"/>
    <s v="IUDs Cu &amp; IUS &amp; IUB"/>
    <x v="62"/>
    <n v="0"/>
  </r>
  <r>
    <x v="62"/>
    <n v="2024"/>
    <x v="2"/>
    <x v="3"/>
    <s v="RX"/>
    <s v="IUDs Cu &amp; IUS &amp; IUB"/>
    <x v="62"/>
    <n v="0"/>
  </r>
  <r>
    <x v="62"/>
    <n v="2024"/>
    <x v="3"/>
    <x v="3"/>
    <s v="RX"/>
    <s v="IUDs Cu &amp; IUS &amp; IUB"/>
    <x v="62"/>
    <n v="0"/>
  </r>
  <r>
    <x v="62"/>
    <n v="2024"/>
    <x v="4"/>
    <x v="3"/>
    <s v="RX"/>
    <s v="IUDs Cu &amp; IUS &amp; IUB"/>
    <x v="62"/>
    <n v="0"/>
  </r>
  <r>
    <x v="62"/>
    <n v="2024"/>
    <x v="5"/>
    <x v="3"/>
    <s v="RX"/>
    <s v="IUDs Cu &amp; IUS &amp; IUB"/>
    <x v="62"/>
    <n v="0"/>
  </r>
  <r>
    <x v="62"/>
    <n v="2024"/>
    <x v="6"/>
    <x v="3"/>
    <s v="RX"/>
    <s v="IUDs Cu &amp; IUS &amp; IUB"/>
    <x v="62"/>
    <n v="0"/>
  </r>
  <r>
    <x v="62"/>
    <n v="2024"/>
    <x v="7"/>
    <x v="3"/>
    <s v="RX"/>
    <s v="IUDs Cu &amp; IUS &amp; IUB"/>
    <x v="62"/>
    <n v="0"/>
  </r>
  <r>
    <x v="62"/>
    <n v="2024"/>
    <x v="8"/>
    <x v="3"/>
    <s v="RX"/>
    <s v="IUDs Cu &amp; IUS &amp; IUB"/>
    <x v="62"/>
    <n v="0"/>
  </r>
  <r>
    <x v="62"/>
    <n v="2024"/>
    <x v="9"/>
    <x v="3"/>
    <s v="RX"/>
    <s v="IUDs Cu &amp; IUS &amp; IUB"/>
    <x v="62"/>
    <n v="0"/>
  </r>
  <r>
    <x v="62"/>
    <n v="2024"/>
    <x v="10"/>
    <x v="3"/>
    <s v="RX"/>
    <s v="IUDs Cu &amp; IUS &amp; IUB"/>
    <x v="62"/>
    <n v="0"/>
  </r>
  <r>
    <x v="62"/>
    <n v="2024"/>
    <x v="11"/>
    <x v="3"/>
    <s v="RX"/>
    <s v="IUDs Cu &amp; IUS &amp; IUB"/>
    <x v="62"/>
    <n v="0"/>
  </r>
  <r>
    <x v="63"/>
    <n v="2024"/>
    <x v="0"/>
    <x v="3"/>
    <s v="RX"/>
    <s v="IUDs Cu &amp; IUS &amp; IUB"/>
    <x v="63"/>
    <n v="0"/>
  </r>
  <r>
    <x v="63"/>
    <n v="2024"/>
    <x v="1"/>
    <x v="3"/>
    <s v="RX"/>
    <s v="IUDs Cu &amp; IUS &amp; IUB"/>
    <x v="63"/>
    <n v="0"/>
  </r>
  <r>
    <x v="63"/>
    <n v="2024"/>
    <x v="2"/>
    <x v="3"/>
    <s v="RX"/>
    <s v="IUDs Cu &amp; IUS &amp; IUB"/>
    <x v="63"/>
    <n v="0"/>
  </r>
  <r>
    <x v="63"/>
    <n v="2024"/>
    <x v="3"/>
    <x v="3"/>
    <s v="RX"/>
    <s v="IUDs Cu &amp; IUS &amp; IUB"/>
    <x v="63"/>
    <n v="0"/>
  </r>
  <r>
    <x v="63"/>
    <n v="2024"/>
    <x v="4"/>
    <x v="3"/>
    <s v="RX"/>
    <s v="IUDs Cu &amp; IUS &amp; IUB"/>
    <x v="63"/>
    <n v="0"/>
  </r>
  <r>
    <x v="63"/>
    <n v="2024"/>
    <x v="5"/>
    <x v="3"/>
    <s v="RX"/>
    <s v="IUDs Cu &amp; IUS &amp; IUB"/>
    <x v="63"/>
    <n v="0"/>
  </r>
  <r>
    <x v="63"/>
    <n v="2024"/>
    <x v="6"/>
    <x v="3"/>
    <s v="RX"/>
    <s v="IUDs Cu &amp; IUS &amp; IUB"/>
    <x v="63"/>
    <n v="0"/>
  </r>
  <r>
    <x v="63"/>
    <n v="2024"/>
    <x v="7"/>
    <x v="3"/>
    <s v="RX"/>
    <s v="IUDs Cu &amp; IUS &amp; IUB"/>
    <x v="63"/>
    <n v="0"/>
  </r>
  <r>
    <x v="63"/>
    <n v="2024"/>
    <x v="8"/>
    <x v="3"/>
    <s v="RX"/>
    <s v="IUDs Cu &amp; IUS &amp; IUB"/>
    <x v="63"/>
    <n v="0"/>
  </r>
  <r>
    <x v="63"/>
    <n v="2024"/>
    <x v="9"/>
    <x v="3"/>
    <s v="RX"/>
    <s v="IUDs Cu &amp; IUS &amp; IUB"/>
    <x v="63"/>
    <n v="0"/>
  </r>
  <r>
    <x v="63"/>
    <n v="2024"/>
    <x v="10"/>
    <x v="3"/>
    <s v="RX"/>
    <s v="IUDs Cu &amp; IUS &amp; IUB"/>
    <x v="63"/>
    <n v="0"/>
  </r>
  <r>
    <x v="63"/>
    <n v="2024"/>
    <x v="11"/>
    <x v="3"/>
    <s v="RX"/>
    <s v="IUDs Cu &amp; IUS &amp; IUB"/>
    <x v="63"/>
    <n v="0"/>
  </r>
  <r>
    <x v="64"/>
    <n v="2024"/>
    <x v="0"/>
    <x v="3"/>
    <s v="RX"/>
    <s v="Hysterometer"/>
    <x v="64"/>
    <n v="0"/>
  </r>
  <r>
    <x v="64"/>
    <n v="2024"/>
    <x v="1"/>
    <x v="3"/>
    <s v="RX"/>
    <s v="Hysterometer"/>
    <x v="64"/>
    <n v="0"/>
  </r>
  <r>
    <x v="64"/>
    <n v="2024"/>
    <x v="2"/>
    <x v="3"/>
    <s v="RX"/>
    <s v="Hysterometer"/>
    <x v="64"/>
    <n v="0"/>
  </r>
  <r>
    <x v="64"/>
    <n v="2024"/>
    <x v="3"/>
    <x v="3"/>
    <s v="RX"/>
    <s v="Hysterometer"/>
    <x v="64"/>
    <n v="0"/>
  </r>
  <r>
    <x v="64"/>
    <n v="2024"/>
    <x v="4"/>
    <x v="3"/>
    <s v="RX"/>
    <s v="Hysterometer"/>
    <x v="64"/>
    <n v="0"/>
  </r>
  <r>
    <x v="64"/>
    <n v="2024"/>
    <x v="5"/>
    <x v="3"/>
    <s v="RX"/>
    <s v="Hysterometer"/>
    <x v="64"/>
    <n v="0"/>
  </r>
  <r>
    <x v="64"/>
    <n v="2024"/>
    <x v="6"/>
    <x v="3"/>
    <s v="RX"/>
    <s v="Hysterometer"/>
    <x v="64"/>
    <n v="0"/>
  </r>
  <r>
    <x v="64"/>
    <n v="2024"/>
    <x v="7"/>
    <x v="3"/>
    <s v="RX"/>
    <s v="Hysterometer"/>
    <x v="64"/>
    <n v="0"/>
  </r>
  <r>
    <x v="64"/>
    <n v="2024"/>
    <x v="8"/>
    <x v="3"/>
    <s v="RX"/>
    <s v="Hysterometer"/>
    <x v="64"/>
    <n v="0"/>
  </r>
  <r>
    <x v="64"/>
    <n v="2024"/>
    <x v="9"/>
    <x v="3"/>
    <s v="RX"/>
    <s v="Hysterometer"/>
    <x v="64"/>
    <n v="0"/>
  </r>
  <r>
    <x v="64"/>
    <n v="2024"/>
    <x v="10"/>
    <x v="3"/>
    <s v="RX"/>
    <s v="Hysterometer"/>
    <x v="64"/>
    <n v="0"/>
  </r>
  <r>
    <x v="64"/>
    <n v="2024"/>
    <x v="11"/>
    <x v="3"/>
    <s v="RX"/>
    <s v="Hysterometer"/>
    <x v="64"/>
    <n v="0"/>
  </r>
  <r>
    <x v="65"/>
    <n v="2024"/>
    <x v="0"/>
    <x v="3"/>
    <s v="RX"/>
    <s v="Injetable"/>
    <x v="65"/>
    <n v="0"/>
  </r>
  <r>
    <x v="65"/>
    <n v="2024"/>
    <x v="1"/>
    <x v="3"/>
    <s v="RX"/>
    <s v="Injetable"/>
    <x v="65"/>
    <n v="0"/>
  </r>
  <r>
    <x v="65"/>
    <n v="2024"/>
    <x v="2"/>
    <x v="3"/>
    <s v="RX"/>
    <s v="Injetable"/>
    <x v="65"/>
    <n v="0"/>
  </r>
  <r>
    <x v="65"/>
    <n v="2024"/>
    <x v="3"/>
    <x v="3"/>
    <s v="RX"/>
    <s v="Injetable"/>
    <x v="65"/>
    <n v="0"/>
  </r>
  <r>
    <x v="65"/>
    <n v="2024"/>
    <x v="4"/>
    <x v="3"/>
    <s v="RX"/>
    <s v="Injetable"/>
    <x v="65"/>
    <n v="0"/>
  </r>
  <r>
    <x v="65"/>
    <n v="2024"/>
    <x v="5"/>
    <x v="3"/>
    <s v="RX"/>
    <s v="Injetable"/>
    <x v="65"/>
    <n v="0"/>
  </r>
  <r>
    <x v="65"/>
    <n v="2024"/>
    <x v="6"/>
    <x v="3"/>
    <s v="RX"/>
    <s v="Injetable"/>
    <x v="65"/>
    <n v="0"/>
  </r>
  <r>
    <x v="65"/>
    <n v="2024"/>
    <x v="7"/>
    <x v="3"/>
    <s v="RX"/>
    <s v="Injetable"/>
    <x v="65"/>
    <n v="0"/>
  </r>
  <r>
    <x v="65"/>
    <n v="2024"/>
    <x v="8"/>
    <x v="3"/>
    <s v="RX"/>
    <s v="Injetable"/>
    <x v="65"/>
    <n v="0"/>
  </r>
  <r>
    <x v="65"/>
    <n v="2024"/>
    <x v="9"/>
    <x v="3"/>
    <s v="RX"/>
    <s v="Injetable"/>
    <x v="65"/>
    <n v="0"/>
  </r>
  <r>
    <x v="65"/>
    <n v="2024"/>
    <x v="10"/>
    <x v="3"/>
    <s v="RX"/>
    <s v="Injetable"/>
    <x v="65"/>
    <n v="0"/>
  </r>
  <r>
    <x v="65"/>
    <n v="2024"/>
    <x v="11"/>
    <x v="3"/>
    <s v="RX"/>
    <s v="Injetable"/>
    <x v="65"/>
    <n v="0"/>
  </r>
  <r>
    <x v="66"/>
    <n v="2024"/>
    <x v="0"/>
    <x v="3"/>
    <s v="RX"/>
    <s v="EC"/>
    <x v="66"/>
    <n v="0"/>
  </r>
  <r>
    <x v="66"/>
    <n v="2024"/>
    <x v="1"/>
    <x v="3"/>
    <s v="RX"/>
    <s v="EC"/>
    <x v="66"/>
    <n v="0"/>
  </r>
  <r>
    <x v="66"/>
    <n v="2024"/>
    <x v="2"/>
    <x v="3"/>
    <s v="RX"/>
    <s v="EC"/>
    <x v="66"/>
    <n v="0"/>
  </r>
  <r>
    <x v="66"/>
    <n v="2024"/>
    <x v="3"/>
    <x v="3"/>
    <s v="RX"/>
    <s v="EC"/>
    <x v="66"/>
    <n v="0"/>
  </r>
  <r>
    <x v="66"/>
    <n v="2024"/>
    <x v="4"/>
    <x v="3"/>
    <s v="RX"/>
    <s v="EC"/>
    <x v="66"/>
    <n v="0"/>
  </r>
  <r>
    <x v="66"/>
    <n v="2024"/>
    <x v="5"/>
    <x v="3"/>
    <s v="RX"/>
    <s v="EC"/>
    <x v="66"/>
    <n v="0"/>
  </r>
  <r>
    <x v="66"/>
    <n v="2024"/>
    <x v="6"/>
    <x v="3"/>
    <s v="RX"/>
    <s v="EC"/>
    <x v="66"/>
    <n v="0"/>
  </r>
  <r>
    <x v="66"/>
    <n v="2024"/>
    <x v="7"/>
    <x v="3"/>
    <s v="RX"/>
    <s v="EC"/>
    <x v="66"/>
    <n v="0"/>
  </r>
  <r>
    <x v="66"/>
    <n v="2024"/>
    <x v="8"/>
    <x v="3"/>
    <s v="RX"/>
    <s v="EC"/>
    <x v="66"/>
    <n v="0"/>
  </r>
  <r>
    <x v="66"/>
    <n v="2024"/>
    <x v="9"/>
    <x v="3"/>
    <s v="RX"/>
    <s v="EC"/>
    <x v="66"/>
    <n v="0"/>
  </r>
  <r>
    <x v="66"/>
    <n v="2024"/>
    <x v="10"/>
    <x v="3"/>
    <s v="RX"/>
    <s v="EC"/>
    <x v="66"/>
    <n v="0"/>
  </r>
  <r>
    <x v="66"/>
    <n v="2024"/>
    <x v="11"/>
    <x v="3"/>
    <s v="RX"/>
    <s v="EC"/>
    <x v="66"/>
    <n v="0"/>
  </r>
  <r>
    <x v="0"/>
    <n v="2025"/>
    <x v="0"/>
    <x v="3"/>
    <s v="Preservativo Masculino"/>
    <s v="Básico"/>
    <x v="0"/>
    <n v="0"/>
  </r>
  <r>
    <x v="0"/>
    <n v="2025"/>
    <x v="1"/>
    <x v="3"/>
    <s v="Preservativo Masculino"/>
    <s v="Básico"/>
    <x v="0"/>
    <n v="0"/>
  </r>
  <r>
    <x v="0"/>
    <n v="2025"/>
    <x v="2"/>
    <x v="3"/>
    <s v="Preservativo Masculino"/>
    <s v="Básico"/>
    <x v="0"/>
    <n v="0"/>
  </r>
  <r>
    <x v="0"/>
    <n v="2025"/>
    <x v="3"/>
    <x v="3"/>
    <s v="Preservativo Masculino"/>
    <s v="Básico"/>
    <x v="0"/>
    <n v="0"/>
  </r>
  <r>
    <x v="0"/>
    <n v="2025"/>
    <x v="4"/>
    <x v="3"/>
    <s v="Preservativo Masculino"/>
    <s v="Básico"/>
    <x v="0"/>
    <n v="12000"/>
  </r>
  <r>
    <x v="0"/>
    <n v="2025"/>
    <x v="5"/>
    <x v="3"/>
    <s v="Preservativo Masculino"/>
    <s v="Básico"/>
    <x v="0"/>
    <n v="12000"/>
  </r>
  <r>
    <x v="0"/>
    <n v="2025"/>
    <x v="6"/>
    <x v="3"/>
    <s v="Preservativo Masculino"/>
    <s v="Básico"/>
    <x v="0"/>
    <n v="9000"/>
  </r>
  <r>
    <x v="0"/>
    <n v="2025"/>
    <x v="7"/>
    <x v="3"/>
    <s v="Preservativo Masculino"/>
    <s v="Básico"/>
    <x v="0"/>
    <n v="15000"/>
  </r>
  <r>
    <x v="0"/>
    <n v="2025"/>
    <x v="8"/>
    <x v="3"/>
    <s v="Preservativo Masculino"/>
    <s v="Básico"/>
    <x v="0"/>
    <n v="12000"/>
  </r>
  <r>
    <x v="0"/>
    <n v="2025"/>
    <x v="9"/>
    <x v="3"/>
    <s v="Preservativo Masculino"/>
    <s v="Básico"/>
    <x v="0"/>
    <n v="12000"/>
  </r>
  <r>
    <x v="0"/>
    <n v="2025"/>
    <x v="10"/>
    <x v="3"/>
    <s v="Preservativo Masculino"/>
    <s v="Básico"/>
    <x v="0"/>
    <n v="12000"/>
  </r>
  <r>
    <x v="0"/>
    <n v="2025"/>
    <x v="11"/>
    <x v="3"/>
    <s v="Preservativo Masculino"/>
    <s v="Básico"/>
    <x v="0"/>
    <n v="6000"/>
  </r>
  <r>
    <x v="1"/>
    <n v="2025"/>
    <x v="0"/>
    <x v="3"/>
    <s v="Preservativo Masculino"/>
    <s v="Básico"/>
    <x v="1"/>
    <n v="0"/>
  </r>
  <r>
    <x v="1"/>
    <n v="2025"/>
    <x v="1"/>
    <x v="3"/>
    <s v="Preservativo Masculino"/>
    <s v="Básico"/>
    <x v="1"/>
    <n v="0"/>
  </r>
  <r>
    <x v="1"/>
    <n v="2025"/>
    <x v="2"/>
    <x v="3"/>
    <s v="Preservativo Masculino"/>
    <s v="Básico"/>
    <x v="1"/>
    <n v="0"/>
  </r>
  <r>
    <x v="1"/>
    <n v="2025"/>
    <x v="3"/>
    <x v="3"/>
    <s v="Preservativo Masculino"/>
    <s v="Básico"/>
    <x v="1"/>
    <n v="0"/>
  </r>
  <r>
    <x v="1"/>
    <n v="2025"/>
    <x v="4"/>
    <x v="3"/>
    <s v="Preservativo Masculino"/>
    <s v="Básico"/>
    <x v="1"/>
    <n v="6300"/>
  </r>
  <r>
    <x v="1"/>
    <n v="2025"/>
    <x v="5"/>
    <x v="3"/>
    <s v="Preservativo Masculino"/>
    <s v="Básico"/>
    <x v="1"/>
    <n v="8400"/>
  </r>
  <r>
    <x v="1"/>
    <n v="2025"/>
    <x v="6"/>
    <x v="3"/>
    <s v="Preservativo Masculino"/>
    <s v="Básico"/>
    <x v="1"/>
    <n v="7000"/>
  </r>
  <r>
    <x v="1"/>
    <n v="2025"/>
    <x v="7"/>
    <x v="3"/>
    <s v="Preservativo Masculino"/>
    <s v="Básico"/>
    <x v="1"/>
    <n v="28700"/>
  </r>
  <r>
    <x v="1"/>
    <n v="2025"/>
    <x v="8"/>
    <x v="3"/>
    <s v="Preservativo Masculino"/>
    <s v="Básico"/>
    <x v="1"/>
    <n v="21000"/>
  </r>
  <r>
    <x v="1"/>
    <n v="2025"/>
    <x v="9"/>
    <x v="3"/>
    <s v="Preservativo Masculino"/>
    <s v="Básico"/>
    <x v="1"/>
    <n v="0"/>
  </r>
  <r>
    <x v="1"/>
    <n v="2025"/>
    <x v="10"/>
    <x v="3"/>
    <s v="Preservativo Masculino"/>
    <s v="Básico"/>
    <x v="1"/>
    <n v="0"/>
  </r>
  <r>
    <x v="1"/>
    <n v="2025"/>
    <x v="11"/>
    <x v="3"/>
    <s v="Preservativo Masculino"/>
    <s v="Básico"/>
    <x v="1"/>
    <n v="0"/>
  </r>
  <r>
    <x v="2"/>
    <n v="2025"/>
    <x v="0"/>
    <x v="3"/>
    <s v="Preservativo Masculino"/>
    <s v="Básico"/>
    <x v="2"/>
    <n v="0"/>
  </r>
  <r>
    <x v="2"/>
    <n v="2025"/>
    <x v="1"/>
    <x v="3"/>
    <s v="Preservativo Masculino"/>
    <s v="Básico"/>
    <x v="2"/>
    <n v="0"/>
  </r>
  <r>
    <x v="2"/>
    <n v="2025"/>
    <x v="2"/>
    <x v="3"/>
    <s v="Preservativo Masculino"/>
    <s v="Básico"/>
    <x v="2"/>
    <n v="0"/>
  </r>
  <r>
    <x v="2"/>
    <n v="2025"/>
    <x v="3"/>
    <x v="3"/>
    <s v="Preservativo Masculino"/>
    <s v="Básico"/>
    <x v="2"/>
    <n v="0"/>
  </r>
  <r>
    <x v="2"/>
    <n v="2025"/>
    <x v="4"/>
    <x v="3"/>
    <s v="Preservativo Masculino"/>
    <s v="Básico"/>
    <x v="2"/>
    <n v="0"/>
  </r>
  <r>
    <x v="2"/>
    <n v="2025"/>
    <x v="5"/>
    <x v="3"/>
    <s v="Preservativo Masculino"/>
    <s v="Básico"/>
    <x v="2"/>
    <n v="0"/>
  </r>
  <r>
    <x v="2"/>
    <n v="2025"/>
    <x v="6"/>
    <x v="3"/>
    <s v="Preservativo Masculino"/>
    <s v="Básico"/>
    <x v="2"/>
    <n v="7100"/>
  </r>
  <r>
    <x v="2"/>
    <n v="2025"/>
    <x v="7"/>
    <x v="3"/>
    <s v="Preservativo Masculino"/>
    <s v="Básico"/>
    <x v="2"/>
    <n v="6000"/>
  </r>
  <r>
    <x v="2"/>
    <n v="2025"/>
    <x v="8"/>
    <x v="3"/>
    <s v="Preservativo Masculino"/>
    <s v="Básico"/>
    <x v="2"/>
    <n v="12000"/>
  </r>
  <r>
    <x v="2"/>
    <n v="2025"/>
    <x v="9"/>
    <x v="3"/>
    <s v="Preservativo Masculino"/>
    <s v="Básico"/>
    <x v="2"/>
    <n v="0"/>
  </r>
  <r>
    <x v="2"/>
    <n v="2025"/>
    <x v="10"/>
    <x v="3"/>
    <s v="Preservativo Masculino"/>
    <s v="Básico"/>
    <x v="2"/>
    <n v="0"/>
  </r>
  <r>
    <x v="2"/>
    <n v="2025"/>
    <x v="11"/>
    <x v="3"/>
    <s v="Preservativo Masculino"/>
    <s v="Básico"/>
    <x v="2"/>
    <n v="0"/>
  </r>
  <r>
    <x v="3"/>
    <n v="2025"/>
    <x v="0"/>
    <x v="3"/>
    <s v="Preservativo Masculino"/>
    <s v="Cores e Sabores"/>
    <x v="3"/>
    <n v="0"/>
  </r>
  <r>
    <x v="3"/>
    <n v="2025"/>
    <x v="1"/>
    <x v="3"/>
    <s v="Preservativo Masculino"/>
    <s v="Cores e Sabores"/>
    <x v="3"/>
    <n v="0"/>
  </r>
  <r>
    <x v="3"/>
    <n v="2025"/>
    <x v="2"/>
    <x v="3"/>
    <s v="Preservativo Masculino"/>
    <s v="Cores e Sabores"/>
    <x v="3"/>
    <n v="0"/>
  </r>
  <r>
    <x v="3"/>
    <n v="2025"/>
    <x v="3"/>
    <x v="3"/>
    <s v="Preservativo Masculino"/>
    <s v="Cores e Sabores"/>
    <x v="3"/>
    <n v="0"/>
  </r>
  <r>
    <x v="3"/>
    <n v="2025"/>
    <x v="4"/>
    <x v="3"/>
    <s v="Preservativo Masculino"/>
    <s v="Cores e Sabores"/>
    <x v="3"/>
    <n v="0"/>
  </r>
  <r>
    <x v="3"/>
    <n v="2025"/>
    <x v="5"/>
    <x v="3"/>
    <s v="Preservativo Masculino"/>
    <s v="Cores e Sabores"/>
    <x v="3"/>
    <n v="3000"/>
  </r>
  <r>
    <x v="3"/>
    <n v="2025"/>
    <x v="6"/>
    <x v="3"/>
    <s v="Preservativo Masculino"/>
    <s v="Cores e Sabores"/>
    <x v="3"/>
    <n v="12000"/>
  </r>
  <r>
    <x v="3"/>
    <n v="2025"/>
    <x v="7"/>
    <x v="3"/>
    <s v="Preservativo Masculino"/>
    <s v="Cores e Sabores"/>
    <x v="3"/>
    <n v="6000"/>
  </r>
  <r>
    <x v="3"/>
    <n v="2025"/>
    <x v="8"/>
    <x v="3"/>
    <s v="Preservativo Masculino"/>
    <s v="Cores e Sabores"/>
    <x v="3"/>
    <n v="9000"/>
  </r>
  <r>
    <x v="3"/>
    <n v="2025"/>
    <x v="9"/>
    <x v="3"/>
    <s v="Preservativo Masculino"/>
    <s v="Cores e Sabores"/>
    <x v="3"/>
    <n v="6000"/>
  </r>
  <r>
    <x v="3"/>
    <n v="2025"/>
    <x v="10"/>
    <x v="3"/>
    <s v="Preservativo Masculino"/>
    <s v="Cores e Sabores"/>
    <x v="3"/>
    <n v="6000"/>
  </r>
  <r>
    <x v="3"/>
    <n v="2025"/>
    <x v="11"/>
    <x v="3"/>
    <s v="Preservativo Masculino"/>
    <s v="Cores e Sabores"/>
    <x v="3"/>
    <n v="6000"/>
  </r>
  <r>
    <x v="4"/>
    <n v="2025"/>
    <x v="0"/>
    <x v="3"/>
    <s v="Preservativo Masculino"/>
    <s v="Cores e Sabores"/>
    <x v="4"/>
    <n v="0"/>
  </r>
  <r>
    <x v="4"/>
    <n v="2025"/>
    <x v="1"/>
    <x v="3"/>
    <s v="Preservativo Masculino"/>
    <s v="Cores e Sabores"/>
    <x v="4"/>
    <n v="0"/>
  </r>
  <r>
    <x v="4"/>
    <n v="2025"/>
    <x v="2"/>
    <x v="3"/>
    <s v="Preservativo Masculino"/>
    <s v="Cores e Sabores"/>
    <x v="4"/>
    <n v="0"/>
  </r>
  <r>
    <x v="4"/>
    <n v="2025"/>
    <x v="3"/>
    <x v="3"/>
    <s v="Preservativo Masculino"/>
    <s v="Cores e Sabores"/>
    <x v="4"/>
    <n v="0"/>
  </r>
  <r>
    <x v="4"/>
    <n v="2025"/>
    <x v="4"/>
    <x v="3"/>
    <s v="Preservativo Masculino"/>
    <s v="Cores e Sabores"/>
    <x v="4"/>
    <n v="0"/>
  </r>
  <r>
    <x v="4"/>
    <n v="2025"/>
    <x v="5"/>
    <x v="3"/>
    <s v="Preservativo Masculino"/>
    <s v="Cores e Sabores"/>
    <x v="4"/>
    <n v="2100"/>
  </r>
  <r>
    <x v="4"/>
    <n v="2025"/>
    <x v="6"/>
    <x v="3"/>
    <s v="Preservativo Masculino"/>
    <s v="Cores e Sabores"/>
    <x v="4"/>
    <n v="4200"/>
  </r>
  <r>
    <x v="4"/>
    <n v="2025"/>
    <x v="7"/>
    <x v="3"/>
    <s v="Preservativo Masculino"/>
    <s v="Cores e Sabores"/>
    <x v="4"/>
    <n v="2100"/>
  </r>
  <r>
    <x v="4"/>
    <n v="2025"/>
    <x v="8"/>
    <x v="3"/>
    <s v="Preservativo Masculino"/>
    <s v="Cores e Sabores"/>
    <x v="4"/>
    <n v="4200"/>
  </r>
  <r>
    <x v="4"/>
    <n v="2025"/>
    <x v="9"/>
    <x v="3"/>
    <s v="Preservativo Masculino"/>
    <s v="Cores e Sabores"/>
    <x v="4"/>
    <n v="2100"/>
  </r>
  <r>
    <x v="4"/>
    <n v="2025"/>
    <x v="10"/>
    <x v="3"/>
    <s v="Preservativo Masculino"/>
    <s v="Cores e Sabores"/>
    <x v="4"/>
    <n v="0"/>
  </r>
  <r>
    <x v="4"/>
    <n v="2025"/>
    <x v="11"/>
    <x v="3"/>
    <s v="Preservativo Masculino"/>
    <s v="Cores e Sabores"/>
    <x v="4"/>
    <n v="0"/>
  </r>
  <r>
    <x v="5"/>
    <n v="2025"/>
    <x v="0"/>
    <x v="3"/>
    <s v="Preservativo Masculino"/>
    <s v="Cores e Sabores"/>
    <x v="5"/>
    <n v="0"/>
  </r>
  <r>
    <x v="5"/>
    <n v="2025"/>
    <x v="1"/>
    <x v="3"/>
    <s v="Preservativo Masculino"/>
    <s v="Cores e Sabores"/>
    <x v="5"/>
    <n v="0"/>
  </r>
  <r>
    <x v="5"/>
    <n v="2025"/>
    <x v="2"/>
    <x v="3"/>
    <s v="Preservativo Masculino"/>
    <s v="Cores e Sabores"/>
    <x v="5"/>
    <n v="0"/>
  </r>
  <r>
    <x v="5"/>
    <n v="2025"/>
    <x v="3"/>
    <x v="3"/>
    <s v="Preservativo Masculino"/>
    <s v="Cores e Sabores"/>
    <x v="5"/>
    <n v="0"/>
  </r>
  <r>
    <x v="5"/>
    <n v="2025"/>
    <x v="4"/>
    <x v="3"/>
    <s v="Preservativo Masculino"/>
    <s v="Cores e Sabores"/>
    <x v="5"/>
    <n v="0"/>
  </r>
  <r>
    <x v="5"/>
    <n v="2025"/>
    <x v="5"/>
    <x v="3"/>
    <s v="Preservativo Masculino"/>
    <s v="Cores e Sabores"/>
    <x v="5"/>
    <n v="0"/>
  </r>
  <r>
    <x v="5"/>
    <n v="2025"/>
    <x v="6"/>
    <x v="3"/>
    <s v="Preservativo Masculino"/>
    <s v="Cores e Sabores"/>
    <x v="5"/>
    <n v="9000"/>
  </r>
  <r>
    <x v="5"/>
    <n v="2025"/>
    <x v="7"/>
    <x v="3"/>
    <s v="Preservativo Masculino"/>
    <s v="Cores e Sabores"/>
    <x v="5"/>
    <n v="3000"/>
  </r>
  <r>
    <x v="5"/>
    <n v="2025"/>
    <x v="8"/>
    <x v="3"/>
    <s v="Preservativo Masculino"/>
    <s v="Cores e Sabores"/>
    <x v="5"/>
    <n v="6000"/>
  </r>
  <r>
    <x v="5"/>
    <n v="2025"/>
    <x v="9"/>
    <x v="3"/>
    <s v="Preservativo Masculino"/>
    <s v="Cores e Sabores"/>
    <x v="5"/>
    <n v="0"/>
  </r>
  <r>
    <x v="5"/>
    <n v="2025"/>
    <x v="10"/>
    <x v="3"/>
    <s v="Preservativo Masculino"/>
    <s v="Cores e Sabores"/>
    <x v="5"/>
    <n v="6000"/>
  </r>
  <r>
    <x v="5"/>
    <n v="2025"/>
    <x v="11"/>
    <x v="3"/>
    <s v="Preservativo Masculino"/>
    <s v="Cores e Sabores"/>
    <x v="5"/>
    <n v="3000"/>
  </r>
  <r>
    <x v="6"/>
    <n v="2025"/>
    <x v="0"/>
    <x v="3"/>
    <s v="Preservativo Masculino"/>
    <s v="Cores e Sabores"/>
    <x v="6"/>
    <n v="0"/>
  </r>
  <r>
    <x v="6"/>
    <n v="2025"/>
    <x v="1"/>
    <x v="3"/>
    <s v="Preservativo Masculino"/>
    <s v="Cores e Sabores"/>
    <x v="6"/>
    <n v="0"/>
  </r>
  <r>
    <x v="6"/>
    <n v="2025"/>
    <x v="2"/>
    <x v="3"/>
    <s v="Preservativo Masculino"/>
    <s v="Cores e Sabores"/>
    <x v="6"/>
    <n v="0"/>
  </r>
  <r>
    <x v="6"/>
    <n v="2025"/>
    <x v="3"/>
    <x v="3"/>
    <s v="Preservativo Masculino"/>
    <s v="Cores e Sabores"/>
    <x v="6"/>
    <n v="0"/>
  </r>
  <r>
    <x v="6"/>
    <n v="2025"/>
    <x v="4"/>
    <x v="3"/>
    <s v="Preservativo Masculino"/>
    <s v="Cores e Sabores"/>
    <x v="6"/>
    <n v="0"/>
  </r>
  <r>
    <x v="6"/>
    <n v="2025"/>
    <x v="5"/>
    <x v="3"/>
    <s v="Preservativo Masculino"/>
    <s v="Cores e Sabores"/>
    <x v="6"/>
    <n v="0"/>
  </r>
  <r>
    <x v="6"/>
    <n v="2025"/>
    <x v="6"/>
    <x v="3"/>
    <s v="Preservativo Masculino"/>
    <s v="Cores e Sabores"/>
    <x v="6"/>
    <n v="0"/>
  </r>
  <r>
    <x v="6"/>
    <n v="2025"/>
    <x v="7"/>
    <x v="3"/>
    <s v="Preservativo Masculino"/>
    <s v="Cores e Sabores"/>
    <x v="6"/>
    <n v="0"/>
  </r>
  <r>
    <x v="6"/>
    <n v="2025"/>
    <x v="8"/>
    <x v="3"/>
    <s v="Preservativo Masculino"/>
    <s v="Cores e Sabores"/>
    <x v="6"/>
    <n v="0"/>
  </r>
  <r>
    <x v="6"/>
    <n v="2025"/>
    <x v="9"/>
    <x v="3"/>
    <s v="Preservativo Masculino"/>
    <s v="Cores e Sabores"/>
    <x v="6"/>
    <n v="0"/>
  </r>
  <r>
    <x v="6"/>
    <n v="2025"/>
    <x v="10"/>
    <x v="3"/>
    <s v="Preservativo Masculino"/>
    <s v="Cores e Sabores"/>
    <x v="6"/>
    <n v="2100"/>
  </r>
  <r>
    <x v="6"/>
    <n v="2025"/>
    <x v="11"/>
    <x v="3"/>
    <s v="Preservativo Masculino"/>
    <s v="Cores e Sabores"/>
    <x v="6"/>
    <n v="0"/>
  </r>
  <r>
    <x v="7"/>
    <n v="2025"/>
    <x v="0"/>
    <x v="3"/>
    <s v="Preservativo Masculino"/>
    <s v="Cores e Sabores"/>
    <x v="7"/>
    <n v="0"/>
  </r>
  <r>
    <x v="7"/>
    <n v="2025"/>
    <x v="1"/>
    <x v="3"/>
    <s v="Preservativo Masculino"/>
    <s v="Cores e Sabores"/>
    <x v="7"/>
    <n v="0"/>
  </r>
  <r>
    <x v="7"/>
    <n v="2025"/>
    <x v="2"/>
    <x v="3"/>
    <s v="Preservativo Masculino"/>
    <s v="Cores e Sabores"/>
    <x v="7"/>
    <n v="0"/>
  </r>
  <r>
    <x v="7"/>
    <n v="2025"/>
    <x v="3"/>
    <x v="3"/>
    <s v="Preservativo Masculino"/>
    <s v="Cores e Sabores"/>
    <x v="7"/>
    <n v="0"/>
  </r>
  <r>
    <x v="7"/>
    <n v="2025"/>
    <x v="4"/>
    <x v="3"/>
    <s v="Preservativo Masculino"/>
    <s v="Cores e Sabores"/>
    <x v="7"/>
    <n v="0"/>
  </r>
  <r>
    <x v="7"/>
    <n v="2025"/>
    <x v="5"/>
    <x v="3"/>
    <s v="Preservativo Masculino"/>
    <s v="Cores e Sabores"/>
    <x v="7"/>
    <n v="0"/>
  </r>
  <r>
    <x v="7"/>
    <n v="2025"/>
    <x v="6"/>
    <x v="3"/>
    <s v="Preservativo Masculino"/>
    <s v="Cores e Sabores"/>
    <x v="7"/>
    <n v="6000"/>
  </r>
  <r>
    <x v="7"/>
    <n v="2025"/>
    <x v="7"/>
    <x v="3"/>
    <s v="Preservativo Masculino"/>
    <s v="Cores e Sabores"/>
    <x v="7"/>
    <n v="6000"/>
  </r>
  <r>
    <x v="7"/>
    <n v="2025"/>
    <x v="8"/>
    <x v="3"/>
    <s v="Preservativo Masculino"/>
    <s v="Cores e Sabores"/>
    <x v="7"/>
    <n v="0"/>
  </r>
  <r>
    <x v="7"/>
    <n v="2025"/>
    <x v="9"/>
    <x v="3"/>
    <s v="Preservativo Masculino"/>
    <s v="Cores e Sabores"/>
    <x v="7"/>
    <n v="9000"/>
  </r>
  <r>
    <x v="7"/>
    <n v="2025"/>
    <x v="10"/>
    <x v="3"/>
    <s v="Preservativo Masculino"/>
    <s v="Cores e Sabores"/>
    <x v="7"/>
    <n v="0"/>
  </r>
  <r>
    <x v="7"/>
    <n v="2025"/>
    <x v="11"/>
    <x v="3"/>
    <s v="Preservativo Masculino"/>
    <s v="Cores e Sabores"/>
    <x v="7"/>
    <n v="6000"/>
  </r>
  <r>
    <x v="8"/>
    <n v="2025"/>
    <x v="0"/>
    <x v="3"/>
    <s v="Preservativo Masculino"/>
    <s v="Cores e Sabores"/>
    <x v="8"/>
    <n v="0"/>
  </r>
  <r>
    <x v="8"/>
    <n v="2025"/>
    <x v="1"/>
    <x v="3"/>
    <s v="Preservativo Masculino"/>
    <s v="Cores e Sabores"/>
    <x v="8"/>
    <n v="0"/>
  </r>
  <r>
    <x v="8"/>
    <n v="2025"/>
    <x v="2"/>
    <x v="3"/>
    <s v="Preservativo Masculino"/>
    <s v="Cores e Sabores"/>
    <x v="8"/>
    <n v="0"/>
  </r>
  <r>
    <x v="8"/>
    <n v="2025"/>
    <x v="3"/>
    <x v="3"/>
    <s v="Preservativo Masculino"/>
    <s v="Cores e Sabores"/>
    <x v="8"/>
    <n v="0"/>
  </r>
  <r>
    <x v="8"/>
    <n v="2025"/>
    <x v="4"/>
    <x v="3"/>
    <s v="Preservativo Masculino"/>
    <s v="Cores e Sabores"/>
    <x v="8"/>
    <n v="0"/>
  </r>
  <r>
    <x v="8"/>
    <n v="2025"/>
    <x v="5"/>
    <x v="3"/>
    <s v="Preservativo Masculino"/>
    <s v="Cores e Sabores"/>
    <x v="8"/>
    <n v="0"/>
  </r>
  <r>
    <x v="8"/>
    <n v="2025"/>
    <x v="6"/>
    <x v="3"/>
    <s v="Preservativo Masculino"/>
    <s v="Cores e Sabores"/>
    <x v="8"/>
    <n v="3920"/>
  </r>
  <r>
    <x v="8"/>
    <n v="2025"/>
    <x v="7"/>
    <x v="3"/>
    <s v="Preservativo Masculino"/>
    <s v="Cores e Sabores"/>
    <x v="8"/>
    <n v="3000"/>
  </r>
  <r>
    <x v="8"/>
    <n v="2025"/>
    <x v="8"/>
    <x v="3"/>
    <s v="Preservativo Masculino"/>
    <s v="Cores e Sabores"/>
    <x v="8"/>
    <n v="3000"/>
  </r>
  <r>
    <x v="8"/>
    <n v="2025"/>
    <x v="9"/>
    <x v="3"/>
    <s v="Preservativo Masculino"/>
    <s v="Cores e Sabores"/>
    <x v="8"/>
    <n v="0"/>
  </r>
  <r>
    <x v="8"/>
    <n v="2025"/>
    <x v="10"/>
    <x v="3"/>
    <s v="Preservativo Masculino"/>
    <s v="Cores e Sabores"/>
    <x v="8"/>
    <n v="3000"/>
  </r>
  <r>
    <x v="8"/>
    <n v="2025"/>
    <x v="11"/>
    <x v="3"/>
    <s v="Preservativo Masculino"/>
    <s v="Cores e Sabores"/>
    <x v="8"/>
    <n v="3000"/>
  </r>
  <r>
    <x v="9"/>
    <n v="2025"/>
    <x v="0"/>
    <x v="3"/>
    <s v="Preservativo Masculino"/>
    <s v="Cores e Sabores"/>
    <x v="9"/>
    <n v="0"/>
  </r>
  <r>
    <x v="9"/>
    <n v="2025"/>
    <x v="1"/>
    <x v="3"/>
    <s v="Preservativo Masculino"/>
    <s v="Cores e Sabores"/>
    <x v="9"/>
    <n v="0"/>
  </r>
  <r>
    <x v="9"/>
    <n v="2025"/>
    <x v="2"/>
    <x v="3"/>
    <s v="Preservativo Masculino"/>
    <s v="Cores e Sabores"/>
    <x v="9"/>
    <n v="0"/>
  </r>
  <r>
    <x v="9"/>
    <n v="2025"/>
    <x v="3"/>
    <x v="3"/>
    <s v="Preservativo Masculino"/>
    <s v="Cores e Sabores"/>
    <x v="9"/>
    <n v="0"/>
  </r>
  <r>
    <x v="9"/>
    <n v="2025"/>
    <x v="4"/>
    <x v="3"/>
    <s v="Preservativo Masculino"/>
    <s v="Cores e Sabores"/>
    <x v="9"/>
    <n v="0"/>
  </r>
  <r>
    <x v="9"/>
    <n v="2025"/>
    <x v="5"/>
    <x v="3"/>
    <s v="Preservativo Masculino"/>
    <s v="Cores e Sabores"/>
    <x v="9"/>
    <n v="3000"/>
  </r>
  <r>
    <x v="9"/>
    <n v="2025"/>
    <x v="6"/>
    <x v="3"/>
    <s v="Preservativo Masculino"/>
    <s v="Cores e Sabores"/>
    <x v="9"/>
    <n v="6000"/>
  </r>
  <r>
    <x v="9"/>
    <n v="2025"/>
    <x v="7"/>
    <x v="3"/>
    <s v="Preservativo Masculino"/>
    <s v="Cores e Sabores"/>
    <x v="9"/>
    <n v="0"/>
  </r>
  <r>
    <x v="9"/>
    <n v="2025"/>
    <x v="8"/>
    <x v="3"/>
    <s v="Preservativo Masculino"/>
    <s v="Cores e Sabores"/>
    <x v="9"/>
    <n v="0"/>
  </r>
  <r>
    <x v="9"/>
    <n v="2025"/>
    <x v="9"/>
    <x v="3"/>
    <s v="Preservativo Masculino"/>
    <s v="Cores e Sabores"/>
    <x v="9"/>
    <n v="0"/>
  </r>
  <r>
    <x v="9"/>
    <n v="2025"/>
    <x v="10"/>
    <x v="3"/>
    <s v="Preservativo Masculino"/>
    <s v="Cores e Sabores"/>
    <x v="9"/>
    <n v="6000"/>
  </r>
  <r>
    <x v="9"/>
    <n v="2025"/>
    <x v="11"/>
    <x v="3"/>
    <s v="Preservativo Masculino"/>
    <s v="Cores e Sabores"/>
    <x v="9"/>
    <n v="3000"/>
  </r>
  <r>
    <x v="10"/>
    <n v="2025"/>
    <x v="0"/>
    <x v="3"/>
    <s v="Preservativo Masculino"/>
    <s v="Cores e Sabores"/>
    <x v="10"/>
    <n v="0"/>
  </r>
  <r>
    <x v="10"/>
    <n v="2025"/>
    <x v="1"/>
    <x v="3"/>
    <s v="Preservativo Masculino"/>
    <s v="Cores e Sabores"/>
    <x v="10"/>
    <n v="0"/>
  </r>
  <r>
    <x v="10"/>
    <n v="2025"/>
    <x v="2"/>
    <x v="3"/>
    <s v="Preservativo Masculino"/>
    <s v="Cores e Sabores"/>
    <x v="10"/>
    <n v="0"/>
  </r>
  <r>
    <x v="10"/>
    <n v="2025"/>
    <x v="3"/>
    <x v="3"/>
    <s v="Preservativo Masculino"/>
    <s v="Cores e Sabores"/>
    <x v="10"/>
    <n v="0"/>
  </r>
  <r>
    <x v="10"/>
    <n v="2025"/>
    <x v="4"/>
    <x v="3"/>
    <s v="Preservativo Masculino"/>
    <s v="Cores e Sabores"/>
    <x v="10"/>
    <n v="0"/>
  </r>
  <r>
    <x v="10"/>
    <n v="2025"/>
    <x v="5"/>
    <x v="3"/>
    <s v="Preservativo Masculino"/>
    <s v="Cores e Sabores"/>
    <x v="10"/>
    <n v="0"/>
  </r>
  <r>
    <x v="10"/>
    <n v="2025"/>
    <x v="6"/>
    <x v="3"/>
    <s v="Preservativo Masculino"/>
    <s v="Cores e Sabores"/>
    <x v="10"/>
    <n v="3000"/>
  </r>
  <r>
    <x v="10"/>
    <n v="2025"/>
    <x v="7"/>
    <x v="3"/>
    <s v="Preservativo Masculino"/>
    <s v="Cores e Sabores"/>
    <x v="10"/>
    <n v="0"/>
  </r>
  <r>
    <x v="10"/>
    <n v="2025"/>
    <x v="8"/>
    <x v="3"/>
    <s v="Preservativo Masculino"/>
    <s v="Cores e Sabores"/>
    <x v="10"/>
    <n v="3000"/>
  </r>
  <r>
    <x v="10"/>
    <n v="2025"/>
    <x v="9"/>
    <x v="3"/>
    <s v="Preservativo Masculino"/>
    <s v="Cores e Sabores"/>
    <x v="10"/>
    <n v="0"/>
  </r>
  <r>
    <x v="10"/>
    <n v="2025"/>
    <x v="10"/>
    <x v="3"/>
    <s v="Preservativo Masculino"/>
    <s v="Cores e Sabores"/>
    <x v="10"/>
    <n v="0"/>
  </r>
  <r>
    <x v="10"/>
    <n v="2025"/>
    <x v="11"/>
    <x v="3"/>
    <s v="Preservativo Masculino"/>
    <s v="Cores e Sabores"/>
    <x v="10"/>
    <n v="0"/>
  </r>
  <r>
    <x v="11"/>
    <n v="2025"/>
    <x v="0"/>
    <x v="3"/>
    <s v="Preservativo Masculino"/>
    <s v="Cores e Sabores"/>
    <x v="11"/>
    <n v="0"/>
  </r>
  <r>
    <x v="11"/>
    <n v="2025"/>
    <x v="1"/>
    <x v="3"/>
    <s v="Preservativo Masculino"/>
    <s v="Cores e Sabores"/>
    <x v="11"/>
    <n v="0"/>
  </r>
  <r>
    <x v="11"/>
    <n v="2025"/>
    <x v="2"/>
    <x v="3"/>
    <s v="Preservativo Masculino"/>
    <s v="Cores e Sabores"/>
    <x v="11"/>
    <n v="0"/>
  </r>
  <r>
    <x v="11"/>
    <n v="2025"/>
    <x v="3"/>
    <x v="3"/>
    <s v="Preservativo Masculino"/>
    <s v="Cores e Sabores"/>
    <x v="11"/>
    <n v="0"/>
  </r>
  <r>
    <x v="11"/>
    <n v="2025"/>
    <x v="4"/>
    <x v="3"/>
    <s v="Preservativo Masculino"/>
    <s v="Cores e Sabores"/>
    <x v="11"/>
    <n v="0"/>
  </r>
  <r>
    <x v="11"/>
    <n v="2025"/>
    <x v="5"/>
    <x v="3"/>
    <s v="Preservativo Masculino"/>
    <s v="Cores e Sabores"/>
    <x v="11"/>
    <n v="0"/>
  </r>
  <r>
    <x v="11"/>
    <n v="2025"/>
    <x v="6"/>
    <x v="3"/>
    <s v="Preservativo Masculino"/>
    <s v="Cores e Sabores"/>
    <x v="11"/>
    <n v="0"/>
  </r>
  <r>
    <x v="11"/>
    <n v="2025"/>
    <x v="7"/>
    <x v="3"/>
    <s v="Preservativo Masculino"/>
    <s v="Cores e Sabores"/>
    <x v="11"/>
    <n v="3000"/>
  </r>
  <r>
    <x v="11"/>
    <n v="2025"/>
    <x v="8"/>
    <x v="3"/>
    <s v="Preservativo Masculino"/>
    <s v="Cores e Sabores"/>
    <x v="11"/>
    <n v="0"/>
  </r>
  <r>
    <x v="11"/>
    <n v="2025"/>
    <x v="9"/>
    <x v="3"/>
    <s v="Preservativo Masculino"/>
    <s v="Cores e Sabores"/>
    <x v="11"/>
    <n v="3000"/>
  </r>
  <r>
    <x v="11"/>
    <n v="2025"/>
    <x v="10"/>
    <x v="3"/>
    <s v="Preservativo Masculino"/>
    <s v="Cores e Sabores"/>
    <x v="11"/>
    <n v="0"/>
  </r>
  <r>
    <x v="11"/>
    <n v="2025"/>
    <x v="11"/>
    <x v="3"/>
    <s v="Preservativo Masculino"/>
    <s v="Cores e Sabores"/>
    <x v="11"/>
    <n v="3000"/>
  </r>
  <r>
    <x v="12"/>
    <n v="2025"/>
    <x v="0"/>
    <x v="3"/>
    <s v="Preservativo Masculino"/>
    <s v="Cores e Sabores"/>
    <x v="12"/>
    <n v="0"/>
  </r>
  <r>
    <x v="12"/>
    <n v="2025"/>
    <x v="1"/>
    <x v="3"/>
    <s v="Preservativo Masculino"/>
    <s v="Cores e Sabores"/>
    <x v="12"/>
    <n v="0"/>
  </r>
  <r>
    <x v="12"/>
    <n v="2025"/>
    <x v="2"/>
    <x v="3"/>
    <s v="Preservativo Masculino"/>
    <s v="Cores e Sabores"/>
    <x v="12"/>
    <n v="0"/>
  </r>
  <r>
    <x v="12"/>
    <n v="2025"/>
    <x v="3"/>
    <x v="3"/>
    <s v="Preservativo Masculino"/>
    <s v="Cores e Sabores"/>
    <x v="12"/>
    <n v="0"/>
  </r>
  <r>
    <x v="12"/>
    <n v="2025"/>
    <x v="4"/>
    <x v="3"/>
    <s v="Preservativo Masculino"/>
    <s v="Cores e Sabores"/>
    <x v="12"/>
    <n v="0"/>
  </r>
  <r>
    <x v="12"/>
    <n v="2025"/>
    <x v="5"/>
    <x v="3"/>
    <s v="Preservativo Masculino"/>
    <s v="Cores e Sabores"/>
    <x v="12"/>
    <n v="3000"/>
  </r>
  <r>
    <x v="12"/>
    <n v="2025"/>
    <x v="6"/>
    <x v="3"/>
    <s v="Preservativo Masculino"/>
    <s v="Cores e Sabores"/>
    <x v="12"/>
    <n v="0"/>
  </r>
  <r>
    <x v="12"/>
    <n v="2025"/>
    <x v="7"/>
    <x v="3"/>
    <s v="Preservativo Masculino"/>
    <s v="Cores e Sabores"/>
    <x v="12"/>
    <n v="0"/>
  </r>
  <r>
    <x v="12"/>
    <n v="2025"/>
    <x v="8"/>
    <x v="3"/>
    <s v="Preservativo Masculino"/>
    <s v="Cores e Sabores"/>
    <x v="12"/>
    <n v="6000"/>
  </r>
  <r>
    <x v="12"/>
    <n v="2025"/>
    <x v="9"/>
    <x v="3"/>
    <s v="Preservativo Masculino"/>
    <s v="Cores e Sabores"/>
    <x v="12"/>
    <n v="0"/>
  </r>
  <r>
    <x v="12"/>
    <n v="2025"/>
    <x v="10"/>
    <x v="3"/>
    <s v="Preservativo Masculino"/>
    <s v="Cores e Sabores"/>
    <x v="12"/>
    <n v="0"/>
  </r>
  <r>
    <x v="12"/>
    <n v="2025"/>
    <x v="11"/>
    <x v="3"/>
    <s v="Preservativo Masculino"/>
    <s v="Cores e Sabores"/>
    <x v="12"/>
    <n v="0"/>
  </r>
  <r>
    <x v="13"/>
    <n v="2025"/>
    <x v="0"/>
    <x v="3"/>
    <s v="Preservativo Masculino"/>
    <s v="Cores e Sabores"/>
    <x v="13"/>
    <n v="0"/>
  </r>
  <r>
    <x v="13"/>
    <n v="2025"/>
    <x v="1"/>
    <x v="3"/>
    <s v="Preservativo Masculino"/>
    <s v="Cores e Sabores"/>
    <x v="13"/>
    <n v="0"/>
  </r>
  <r>
    <x v="13"/>
    <n v="2025"/>
    <x v="2"/>
    <x v="3"/>
    <s v="Preservativo Masculino"/>
    <s v="Cores e Sabores"/>
    <x v="13"/>
    <n v="0"/>
  </r>
  <r>
    <x v="13"/>
    <n v="2025"/>
    <x v="3"/>
    <x v="3"/>
    <s v="Preservativo Masculino"/>
    <s v="Cores e Sabores"/>
    <x v="13"/>
    <n v="0"/>
  </r>
  <r>
    <x v="13"/>
    <n v="2025"/>
    <x v="4"/>
    <x v="3"/>
    <s v="Preservativo Masculino"/>
    <s v="Cores e Sabores"/>
    <x v="13"/>
    <n v="0"/>
  </r>
  <r>
    <x v="13"/>
    <n v="2025"/>
    <x v="5"/>
    <x v="3"/>
    <s v="Preservativo Masculino"/>
    <s v="Cores e Sabores"/>
    <x v="13"/>
    <n v="0"/>
  </r>
  <r>
    <x v="13"/>
    <n v="2025"/>
    <x v="6"/>
    <x v="3"/>
    <s v="Preservativo Masculino"/>
    <s v="Cores e Sabores"/>
    <x v="13"/>
    <n v="0"/>
  </r>
  <r>
    <x v="13"/>
    <n v="2025"/>
    <x v="7"/>
    <x v="3"/>
    <s v="Preservativo Masculino"/>
    <s v="Cores e Sabores"/>
    <x v="13"/>
    <n v="5280"/>
  </r>
  <r>
    <x v="13"/>
    <n v="2025"/>
    <x v="8"/>
    <x v="3"/>
    <s v="Preservativo Masculino"/>
    <s v="Cores e Sabores"/>
    <x v="13"/>
    <n v="5280"/>
  </r>
  <r>
    <x v="13"/>
    <n v="2025"/>
    <x v="9"/>
    <x v="3"/>
    <s v="Preservativo Masculino"/>
    <s v="Cores e Sabores"/>
    <x v="13"/>
    <n v="0"/>
  </r>
  <r>
    <x v="13"/>
    <n v="2025"/>
    <x v="10"/>
    <x v="3"/>
    <s v="Preservativo Masculino"/>
    <s v="Cores e Sabores"/>
    <x v="13"/>
    <n v="0"/>
  </r>
  <r>
    <x v="13"/>
    <n v="2025"/>
    <x v="11"/>
    <x v="3"/>
    <s v="Preservativo Masculino"/>
    <s v="Cores e Sabores"/>
    <x v="13"/>
    <n v="0"/>
  </r>
  <r>
    <x v="14"/>
    <n v="2025"/>
    <x v="0"/>
    <x v="3"/>
    <s v="Preservativo Masculino"/>
    <s v="Cores e Sabores"/>
    <x v="14"/>
    <n v="0"/>
  </r>
  <r>
    <x v="14"/>
    <n v="2025"/>
    <x v="1"/>
    <x v="3"/>
    <s v="Preservativo Masculino"/>
    <s v="Cores e Sabores"/>
    <x v="14"/>
    <n v="0"/>
  </r>
  <r>
    <x v="14"/>
    <n v="2025"/>
    <x v="2"/>
    <x v="3"/>
    <s v="Preservativo Masculino"/>
    <s v="Cores e Sabores"/>
    <x v="14"/>
    <n v="0"/>
  </r>
  <r>
    <x v="14"/>
    <n v="2025"/>
    <x v="3"/>
    <x v="3"/>
    <s v="Preservativo Masculino"/>
    <s v="Cores e Sabores"/>
    <x v="14"/>
    <n v="0"/>
  </r>
  <r>
    <x v="14"/>
    <n v="2025"/>
    <x v="4"/>
    <x v="3"/>
    <s v="Preservativo Masculino"/>
    <s v="Cores e Sabores"/>
    <x v="14"/>
    <n v="2625"/>
  </r>
  <r>
    <x v="14"/>
    <n v="2025"/>
    <x v="5"/>
    <x v="3"/>
    <s v="Preservativo Masculino"/>
    <s v="Cores e Sabores"/>
    <x v="14"/>
    <n v="0"/>
  </r>
  <r>
    <x v="14"/>
    <n v="2025"/>
    <x v="6"/>
    <x v="3"/>
    <s v="Preservativo Masculino"/>
    <s v="Cores e Sabores"/>
    <x v="14"/>
    <n v="3000"/>
  </r>
  <r>
    <x v="14"/>
    <n v="2025"/>
    <x v="7"/>
    <x v="3"/>
    <s v="Preservativo Masculino"/>
    <s v="Cores e Sabores"/>
    <x v="14"/>
    <n v="0"/>
  </r>
  <r>
    <x v="14"/>
    <n v="2025"/>
    <x v="8"/>
    <x v="3"/>
    <s v="Preservativo Masculino"/>
    <s v="Cores e Sabores"/>
    <x v="14"/>
    <n v="0"/>
  </r>
  <r>
    <x v="14"/>
    <n v="2025"/>
    <x v="9"/>
    <x v="3"/>
    <s v="Preservativo Masculino"/>
    <s v="Cores e Sabores"/>
    <x v="14"/>
    <n v="0"/>
  </r>
  <r>
    <x v="14"/>
    <n v="2025"/>
    <x v="10"/>
    <x v="3"/>
    <s v="Preservativo Masculino"/>
    <s v="Cores e Sabores"/>
    <x v="14"/>
    <n v="0"/>
  </r>
  <r>
    <x v="14"/>
    <n v="2025"/>
    <x v="11"/>
    <x v="3"/>
    <s v="Preservativo Masculino"/>
    <s v="Cores e Sabores"/>
    <x v="14"/>
    <n v="0"/>
  </r>
  <r>
    <x v="15"/>
    <n v="2025"/>
    <x v="0"/>
    <x v="3"/>
    <s v="Preservativo Masculino"/>
    <s v="Performance"/>
    <x v="15"/>
    <n v="0"/>
  </r>
  <r>
    <x v="15"/>
    <n v="2025"/>
    <x v="1"/>
    <x v="3"/>
    <s v="Preservativo Masculino"/>
    <s v="Performance"/>
    <x v="15"/>
    <n v="0"/>
  </r>
  <r>
    <x v="15"/>
    <n v="2025"/>
    <x v="2"/>
    <x v="3"/>
    <s v="Preservativo Masculino"/>
    <s v="Performance"/>
    <x v="15"/>
    <n v="0"/>
  </r>
  <r>
    <x v="15"/>
    <n v="2025"/>
    <x v="3"/>
    <x v="3"/>
    <s v="Preservativo Masculino"/>
    <s v="Performance"/>
    <x v="15"/>
    <n v="0"/>
  </r>
  <r>
    <x v="15"/>
    <n v="2025"/>
    <x v="4"/>
    <x v="3"/>
    <s v="Preservativo Masculino"/>
    <s v="Performance"/>
    <x v="15"/>
    <n v="6300"/>
  </r>
  <r>
    <x v="15"/>
    <n v="2025"/>
    <x v="5"/>
    <x v="3"/>
    <s v="Preservativo Masculino"/>
    <s v="Performance"/>
    <x v="15"/>
    <n v="8400"/>
  </r>
  <r>
    <x v="15"/>
    <n v="2025"/>
    <x v="6"/>
    <x v="3"/>
    <s v="Preservativo Masculino"/>
    <s v="Performance"/>
    <x v="15"/>
    <n v="6300"/>
  </r>
  <r>
    <x v="15"/>
    <n v="2025"/>
    <x v="7"/>
    <x v="3"/>
    <s v="Preservativo Masculino"/>
    <s v="Performance"/>
    <x v="15"/>
    <n v="6300"/>
  </r>
  <r>
    <x v="15"/>
    <n v="2025"/>
    <x v="8"/>
    <x v="3"/>
    <s v="Preservativo Masculino"/>
    <s v="Performance"/>
    <x v="15"/>
    <n v="6300"/>
  </r>
  <r>
    <x v="15"/>
    <n v="2025"/>
    <x v="9"/>
    <x v="3"/>
    <s v="Preservativo Masculino"/>
    <s v="Performance"/>
    <x v="15"/>
    <n v="4200"/>
  </r>
  <r>
    <x v="15"/>
    <n v="2025"/>
    <x v="10"/>
    <x v="3"/>
    <s v="Preservativo Masculino"/>
    <s v="Performance"/>
    <x v="15"/>
    <n v="2100"/>
  </r>
  <r>
    <x v="15"/>
    <n v="2025"/>
    <x v="11"/>
    <x v="3"/>
    <s v="Preservativo Masculino"/>
    <s v="Performance"/>
    <x v="15"/>
    <n v="2100"/>
  </r>
  <r>
    <x v="16"/>
    <n v="2025"/>
    <x v="0"/>
    <x v="3"/>
    <s v="Preservativo Masculino"/>
    <s v="Performance"/>
    <x v="16"/>
    <n v="0"/>
  </r>
  <r>
    <x v="16"/>
    <n v="2025"/>
    <x v="1"/>
    <x v="3"/>
    <s v="Preservativo Masculino"/>
    <s v="Performance"/>
    <x v="16"/>
    <n v="0"/>
  </r>
  <r>
    <x v="16"/>
    <n v="2025"/>
    <x v="2"/>
    <x v="3"/>
    <s v="Preservativo Masculino"/>
    <s v="Performance"/>
    <x v="16"/>
    <n v="0"/>
  </r>
  <r>
    <x v="16"/>
    <n v="2025"/>
    <x v="3"/>
    <x v="3"/>
    <s v="Preservativo Masculino"/>
    <s v="Performance"/>
    <x v="16"/>
    <n v="0"/>
  </r>
  <r>
    <x v="16"/>
    <n v="2025"/>
    <x v="4"/>
    <x v="3"/>
    <s v="Preservativo Masculino"/>
    <s v="Performance"/>
    <x v="16"/>
    <n v="0"/>
  </r>
  <r>
    <x v="16"/>
    <n v="2025"/>
    <x v="5"/>
    <x v="3"/>
    <s v="Preservativo Masculino"/>
    <s v="Performance"/>
    <x v="16"/>
    <n v="6000"/>
  </r>
  <r>
    <x v="16"/>
    <n v="2025"/>
    <x v="6"/>
    <x v="3"/>
    <s v="Preservativo Masculino"/>
    <s v="Performance"/>
    <x v="16"/>
    <n v="6000"/>
  </r>
  <r>
    <x v="16"/>
    <n v="2025"/>
    <x v="7"/>
    <x v="3"/>
    <s v="Preservativo Masculino"/>
    <s v="Performance"/>
    <x v="16"/>
    <n v="6000"/>
  </r>
  <r>
    <x v="16"/>
    <n v="2025"/>
    <x v="8"/>
    <x v="3"/>
    <s v="Preservativo Masculino"/>
    <s v="Performance"/>
    <x v="16"/>
    <n v="0"/>
  </r>
  <r>
    <x v="16"/>
    <n v="2025"/>
    <x v="9"/>
    <x v="3"/>
    <s v="Preservativo Masculino"/>
    <s v="Performance"/>
    <x v="16"/>
    <n v="0"/>
  </r>
  <r>
    <x v="16"/>
    <n v="2025"/>
    <x v="10"/>
    <x v="3"/>
    <s v="Preservativo Masculino"/>
    <s v="Performance"/>
    <x v="16"/>
    <n v="3000"/>
  </r>
  <r>
    <x v="16"/>
    <n v="2025"/>
    <x v="11"/>
    <x v="3"/>
    <s v="Preservativo Masculino"/>
    <s v="Performance"/>
    <x v="16"/>
    <n v="3000"/>
  </r>
  <r>
    <x v="17"/>
    <n v="2025"/>
    <x v="0"/>
    <x v="3"/>
    <s v="Preservativo Masculino"/>
    <s v="Performance"/>
    <x v="17"/>
    <n v="0"/>
  </r>
  <r>
    <x v="17"/>
    <n v="2025"/>
    <x v="1"/>
    <x v="3"/>
    <s v="Preservativo Masculino"/>
    <s v="Performance"/>
    <x v="17"/>
    <n v="0"/>
  </r>
  <r>
    <x v="17"/>
    <n v="2025"/>
    <x v="2"/>
    <x v="3"/>
    <s v="Preservativo Masculino"/>
    <s v="Performance"/>
    <x v="17"/>
    <n v="0"/>
  </r>
  <r>
    <x v="17"/>
    <n v="2025"/>
    <x v="3"/>
    <x v="3"/>
    <s v="Preservativo Masculino"/>
    <s v="Performance"/>
    <x v="17"/>
    <n v="0"/>
  </r>
  <r>
    <x v="17"/>
    <n v="2025"/>
    <x v="4"/>
    <x v="3"/>
    <s v="Preservativo Masculino"/>
    <s v="Performance"/>
    <x v="17"/>
    <n v="0"/>
  </r>
  <r>
    <x v="17"/>
    <n v="2025"/>
    <x v="5"/>
    <x v="3"/>
    <s v="Preservativo Masculino"/>
    <s v="Performance"/>
    <x v="17"/>
    <n v="0"/>
  </r>
  <r>
    <x v="17"/>
    <n v="2025"/>
    <x v="6"/>
    <x v="3"/>
    <s v="Preservativo Masculino"/>
    <s v="Performance"/>
    <x v="17"/>
    <n v="0"/>
  </r>
  <r>
    <x v="17"/>
    <n v="2025"/>
    <x v="7"/>
    <x v="3"/>
    <s v="Preservativo Masculino"/>
    <s v="Performance"/>
    <x v="17"/>
    <n v="3000"/>
  </r>
  <r>
    <x v="17"/>
    <n v="2025"/>
    <x v="8"/>
    <x v="3"/>
    <s v="Preservativo Masculino"/>
    <s v="Performance"/>
    <x v="17"/>
    <n v="3000"/>
  </r>
  <r>
    <x v="17"/>
    <n v="2025"/>
    <x v="9"/>
    <x v="3"/>
    <s v="Preservativo Masculino"/>
    <s v="Performance"/>
    <x v="17"/>
    <n v="6000"/>
  </r>
  <r>
    <x v="17"/>
    <n v="2025"/>
    <x v="10"/>
    <x v="3"/>
    <s v="Preservativo Masculino"/>
    <s v="Performance"/>
    <x v="17"/>
    <n v="0"/>
  </r>
  <r>
    <x v="17"/>
    <n v="2025"/>
    <x v="11"/>
    <x v="3"/>
    <s v="Preservativo Masculino"/>
    <s v="Performance"/>
    <x v="17"/>
    <n v="3000"/>
  </r>
  <r>
    <x v="18"/>
    <n v="2025"/>
    <x v="0"/>
    <x v="3"/>
    <s v="Preservativo Masculino"/>
    <s v="Performance"/>
    <x v="18"/>
    <n v="0"/>
  </r>
  <r>
    <x v="18"/>
    <n v="2025"/>
    <x v="1"/>
    <x v="3"/>
    <s v="Preservativo Masculino"/>
    <s v="Performance"/>
    <x v="18"/>
    <n v="0"/>
  </r>
  <r>
    <x v="18"/>
    <n v="2025"/>
    <x v="2"/>
    <x v="3"/>
    <s v="Preservativo Masculino"/>
    <s v="Performance"/>
    <x v="18"/>
    <n v="0"/>
  </r>
  <r>
    <x v="18"/>
    <n v="2025"/>
    <x v="3"/>
    <x v="3"/>
    <s v="Preservativo Masculino"/>
    <s v="Performance"/>
    <x v="18"/>
    <n v="0"/>
  </r>
  <r>
    <x v="18"/>
    <n v="2025"/>
    <x v="4"/>
    <x v="3"/>
    <s v="Preservativo Masculino"/>
    <s v="Performance"/>
    <x v="18"/>
    <n v="0"/>
  </r>
  <r>
    <x v="18"/>
    <n v="2025"/>
    <x v="5"/>
    <x v="3"/>
    <s v="Preservativo Masculino"/>
    <s v="Performance"/>
    <x v="18"/>
    <n v="0"/>
  </r>
  <r>
    <x v="18"/>
    <n v="2025"/>
    <x v="6"/>
    <x v="3"/>
    <s v="Preservativo Masculino"/>
    <s v="Performance"/>
    <x v="18"/>
    <n v="2200"/>
  </r>
  <r>
    <x v="18"/>
    <n v="2025"/>
    <x v="7"/>
    <x v="3"/>
    <s v="Preservativo Masculino"/>
    <s v="Performance"/>
    <x v="18"/>
    <n v="4400"/>
  </r>
  <r>
    <x v="18"/>
    <n v="2025"/>
    <x v="8"/>
    <x v="3"/>
    <s v="Preservativo Masculino"/>
    <s v="Performance"/>
    <x v="18"/>
    <n v="0"/>
  </r>
  <r>
    <x v="18"/>
    <n v="2025"/>
    <x v="9"/>
    <x v="3"/>
    <s v="Preservativo Masculino"/>
    <s v="Performance"/>
    <x v="18"/>
    <n v="6600"/>
  </r>
  <r>
    <x v="18"/>
    <n v="2025"/>
    <x v="10"/>
    <x v="3"/>
    <s v="Preservativo Masculino"/>
    <s v="Performance"/>
    <x v="18"/>
    <n v="0"/>
  </r>
  <r>
    <x v="18"/>
    <n v="2025"/>
    <x v="11"/>
    <x v="3"/>
    <s v="Preservativo Masculino"/>
    <s v="Performance"/>
    <x v="18"/>
    <n v="0"/>
  </r>
  <r>
    <x v="19"/>
    <n v="2025"/>
    <x v="0"/>
    <x v="3"/>
    <s v="Preservativo Masculino"/>
    <s v="Performance"/>
    <x v="19"/>
    <n v="0"/>
  </r>
  <r>
    <x v="19"/>
    <n v="2025"/>
    <x v="1"/>
    <x v="3"/>
    <s v="Preservativo Masculino"/>
    <s v="Performance"/>
    <x v="19"/>
    <n v="0"/>
  </r>
  <r>
    <x v="19"/>
    <n v="2025"/>
    <x v="2"/>
    <x v="3"/>
    <s v="Preservativo Masculino"/>
    <s v="Performance"/>
    <x v="19"/>
    <n v="0"/>
  </r>
  <r>
    <x v="19"/>
    <n v="2025"/>
    <x v="3"/>
    <x v="3"/>
    <s v="Preservativo Masculino"/>
    <s v="Performance"/>
    <x v="19"/>
    <n v="0"/>
  </r>
  <r>
    <x v="19"/>
    <n v="2025"/>
    <x v="4"/>
    <x v="3"/>
    <s v="Preservativo Masculino"/>
    <s v="Performance"/>
    <x v="19"/>
    <n v="2100"/>
  </r>
  <r>
    <x v="19"/>
    <n v="2025"/>
    <x v="5"/>
    <x v="3"/>
    <s v="Preservativo Masculino"/>
    <s v="Performance"/>
    <x v="19"/>
    <n v="2100"/>
  </r>
  <r>
    <x v="19"/>
    <n v="2025"/>
    <x v="6"/>
    <x v="3"/>
    <s v="Preservativo Masculino"/>
    <s v="Performance"/>
    <x v="19"/>
    <n v="6300"/>
  </r>
  <r>
    <x v="19"/>
    <n v="2025"/>
    <x v="7"/>
    <x v="3"/>
    <s v="Preservativo Masculino"/>
    <s v="Performance"/>
    <x v="19"/>
    <n v="6300"/>
  </r>
  <r>
    <x v="19"/>
    <n v="2025"/>
    <x v="8"/>
    <x v="3"/>
    <s v="Preservativo Masculino"/>
    <s v="Performance"/>
    <x v="19"/>
    <n v="4200"/>
  </r>
  <r>
    <x v="19"/>
    <n v="2025"/>
    <x v="9"/>
    <x v="3"/>
    <s v="Preservativo Masculino"/>
    <s v="Performance"/>
    <x v="19"/>
    <n v="0"/>
  </r>
  <r>
    <x v="19"/>
    <n v="2025"/>
    <x v="10"/>
    <x v="3"/>
    <s v="Preservativo Masculino"/>
    <s v="Performance"/>
    <x v="19"/>
    <n v="0"/>
  </r>
  <r>
    <x v="19"/>
    <n v="2025"/>
    <x v="11"/>
    <x v="3"/>
    <s v="Preservativo Masculino"/>
    <s v="Performance"/>
    <x v="19"/>
    <n v="6300"/>
  </r>
  <r>
    <x v="20"/>
    <n v="2025"/>
    <x v="0"/>
    <x v="3"/>
    <s v="Preservativo Masculino"/>
    <s v="Performance"/>
    <x v="20"/>
    <n v="0"/>
  </r>
  <r>
    <x v="20"/>
    <n v="2025"/>
    <x v="1"/>
    <x v="3"/>
    <s v="Preservativo Masculino"/>
    <s v="Performance"/>
    <x v="20"/>
    <n v="0"/>
  </r>
  <r>
    <x v="20"/>
    <n v="2025"/>
    <x v="2"/>
    <x v="3"/>
    <s v="Preservativo Masculino"/>
    <s v="Performance"/>
    <x v="20"/>
    <n v="0"/>
  </r>
  <r>
    <x v="20"/>
    <n v="2025"/>
    <x v="3"/>
    <x v="3"/>
    <s v="Preservativo Masculino"/>
    <s v="Performance"/>
    <x v="20"/>
    <n v="0"/>
  </r>
  <r>
    <x v="20"/>
    <n v="2025"/>
    <x v="4"/>
    <x v="3"/>
    <s v="Preservativo Masculino"/>
    <s v="Performance"/>
    <x v="20"/>
    <n v="1780"/>
  </r>
  <r>
    <x v="20"/>
    <n v="2025"/>
    <x v="5"/>
    <x v="3"/>
    <s v="Preservativo Masculino"/>
    <s v="Performance"/>
    <x v="20"/>
    <n v="7120"/>
  </r>
  <r>
    <x v="20"/>
    <n v="2025"/>
    <x v="6"/>
    <x v="3"/>
    <s v="Preservativo Masculino"/>
    <s v="Performance"/>
    <x v="20"/>
    <n v="2920"/>
  </r>
  <r>
    <x v="20"/>
    <n v="2025"/>
    <x v="7"/>
    <x v="3"/>
    <s v="Preservativo Masculino"/>
    <s v="Performance"/>
    <x v="20"/>
    <n v="5340"/>
  </r>
  <r>
    <x v="20"/>
    <n v="2025"/>
    <x v="8"/>
    <x v="3"/>
    <s v="Preservativo Masculino"/>
    <s v="Performance"/>
    <x v="20"/>
    <n v="3560"/>
  </r>
  <r>
    <x v="20"/>
    <n v="2025"/>
    <x v="9"/>
    <x v="3"/>
    <s v="Preservativo Masculino"/>
    <s v="Performance"/>
    <x v="20"/>
    <n v="0"/>
  </r>
  <r>
    <x v="20"/>
    <n v="2025"/>
    <x v="10"/>
    <x v="3"/>
    <s v="Preservativo Masculino"/>
    <s v="Performance"/>
    <x v="20"/>
    <n v="5340"/>
  </r>
  <r>
    <x v="20"/>
    <n v="2025"/>
    <x v="11"/>
    <x v="3"/>
    <s v="Preservativo Masculino"/>
    <s v="Performance"/>
    <x v="20"/>
    <n v="1780"/>
  </r>
  <r>
    <x v="21"/>
    <n v="2025"/>
    <x v="0"/>
    <x v="3"/>
    <s v="Preservativo Masculino"/>
    <s v="Performance"/>
    <x v="21"/>
    <n v="0"/>
  </r>
  <r>
    <x v="21"/>
    <n v="2025"/>
    <x v="1"/>
    <x v="3"/>
    <s v="Preservativo Masculino"/>
    <s v="Performance"/>
    <x v="21"/>
    <n v="0"/>
  </r>
  <r>
    <x v="21"/>
    <n v="2025"/>
    <x v="2"/>
    <x v="3"/>
    <s v="Preservativo Masculino"/>
    <s v="Performance"/>
    <x v="21"/>
    <n v="0"/>
  </r>
  <r>
    <x v="21"/>
    <n v="2025"/>
    <x v="3"/>
    <x v="3"/>
    <s v="Preservativo Masculino"/>
    <s v="Performance"/>
    <x v="21"/>
    <n v="0"/>
  </r>
  <r>
    <x v="21"/>
    <n v="2025"/>
    <x v="4"/>
    <x v="3"/>
    <s v="Preservativo Masculino"/>
    <s v="Performance"/>
    <x v="21"/>
    <n v="2200"/>
  </r>
  <r>
    <x v="21"/>
    <n v="2025"/>
    <x v="5"/>
    <x v="3"/>
    <s v="Preservativo Masculino"/>
    <s v="Performance"/>
    <x v="21"/>
    <n v="0"/>
  </r>
  <r>
    <x v="21"/>
    <n v="2025"/>
    <x v="6"/>
    <x v="3"/>
    <s v="Preservativo Masculino"/>
    <s v="Performance"/>
    <x v="21"/>
    <n v="0"/>
  </r>
  <r>
    <x v="21"/>
    <n v="2025"/>
    <x v="7"/>
    <x v="3"/>
    <s v="Preservativo Masculino"/>
    <s v="Performance"/>
    <x v="21"/>
    <n v="0"/>
  </r>
  <r>
    <x v="21"/>
    <n v="2025"/>
    <x v="8"/>
    <x v="3"/>
    <s v="Preservativo Masculino"/>
    <s v="Performance"/>
    <x v="21"/>
    <n v="0"/>
  </r>
  <r>
    <x v="21"/>
    <n v="2025"/>
    <x v="9"/>
    <x v="3"/>
    <s v="Preservativo Masculino"/>
    <s v="Performance"/>
    <x v="21"/>
    <n v="0"/>
  </r>
  <r>
    <x v="21"/>
    <n v="2025"/>
    <x v="10"/>
    <x v="3"/>
    <s v="Preservativo Masculino"/>
    <s v="Performance"/>
    <x v="21"/>
    <n v="0"/>
  </r>
  <r>
    <x v="21"/>
    <n v="2025"/>
    <x v="11"/>
    <x v="3"/>
    <s v="Preservativo Masculino"/>
    <s v="Performance"/>
    <x v="21"/>
    <n v="0"/>
  </r>
  <r>
    <x v="22"/>
    <n v="2025"/>
    <x v="0"/>
    <x v="3"/>
    <s v="Preservativo Masculino"/>
    <s v="Cores e Sabores"/>
    <x v="22"/>
    <n v="0"/>
  </r>
  <r>
    <x v="22"/>
    <n v="2025"/>
    <x v="1"/>
    <x v="3"/>
    <s v="Preservativo Masculino"/>
    <s v="Cores e Sabores"/>
    <x v="22"/>
    <n v="0"/>
  </r>
  <r>
    <x v="22"/>
    <n v="2025"/>
    <x v="2"/>
    <x v="3"/>
    <s v="Preservativo Masculino"/>
    <s v="Cores e Sabores"/>
    <x v="22"/>
    <n v="0"/>
  </r>
  <r>
    <x v="22"/>
    <n v="2025"/>
    <x v="3"/>
    <x v="3"/>
    <s v="Preservativo Masculino"/>
    <s v="Cores e Sabores"/>
    <x v="22"/>
    <n v="0"/>
  </r>
  <r>
    <x v="22"/>
    <n v="2025"/>
    <x v="4"/>
    <x v="3"/>
    <s v="Preservativo Masculino"/>
    <s v="Cores e Sabores"/>
    <x v="22"/>
    <n v="0"/>
  </r>
  <r>
    <x v="22"/>
    <n v="2025"/>
    <x v="5"/>
    <x v="3"/>
    <s v="Preservativo Masculino"/>
    <s v="Cores e Sabores"/>
    <x v="22"/>
    <n v="0"/>
  </r>
  <r>
    <x v="22"/>
    <n v="2025"/>
    <x v="6"/>
    <x v="3"/>
    <s v="Preservativo Masculino"/>
    <s v="Cores e Sabores"/>
    <x v="22"/>
    <n v="0"/>
  </r>
  <r>
    <x v="22"/>
    <n v="2025"/>
    <x v="7"/>
    <x v="3"/>
    <s v="Preservativo Masculino"/>
    <s v="Cores e Sabores"/>
    <x v="22"/>
    <n v="0"/>
  </r>
  <r>
    <x v="22"/>
    <n v="2025"/>
    <x v="8"/>
    <x v="3"/>
    <s v="Preservativo Masculino"/>
    <s v="Cores e Sabores"/>
    <x v="22"/>
    <n v="3000"/>
  </r>
  <r>
    <x v="22"/>
    <n v="2025"/>
    <x v="9"/>
    <x v="3"/>
    <s v="Preservativo Masculino"/>
    <s v="Cores e Sabores"/>
    <x v="22"/>
    <n v="0"/>
  </r>
  <r>
    <x v="22"/>
    <n v="2025"/>
    <x v="10"/>
    <x v="3"/>
    <s v="Preservativo Masculino"/>
    <s v="Cores e Sabores"/>
    <x v="22"/>
    <n v="0"/>
  </r>
  <r>
    <x v="22"/>
    <n v="2025"/>
    <x v="11"/>
    <x v="3"/>
    <s v="Preservativo Masculino"/>
    <s v="Cores e Sabores"/>
    <x v="22"/>
    <n v="0"/>
  </r>
  <r>
    <x v="23"/>
    <n v="2025"/>
    <x v="0"/>
    <x v="3"/>
    <s v="Preservativo Masculino"/>
    <s v="Performance"/>
    <x v="23"/>
    <n v="0"/>
  </r>
  <r>
    <x v="23"/>
    <n v="2025"/>
    <x v="1"/>
    <x v="3"/>
    <s v="Preservativo Masculino"/>
    <s v="Performance"/>
    <x v="23"/>
    <n v="0"/>
  </r>
  <r>
    <x v="23"/>
    <n v="2025"/>
    <x v="2"/>
    <x v="3"/>
    <s v="Preservativo Masculino"/>
    <s v="Performance"/>
    <x v="23"/>
    <n v="0"/>
  </r>
  <r>
    <x v="23"/>
    <n v="2025"/>
    <x v="3"/>
    <x v="3"/>
    <s v="Preservativo Masculino"/>
    <s v="Performance"/>
    <x v="23"/>
    <n v="0"/>
  </r>
  <r>
    <x v="23"/>
    <n v="2025"/>
    <x v="4"/>
    <x v="3"/>
    <s v="Preservativo Masculino"/>
    <s v="Performance"/>
    <x v="23"/>
    <n v="0"/>
  </r>
  <r>
    <x v="23"/>
    <n v="2025"/>
    <x v="5"/>
    <x v="3"/>
    <s v="Preservativo Masculino"/>
    <s v="Performance"/>
    <x v="23"/>
    <n v="0"/>
  </r>
  <r>
    <x v="23"/>
    <n v="2025"/>
    <x v="6"/>
    <x v="3"/>
    <s v="Preservativo Masculino"/>
    <s v="Performance"/>
    <x v="23"/>
    <n v="0"/>
  </r>
  <r>
    <x v="23"/>
    <n v="2025"/>
    <x v="7"/>
    <x v="3"/>
    <s v="Preservativo Masculino"/>
    <s v="Performance"/>
    <x v="23"/>
    <n v="0"/>
  </r>
  <r>
    <x v="23"/>
    <n v="2025"/>
    <x v="8"/>
    <x v="3"/>
    <s v="Preservativo Masculino"/>
    <s v="Performance"/>
    <x v="23"/>
    <n v="0"/>
  </r>
  <r>
    <x v="23"/>
    <n v="2025"/>
    <x v="9"/>
    <x v="3"/>
    <s v="Preservativo Masculino"/>
    <s v="Performance"/>
    <x v="23"/>
    <n v="0"/>
  </r>
  <r>
    <x v="23"/>
    <n v="2025"/>
    <x v="10"/>
    <x v="3"/>
    <s v="Preservativo Masculino"/>
    <s v="Performance"/>
    <x v="23"/>
    <n v="0"/>
  </r>
  <r>
    <x v="23"/>
    <n v="2025"/>
    <x v="11"/>
    <x v="3"/>
    <s v="Preservativo Masculino"/>
    <s v="Performance"/>
    <x v="23"/>
    <n v="0"/>
  </r>
  <r>
    <x v="24"/>
    <n v="2025"/>
    <x v="0"/>
    <x v="3"/>
    <s v="Preservativo Masculino"/>
    <s v="Performance"/>
    <x v="24"/>
    <n v="0"/>
  </r>
  <r>
    <x v="24"/>
    <n v="2025"/>
    <x v="1"/>
    <x v="3"/>
    <s v="Preservativo Masculino"/>
    <s v="Performance"/>
    <x v="24"/>
    <n v="0"/>
  </r>
  <r>
    <x v="24"/>
    <n v="2025"/>
    <x v="2"/>
    <x v="3"/>
    <s v="Preservativo Masculino"/>
    <s v="Performance"/>
    <x v="24"/>
    <n v="0"/>
  </r>
  <r>
    <x v="24"/>
    <n v="2025"/>
    <x v="3"/>
    <x v="3"/>
    <s v="Preservativo Masculino"/>
    <s v="Performance"/>
    <x v="24"/>
    <n v="0"/>
  </r>
  <r>
    <x v="24"/>
    <n v="2025"/>
    <x v="4"/>
    <x v="3"/>
    <s v="Preservativo Masculino"/>
    <s v="Performance"/>
    <x v="24"/>
    <n v="3000"/>
  </r>
  <r>
    <x v="24"/>
    <n v="2025"/>
    <x v="5"/>
    <x v="3"/>
    <s v="Preservativo Masculino"/>
    <s v="Performance"/>
    <x v="24"/>
    <n v="0"/>
  </r>
  <r>
    <x v="24"/>
    <n v="2025"/>
    <x v="6"/>
    <x v="3"/>
    <s v="Preservativo Masculino"/>
    <s v="Performance"/>
    <x v="24"/>
    <n v="0"/>
  </r>
  <r>
    <x v="24"/>
    <n v="2025"/>
    <x v="7"/>
    <x v="3"/>
    <s v="Preservativo Masculino"/>
    <s v="Performance"/>
    <x v="24"/>
    <n v="0"/>
  </r>
  <r>
    <x v="24"/>
    <n v="2025"/>
    <x v="8"/>
    <x v="3"/>
    <s v="Preservativo Masculino"/>
    <s v="Performance"/>
    <x v="24"/>
    <n v="0"/>
  </r>
  <r>
    <x v="24"/>
    <n v="2025"/>
    <x v="9"/>
    <x v="3"/>
    <s v="Preservativo Masculino"/>
    <s v="Performance"/>
    <x v="24"/>
    <n v="3000"/>
  </r>
  <r>
    <x v="24"/>
    <n v="2025"/>
    <x v="10"/>
    <x v="3"/>
    <s v="Preservativo Masculino"/>
    <s v="Performance"/>
    <x v="24"/>
    <n v="0"/>
  </r>
  <r>
    <x v="24"/>
    <n v="2025"/>
    <x v="11"/>
    <x v="3"/>
    <s v="Preservativo Masculino"/>
    <s v="Performance"/>
    <x v="24"/>
    <n v="0"/>
  </r>
  <r>
    <x v="25"/>
    <n v="2025"/>
    <x v="0"/>
    <x v="3"/>
    <s v="Preservativo Masculino"/>
    <s v="Performance"/>
    <x v="25"/>
    <n v="0"/>
  </r>
  <r>
    <x v="25"/>
    <n v="2025"/>
    <x v="1"/>
    <x v="3"/>
    <s v="Preservativo Masculino"/>
    <s v="Performance"/>
    <x v="25"/>
    <n v="0"/>
  </r>
  <r>
    <x v="25"/>
    <n v="2025"/>
    <x v="2"/>
    <x v="3"/>
    <s v="Preservativo Masculino"/>
    <s v="Performance"/>
    <x v="25"/>
    <n v="0"/>
  </r>
  <r>
    <x v="25"/>
    <n v="2025"/>
    <x v="3"/>
    <x v="3"/>
    <s v="Preservativo Masculino"/>
    <s v="Performance"/>
    <x v="25"/>
    <n v="0"/>
  </r>
  <r>
    <x v="25"/>
    <n v="2025"/>
    <x v="4"/>
    <x v="3"/>
    <s v="Preservativo Masculino"/>
    <s v="Performance"/>
    <x v="25"/>
    <n v="0"/>
  </r>
  <r>
    <x v="25"/>
    <n v="2025"/>
    <x v="5"/>
    <x v="3"/>
    <s v="Preservativo Masculino"/>
    <s v="Performance"/>
    <x v="25"/>
    <n v="0"/>
  </r>
  <r>
    <x v="25"/>
    <n v="2025"/>
    <x v="6"/>
    <x v="3"/>
    <s v="Preservativo Masculino"/>
    <s v="Performance"/>
    <x v="25"/>
    <n v="0"/>
  </r>
  <r>
    <x v="25"/>
    <n v="2025"/>
    <x v="7"/>
    <x v="3"/>
    <s v="Preservativo Masculino"/>
    <s v="Performance"/>
    <x v="25"/>
    <n v="0"/>
  </r>
  <r>
    <x v="25"/>
    <n v="2025"/>
    <x v="8"/>
    <x v="3"/>
    <s v="Preservativo Masculino"/>
    <s v="Performance"/>
    <x v="25"/>
    <n v="0"/>
  </r>
  <r>
    <x v="25"/>
    <n v="2025"/>
    <x v="9"/>
    <x v="3"/>
    <s v="Preservativo Masculino"/>
    <s v="Performance"/>
    <x v="25"/>
    <n v="0"/>
  </r>
  <r>
    <x v="25"/>
    <n v="2025"/>
    <x v="10"/>
    <x v="3"/>
    <s v="Preservativo Masculino"/>
    <s v="Performance"/>
    <x v="25"/>
    <n v="0"/>
  </r>
  <r>
    <x v="25"/>
    <n v="2025"/>
    <x v="11"/>
    <x v="3"/>
    <s v="Preservativo Masculino"/>
    <s v="Performance"/>
    <x v="25"/>
    <n v="3000"/>
  </r>
  <r>
    <x v="26"/>
    <n v="2025"/>
    <x v="0"/>
    <x v="3"/>
    <s v="Preservativo Masculino"/>
    <s v="Low Price "/>
    <x v="26"/>
    <n v="0"/>
  </r>
  <r>
    <x v="26"/>
    <n v="2025"/>
    <x v="1"/>
    <x v="3"/>
    <s v="Preservativo Masculino"/>
    <s v="Low Price "/>
    <x v="26"/>
    <n v="0"/>
  </r>
  <r>
    <x v="26"/>
    <n v="2025"/>
    <x v="2"/>
    <x v="3"/>
    <s v="Preservativo Masculino"/>
    <s v="Low Price "/>
    <x v="26"/>
    <n v="0"/>
  </r>
  <r>
    <x v="26"/>
    <n v="2025"/>
    <x v="3"/>
    <x v="3"/>
    <s v="Preservativo Masculino"/>
    <s v="Low Price "/>
    <x v="26"/>
    <n v="0"/>
  </r>
  <r>
    <x v="26"/>
    <n v="2025"/>
    <x v="4"/>
    <x v="3"/>
    <s v="Preservativo Masculino"/>
    <s v="Low Price "/>
    <x v="26"/>
    <n v="0"/>
  </r>
  <r>
    <x v="26"/>
    <n v="2025"/>
    <x v="5"/>
    <x v="3"/>
    <s v="Preservativo Masculino"/>
    <s v="Low Price "/>
    <x v="26"/>
    <n v="0"/>
  </r>
  <r>
    <x v="26"/>
    <n v="2025"/>
    <x v="6"/>
    <x v="3"/>
    <s v="Preservativo Masculino"/>
    <s v="Low Price "/>
    <x v="26"/>
    <n v="0"/>
  </r>
  <r>
    <x v="26"/>
    <n v="2025"/>
    <x v="7"/>
    <x v="3"/>
    <s v="Preservativo Masculino"/>
    <s v="Low Price "/>
    <x v="26"/>
    <n v="3000"/>
  </r>
  <r>
    <x v="26"/>
    <n v="2025"/>
    <x v="8"/>
    <x v="3"/>
    <s v="Preservativo Masculino"/>
    <s v="Low Price "/>
    <x v="26"/>
    <n v="0"/>
  </r>
  <r>
    <x v="26"/>
    <n v="2025"/>
    <x v="9"/>
    <x v="3"/>
    <s v="Preservativo Masculino"/>
    <s v="Low Price "/>
    <x v="26"/>
    <n v="12000"/>
  </r>
  <r>
    <x v="26"/>
    <n v="2025"/>
    <x v="10"/>
    <x v="3"/>
    <s v="Preservativo Masculino"/>
    <s v="Low Price "/>
    <x v="26"/>
    <n v="3000"/>
  </r>
  <r>
    <x v="26"/>
    <n v="2025"/>
    <x v="11"/>
    <x v="3"/>
    <s v="Preservativo Masculino"/>
    <s v="Low Price "/>
    <x v="26"/>
    <n v="0"/>
  </r>
  <r>
    <x v="27"/>
    <n v="2025"/>
    <x v="0"/>
    <x v="3"/>
    <s v="Preservativo Masculino"/>
    <s v="Low Price "/>
    <x v="27"/>
    <n v="0"/>
  </r>
  <r>
    <x v="27"/>
    <n v="2025"/>
    <x v="1"/>
    <x v="3"/>
    <s v="Preservativo Masculino"/>
    <s v="Low Price "/>
    <x v="27"/>
    <n v="0"/>
  </r>
  <r>
    <x v="27"/>
    <n v="2025"/>
    <x v="2"/>
    <x v="3"/>
    <s v="Preservativo Masculino"/>
    <s v="Low Price "/>
    <x v="27"/>
    <n v="0"/>
  </r>
  <r>
    <x v="27"/>
    <n v="2025"/>
    <x v="3"/>
    <x v="3"/>
    <s v="Preservativo Masculino"/>
    <s v="Low Price "/>
    <x v="27"/>
    <n v="0"/>
  </r>
  <r>
    <x v="27"/>
    <n v="2025"/>
    <x v="4"/>
    <x v="3"/>
    <s v="Preservativo Masculino"/>
    <s v="Low Price "/>
    <x v="27"/>
    <n v="0"/>
  </r>
  <r>
    <x v="27"/>
    <n v="2025"/>
    <x v="5"/>
    <x v="3"/>
    <s v="Preservativo Masculino"/>
    <s v="Low Price "/>
    <x v="27"/>
    <n v="0"/>
  </r>
  <r>
    <x v="27"/>
    <n v="2025"/>
    <x v="6"/>
    <x v="3"/>
    <s v="Preservativo Masculino"/>
    <s v="Low Price "/>
    <x v="27"/>
    <n v="2660"/>
  </r>
  <r>
    <x v="27"/>
    <n v="2025"/>
    <x v="7"/>
    <x v="3"/>
    <s v="Preservativo Masculino"/>
    <s v="Low Price "/>
    <x v="27"/>
    <n v="3000"/>
  </r>
  <r>
    <x v="27"/>
    <n v="2025"/>
    <x v="8"/>
    <x v="3"/>
    <s v="Preservativo Masculino"/>
    <s v="Low Price "/>
    <x v="27"/>
    <n v="0"/>
  </r>
  <r>
    <x v="27"/>
    <n v="2025"/>
    <x v="9"/>
    <x v="3"/>
    <s v="Preservativo Masculino"/>
    <s v="Low Price "/>
    <x v="27"/>
    <n v="3000"/>
  </r>
  <r>
    <x v="27"/>
    <n v="2025"/>
    <x v="10"/>
    <x v="3"/>
    <s v="Preservativo Masculino"/>
    <s v="Low Price "/>
    <x v="27"/>
    <n v="3000"/>
  </r>
  <r>
    <x v="27"/>
    <n v="2025"/>
    <x v="11"/>
    <x v="3"/>
    <s v="Preservativo Masculino"/>
    <s v="Low Price "/>
    <x v="27"/>
    <n v="0"/>
  </r>
  <r>
    <x v="28"/>
    <n v="2025"/>
    <x v="0"/>
    <x v="3"/>
    <s v="Preservativo Masculino"/>
    <s v="Low Price "/>
    <x v="28"/>
    <n v="0"/>
  </r>
  <r>
    <x v="28"/>
    <n v="2025"/>
    <x v="1"/>
    <x v="3"/>
    <s v="Preservativo Masculino"/>
    <s v="Low Price "/>
    <x v="28"/>
    <n v="0"/>
  </r>
  <r>
    <x v="28"/>
    <n v="2025"/>
    <x v="2"/>
    <x v="3"/>
    <s v="Preservativo Masculino"/>
    <s v="Low Price "/>
    <x v="28"/>
    <n v="0"/>
  </r>
  <r>
    <x v="28"/>
    <n v="2025"/>
    <x v="3"/>
    <x v="3"/>
    <s v="Preservativo Masculino"/>
    <s v="Low Price "/>
    <x v="28"/>
    <n v="0"/>
  </r>
  <r>
    <x v="28"/>
    <n v="2025"/>
    <x v="4"/>
    <x v="3"/>
    <s v="Preservativo Masculino"/>
    <s v="Low Price "/>
    <x v="28"/>
    <n v="0"/>
  </r>
  <r>
    <x v="28"/>
    <n v="2025"/>
    <x v="5"/>
    <x v="3"/>
    <s v="Preservativo Masculino"/>
    <s v="Low Price "/>
    <x v="28"/>
    <n v="0"/>
  </r>
  <r>
    <x v="28"/>
    <n v="2025"/>
    <x v="6"/>
    <x v="3"/>
    <s v="Preservativo Masculino"/>
    <s v="Low Price "/>
    <x v="28"/>
    <n v="0"/>
  </r>
  <r>
    <x v="28"/>
    <n v="2025"/>
    <x v="7"/>
    <x v="3"/>
    <s v="Preservativo Masculino"/>
    <s v="Low Price "/>
    <x v="28"/>
    <n v="6000"/>
  </r>
  <r>
    <x v="28"/>
    <n v="2025"/>
    <x v="8"/>
    <x v="3"/>
    <s v="Preservativo Masculino"/>
    <s v="Low Price "/>
    <x v="28"/>
    <n v="0"/>
  </r>
  <r>
    <x v="28"/>
    <n v="2025"/>
    <x v="9"/>
    <x v="3"/>
    <s v="Preservativo Masculino"/>
    <s v="Low Price "/>
    <x v="28"/>
    <n v="6000"/>
  </r>
  <r>
    <x v="28"/>
    <n v="2025"/>
    <x v="10"/>
    <x v="3"/>
    <s v="Preservativo Masculino"/>
    <s v="Low Price "/>
    <x v="28"/>
    <n v="9000"/>
  </r>
  <r>
    <x v="28"/>
    <n v="2025"/>
    <x v="11"/>
    <x v="3"/>
    <s v="Preservativo Masculino"/>
    <s v="Low Price "/>
    <x v="28"/>
    <n v="3000"/>
  </r>
  <r>
    <x v="29"/>
    <n v="2025"/>
    <x v="0"/>
    <x v="3"/>
    <s v="Preservativo Masculino"/>
    <s v="Low Price "/>
    <x v="29"/>
    <n v="0"/>
  </r>
  <r>
    <x v="29"/>
    <n v="2025"/>
    <x v="1"/>
    <x v="3"/>
    <s v="Preservativo Masculino"/>
    <s v="Low Price "/>
    <x v="29"/>
    <n v="0"/>
  </r>
  <r>
    <x v="29"/>
    <n v="2025"/>
    <x v="2"/>
    <x v="3"/>
    <s v="Preservativo Masculino"/>
    <s v="Low Price "/>
    <x v="29"/>
    <n v="0"/>
  </r>
  <r>
    <x v="29"/>
    <n v="2025"/>
    <x v="3"/>
    <x v="3"/>
    <s v="Preservativo Masculino"/>
    <s v="Low Price "/>
    <x v="29"/>
    <n v="0"/>
  </r>
  <r>
    <x v="29"/>
    <n v="2025"/>
    <x v="4"/>
    <x v="3"/>
    <s v="Preservativo Masculino"/>
    <s v="Low Price "/>
    <x v="29"/>
    <n v="0"/>
  </r>
  <r>
    <x v="29"/>
    <n v="2025"/>
    <x v="5"/>
    <x v="3"/>
    <s v="Preservativo Masculino"/>
    <s v="Low Price "/>
    <x v="29"/>
    <n v="3000"/>
  </r>
  <r>
    <x v="29"/>
    <n v="2025"/>
    <x v="6"/>
    <x v="3"/>
    <s v="Preservativo Masculino"/>
    <s v="Low Price "/>
    <x v="29"/>
    <n v="7400"/>
  </r>
  <r>
    <x v="29"/>
    <n v="2025"/>
    <x v="7"/>
    <x v="3"/>
    <s v="Preservativo Masculino"/>
    <s v="Low Price "/>
    <x v="29"/>
    <n v="0"/>
  </r>
  <r>
    <x v="29"/>
    <n v="2025"/>
    <x v="8"/>
    <x v="3"/>
    <s v="Preservativo Masculino"/>
    <s v="Low Price "/>
    <x v="29"/>
    <n v="0"/>
  </r>
  <r>
    <x v="29"/>
    <n v="2025"/>
    <x v="9"/>
    <x v="3"/>
    <s v="Preservativo Masculino"/>
    <s v="Low Price "/>
    <x v="29"/>
    <n v="6000"/>
  </r>
  <r>
    <x v="29"/>
    <n v="2025"/>
    <x v="10"/>
    <x v="3"/>
    <s v="Preservativo Masculino"/>
    <s v="Low Price "/>
    <x v="29"/>
    <n v="6000"/>
  </r>
  <r>
    <x v="29"/>
    <n v="2025"/>
    <x v="11"/>
    <x v="3"/>
    <s v="Preservativo Masculino"/>
    <s v="Low Price "/>
    <x v="29"/>
    <n v="0"/>
  </r>
  <r>
    <x v="30"/>
    <n v="2025"/>
    <x v="0"/>
    <x v="3"/>
    <s v="Preservativo Masculino"/>
    <s v="Básico"/>
    <x v="30"/>
    <n v="0"/>
  </r>
  <r>
    <x v="30"/>
    <n v="2025"/>
    <x v="1"/>
    <x v="3"/>
    <s v="Preservativo Masculino"/>
    <s v="Básico"/>
    <x v="30"/>
    <n v="0"/>
  </r>
  <r>
    <x v="30"/>
    <n v="2025"/>
    <x v="2"/>
    <x v="3"/>
    <s v="Preservativo Masculino"/>
    <s v="Básico"/>
    <x v="30"/>
    <n v="0"/>
  </r>
  <r>
    <x v="30"/>
    <n v="2025"/>
    <x v="3"/>
    <x v="3"/>
    <s v="Preservativo Masculino"/>
    <s v="Básico"/>
    <x v="30"/>
    <n v="0"/>
  </r>
  <r>
    <x v="30"/>
    <n v="2025"/>
    <x v="4"/>
    <x v="3"/>
    <s v="Preservativo Masculino"/>
    <s v="Básico"/>
    <x v="30"/>
    <n v="3400"/>
  </r>
  <r>
    <x v="30"/>
    <n v="2025"/>
    <x v="5"/>
    <x v="3"/>
    <s v="Preservativo Masculino"/>
    <s v="Básico"/>
    <x v="30"/>
    <n v="0"/>
  </r>
  <r>
    <x v="30"/>
    <n v="2025"/>
    <x v="6"/>
    <x v="3"/>
    <s v="Preservativo Masculino"/>
    <s v="Básico"/>
    <x v="30"/>
    <n v="0"/>
  </r>
  <r>
    <x v="30"/>
    <n v="2025"/>
    <x v="7"/>
    <x v="3"/>
    <s v="Preservativo Masculino"/>
    <s v="Básico"/>
    <x v="30"/>
    <n v="13600"/>
  </r>
  <r>
    <x v="30"/>
    <n v="2025"/>
    <x v="8"/>
    <x v="3"/>
    <s v="Preservativo Masculino"/>
    <s v="Básico"/>
    <x v="30"/>
    <n v="0"/>
  </r>
  <r>
    <x v="30"/>
    <n v="2025"/>
    <x v="9"/>
    <x v="3"/>
    <s v="Preservativo Masculino"/>
    <s v="Básico"/>
    <x v="30"/>
    <n v="13600"/>
  </r>
  <r>
    <x v="30"/>
    <n v="2025"/>
    <x v="10"/>
    <x v="3"/>
    <s v="Preservativo Masculino"/>
    <s v="Básico"/>
    <x v="30"/>
    <n v="0"/>
  </r>
  <r>
    <x v="30"/>
    <n v="2025"/>
    <x v="11"/>
    <x v="3"/>
    <s v="Preservativo Masculino"/>
    <s v="Básico"/>
    <x v="30"/>
    <n v="3400"/>
  </r>
  <r>
    <x v="31"/>
    <n v="2025"/>
    <x v="0"/>
    <x v="3"/>
    <s v="Preservativo Masculino"/>
    <s v="Básico"/>
    <x v="31"/>
    <n v="0"/>
  </r>
  <r>
    <x v="31"/>
    <n v="2025"/>
    <x v="1"/>
    <x v="3"/>
    <s v="Preservativo Masculino"/>
    <s v="Básico"/>
    <x v="31"/>
    <n v="0"/>
  </r>
  <r>
    <x v="31"/>
    <n v="2025"/>
    <x v="2"/>
    <x v="3"/>
    <s v="Preservativo Masculino"/>
    <s v="Básico"/>
    <x v="31"/>
    <n v="0"/>
  </r>
  <r>
    <x v="31"/>
    <n v="2025"/>
    <x v="3"/>
    <x v="3"/>
    <s v="Preservativo Masculino"/>
    <s v="Básico"/>
    <x v="31"/>
    <n v="0"/>
  </r>
  <r>
    <x v="31"/>
    <n v="2025"/>
    <x v="4"/>
    <x v="3"/>
    <s v="Preservativo Masculino"/>
    <s v="Básico"/>
    <x v="31"/>
    <n v="2500"/>
  </r>
  <r>
    <x v="31"/>
    <n v="2025"/>
    <x v="5"/>
    <x v="3"/>
    <s v="Preservativo Masculino"/>
    <s v="Básico"/>
    <x v="31"/>
    <n v="5000"/>
  </r>
  <r>
    <x v="31"/>
    <n v="2025"/>
    <x v="6"/>
    <x v="3"/>
    <s v="Preservativo Masculino"/>
    <s v="Básico"/>
    <x v="31"/>
    <n v="10400"/>
  </r>
  <r>
    <x v="31"/>
    <n v="2025"/>
    <x v="7"/>
    <x v="3"/>
    <s v="Preservativo Masculino"/>
    <s v="Básico"/>
    <x v="31"/>
    <n v="18200"/>
  </r>
  <r>
    <x v="31"/>
    <n v="2025"/>
    <x v="8"/>
    <x v="3"/>
    <s v="Preservativo Masculino"/>
    <s v="Básico"/>
    <x v="31"/>
    <n v="0"/>
  </r>
  <r>
    <x v="31"/>
    <n v="2025"/>
    <x v="9"/>
    <x v="3"/>
    <s v="Preservativo Masculino"/>
    <s v="Básico"/>
    <x v="31"/>
    <n v="2600"/>
  </r>
  <r>
    <x v="31"/>
    <n v="2025"/>
    <x v="10"/>
    <x v="3"/>
    <s v="Preservativo Masculino"/>
    <s v="Básico"/>
    <x v="31"/>
    <n v="2600"/>
  </r>
  <r>
    <x v="31"/>
    <n v="2025"/>
    <x v="11"/>
    <x v="3"/>
    <s v="Preservativo Masculino"/>
    <s v="Básico"/>
    <x v="31"/>
    <n v="2600"/>
  </r>
  <r>
    <x v="32"/>
    <n v="2025"/>
    <x v="0"/>
    <x v="3"/>
    <s v="Preservativo Masculino"/>
    <s v="Básico"/>
    <x v="32"/>
    <n v="0"/>
  </r>
  <r>
    <x v="32"/>
    <n v="2025"/>
    <x v="1"/>
    <x v="3"/>
    <s v="Preservativo Masculino"/>
    <s v="Básico"/>
    <x v="32"/>
    <n v="0"/>
  </r>
  <r>
    <x v="32"/>
    <n v="2025"/>
    <x v="2"/>
    <x v="3"/>
    <s v="Preservativo Masculino"/>
    <s v="Básico"/>
    <x v="32"/>
    <n v="0"/>
  </r>
  <r>
    <x v="32"/>
    <n v="2025"/>
    <x v="3"/>
    <x v="3"/>
    <s v="Preservativo Masculino"/>
    <s v="Básico"/>
    <x v="32"/>
    <n v="0"/>
  </r>
  <r>
    <x v="32"/>
    <n v="2025"/>
    <x v="4"/>
    <x v="3"/>
    <s v="Preservativo Masculino"/>
    <s v="Básico"/>
    <x v="32"/>
    <n v="6800"/>
  </r>
  <r>
    <x v="32"/>
    <n v="2025"/>
    <x v="5"/>
    <x v="3"/>
    <s v="Preservativo Masculino"/>
    <s v="Básico"/>
    <x v="32"/>
    <n v="6800"/>
  </r>
  <r>
    <x v="32"/>
    <n v="2025"/>
    <x v="6"/>
    <x v="3"/>
    <s v="Preservativo Masculino"/>
    <s v="Básico"/>
    <x v="32"/>
    <n v="0"/>
  </r>
  <r>
    <x v="32"/>
    <n v="2025"/>
    <x v="7"/>
    <x v="3"/>
    <s v="Preservativo Masculino"/>
    <s v="Básico"/>
    <x v="32"/>
    <n v="13600"/>
  </r>
  <r>
    <x v="32"/>
    <n v="2025"/>
    <x v="8"/>
    <x v="3"/>
    <s v="Preservativo Masculino"/>
    <s v="Básico"/>
    <x v="32"/>
    <n v="0"/>
  </r>
  <r>
    <x v="32"/>
    <n v="2025"/>
    <x v="9"/>
    <x v="3"/>
    <s v="Preservativo Masculino"/>
    <s v="Básico"/>
    <x v="32"/>
    <n v="3400"/>
  </r>
  <r>
    <x v="32"/>
    <n v="2025"/>
    <x v="10"/>
    <x v="3"/>
    <s v="Preservativo Masculino"/>
    <s v="Básico"/>
    <x v="32"/>
    <n v="3400"/>
  </r>
  <r>
    <x v="32"/>
    <n v="2025"/>
    <x v="11"/>
    <x v="3"/>
    <s v="Preservativo Masculino"/>
    <s v="Básico"/>
    <x v="32"/>
    <n v="3400"/>
  </r>
  <r>
    <x v="33"/>
    <n v="2025"/>
    <x v="0"/>
    <x v="3"/>
    <s v="Preservativo Masculino"/>
    <s v="Performance"/>
    <x v="33"/>
    <n v="0"/>
  </r>
  <r>
    <x v="33"/>
    <n v="2025"/>
    <x v="1"/>
    <x v="3"/>
    <s v="Preservativo Masculino"/>
    <s v="Performance"/>
    <x v="33"/>
    <n v="0"/>
  </r>
  <r>
    <x v="33"/>
    <n v="2025"/>
    <x v="2"/>
    <x v="3"/>
    <s v="Preservativo Masculino"/>
    <s v="Performance"/>
    <x v="33"/>
    <n v="0"/>
  </r>
  <r>
    <x v="33"/>
    <n v="2025"/>
    <x v="3"/>
    <x v="3"/>
    <s v="Preservativo Masculino"/>
    <s v="Performance"/>
    <x v="33"/>
    <n v="0"/>
  </r>
  <r>
    <x v="33"/>
    <n v="2025"/>
    <x v="4"/>
    <x v="3"/>
    <s v="Preservativo Masculino"/>
    <s v="Performance"/>
    <x v="33"/>
    <n v="0"/>
  </r>
  <r>
    <x v="33"/>
    <n v="2025"/>
    <x v="5"/>
    <x v="3"/>
    <s v="Preservativo Masculino"/>
    <s v="Performance"/>
    <x v="33"/>
    <n v="0"/>
  </r>
  <r>
    <x v="33"/>
    <n v="2025"/>
    <x v="6"/>
    <x v="3"/>
    <s v="Preservativo Masculino"/>
    <s v="Performance"/>
    <x v="33"/>
    <n v="6800"/>
  </r>
  <r>
    <x v="33"/>
    <n v="2025"/>
    <x v="7"/>
    <x v="3"/>
    <s v="Preservativo Masculino"/>
    <s v="Performance"/>
    <x v="33"/>
    <n v="0"/>
  </r>
  <r>
    <x v="33"/>
    <n v="2025"/>
    <x v="8"/>
    <x v="3"/>
    <s v="Preservativo Masculino"/>
    <s v="Performance"/>
    <x v="33"/>
    <n v="0"/>
  </r>
  <r>
    <x v="33"/>
    <n v="2025"/>
    <x v="9"/>
    <x v="3"/>
    <s v="Preservativo Masculino"/>
    <s v="Performance"/>
    <x v="33"/>
    <n v="0"/>
  </r>
  <r>
    <x v="33"/>
    <n v="2025"/>
    <x v="10"/>
    <x v="3"/>
    <s v="Preservativo Masculino"/>
    <s v="Performance"/>
    <x v="33"/>
    <n v="0"/>
  </r>
  <r>
    <x v="33"/>
    <n v="2025"/>
    <x v="11"/>
    <x v="3"/>
    <s v="Preservativo Masculino"/>
    <s v="Performance"/>
    <x v="33"/>
    <n v="0"/>
  </r>
  <r>
    <x v="34"/>
    <n v="2025"/>
    <x v="0"/>
    <x v="3"/>
    <s v="Preservativo Masculino"/>
    <s v="Performance"/>
    <x v="34"/>
    <n v="0"/>
  </r>
  <r>
    <x v="34"/>
    <n v="2025"/>
    <x v="1"/>
    <x v="3"/>
    <s v="Preservativo Masculino"/>
    <s v="Performance"/>
    <x v="34"/>
    <n v="0"/>
  </r>
  <r>
    <x v="34"/>
    <n v="2025"/>
    <x v="2"/>
    <x v="3"/>
    <s v="Preservativo Masculino"/>
    <s v="Performance"/>
    <x v="34"/>
    <n v="0"/>
  </r>
  <r>
    <x v="34"/>
    <n v="2025"/>
    <x v="3"/>
    <x v="3"/>
    <s v="Preservativo Masculino"/>
    <s v="Performance"/>
    <x v="34"/>
    <n v="0"/>
  </r>
  <r>
    <x v="34"/>
    <n v="2025"/>
    <x v="4"/>
    <x v="3"/>
    <s v="Preservativo Masculino"/>
    <s v="Performance"/>
    <x v="34"/>
    <n v="0"/>
  </r>
  <r>
    <x v="34"/>
    <n v="2025"/>
    <x v="5"/>
    <x v="3"/>
    <s v="Preservativo Masculino"/>
    <s v="Performance"/>
    <x v="34"/>
    <n v="17700"/>
  </r>
  <r>
    <x v="34"/>
    <n v="2025"/>
    <x v="6"/>
    <x v="3"/>
    <s v="Preservativo Masculino"/>
    <s v="Performance"/>
    <x v="34"/>
    <n v="5200"/>
  </r>
  <r>
    <x v="34"/>
    <n v="2025"/>
    <x v="7"/>
    <x v="3"/>
    <s v="Preservativo Masculino"/>
    <s v="Performance"/>
    <x v="34"/>
    <n v="0"/>
  </r>
  <r>
    <x v="34"/>
    <n v="2025"/>
    <x v="8"/>
    <x v="3"/>
    <s v="Preservativo Masculino"/>
    <s v="Performance"/>
    <x v="34"/>
    <n v="0"/>
  </r>
  <r>
    <x v="34"/>
    <n v="2025"/>
    <x v="9"/>
    <x v="3"/>
    <s v="Preservativo Masculino"/>
    <s v="Performance"/>
    <x v="34"/>
    <n v="0"/>
  </r>
  <r>
    <x v="34"/>
    <n v="2025"/>
    <x v="10"/>
    <x v="3"/>
    <s v="Preservativo Masculino"/>
    <s v="Performance"/>
    <x v="34"/>
    <n v="0"/>
  </r>
  <r>
    <x v="34"/>
    <n v="2025"/>
    <x v="11"/>
    <x v="3"/>
    <s v="Preservativo Masculino"/>
    <s v="Performance"/>
    <x v="34"/>
    <n v="0"/>
  </r>
  <r>
    <x v="35"/>
    <n v="2025"/>
    <x v="0"/>
    <x v="3"/>
    <s v="Preservativo Masculino"/>
    <s v="Performance"/>
    <x v="35"/>
    <n v="0"/>
  </r>
  <r>
    <x v="35"/>
    <n v="2025"/>
    <x v="1"/>
    <x v="3"/>
    <s v="Preservativo Masculino"/>
    <s v="Performance"/>
    <x v="35"/>
    <n v="0"/>
  </r>
  <r>
    <x v="35"/>
    <n v="2025"/>
    <x v="2"/>
    <x v="3"/>
    <s v="Preservativo Masculino"/>
    <s v="Performance"/>
    <x v="35"/>
    <n v="0"/>
  </r>
  <r>
    <x v="35"/>
    <n v="2025"/>
    <x v="3"/>
    <x v="3"/>
    <s v="Preservativo Masculino"/>
    <s v="Performance"/>
    <x v="35"/>
    <n v="0"/>
  </r>
  <r>
    <x v="35"/>
    <n v="2025"/>
    <x v="4"/>
    <x v="3"/>
    <s v="Preservativo Masculino"/>
    <s v="Performance"/>
    <x v="35"/>
    <n v="0"/>
  </r>
  <r>
    <x v="35"/>
    <n v="2025"/>
    <x v="5"/>
    <x v="3"/>
    <s v="Preservativo Masculino"/>
    <s v="Performance"/>
    <x v="35"/>
    <n v="0"/>
  </r>
  <r>
    <x v="35"/>
    <n v="2025"/>
    <x v="6"/>
    <x v="3"/>
    <s v="Preservativo Masculino"/>
    <s v="Performance"/>
    <x v="35"/>
    <n v="0"/>
  </r>
  <r>
    <x v="35"/>
    <n v="2025"/>
    <x v="7"/>
    <x v="3"/>
    <s v="Preservativo Masculino"/>
    <s v="Performance"/>
    <x v="35"/>
    <n v="3400"/>
  </r>
  <r>
    <x v="35"/>
    <n v="2025"/>
    <x v="8"/>
    <x v="3"/>
    <s v="Preservativo Masculino"/>
    <s v="Performance"/>
    <x v="35"/>
    <n v="0"/>
  </r>
  <r>
    <x v="35"/>
    <n v="2025"/>
    <x v="9"/>
    <x v="3"/>
    <s v="Preservativo Masculino"/>
    <s v="Performance"/>
    <x v="35"/>
    <n v="3400"/>
  </r>
  <r>
    <x v="35"/>
    <n v="2025"/>
    <x v="10"/>
    <x v="3"/>
    <s v="Preservativo Masculino"/>
    <s v="Performance"/>
    <x v="35"/>
    <n v="0"/>
  </r>
  <r>
    <x v="35"/>
    <n v="2025"/>
    <x v="11"/>
    <x v="3"/>
    <s v="Preservativo Masculino"/>
    <s v="Performance"/>
    <x v="35"/>
    <n v="3400"/>
  </r>
  <r>
    <x v="36"/>
    <n v="2025"/>
    <x v="0"/>
    <x v="3"/>
    <s v="Preservativo Masculino"/>
    <s v="Performance"/>
    <x v="36"/>
    <n v="0"/>
  </r>
  <r>
    <x v="36"/>
    <n v="2025"/>
    <x v="1"/>
    <x v="3"/>
    <s v="Preservativo Masculino"/>
    <s v="Performance"/>
    <x v="36"/>
    <n v="0"/>
  </r>
  <r>
    <x v="36"/>
    <n v="2025"/>
    <x v="2"/>
    <x v="3"/>
    <s v="Preservativo Masculino"/>
    <s v="Performance"/>
    <x v="36"/>
    <n v="0"/>
  </r>
  <r>
    <x v="36"/>
    <n v="2025"/>
    <x v="3"/>
    <x v="3"/>
    <s v="Preservativo Masculino"/>
    <s v="Performance"/>
    <x v="36"/>
    <n v="0"/>
  </r>
  <r>
    <x v="36"/>
    <n v="2025"/>
    <x v="4"/>
    <x v="3"/>
    <s v="Preservativo Masculino"/>
    <s v="Performance"/>
    <x v="36"/>
    <n v="0"/>
  </r>
  <r>
    <x v="36"/>
    <n v="2025"/>
    <x v="5"/>
    <x v="3"/>
    <s v="Preservativo Masculino"/>
    <s v="Performance"/>
    <x v="36"/>
    <n v="0"/>
  </r>
  <r>
    <x v="36"/>
    <n v="2025"/>
    <x v="6"/>
    <x v="3"/>
    <s v="Preservativo Masculino"/>
    <s v="Performance"/>
    <x v="36"/>
    <n v="0"/>
  </r>
  <r>
    <x v="36"/>
    <n v="2025"/>
    <x v="7"/>
    <x v="3"/>
    <s v="Preservativo Masculino"/>
    <s v="Performance"/>
    <x v="36"/>
    <n v="0"/>
  </r>
  <r>
    <x v="36"/>
    <n v="2025"/>
    <x v="8"/>
    <x v="3"/>
    <s v="Preservativo Masculino"/>
    <s v="Performance"/>
    <x v="36"/>
    <n v="0"/>
  </r>
  <r>
    <x v="36"/>
    <n v="2025"/>
    <x v="9"/>
    <x v="3"/>
    <s v="Preservativo Masculino"/>
    <s v="Performance"/>
    <x v="36"/>
    <n v="0"/>
  </r>
  <r>
    <x v="36"/>
    <n v="2025"/>
    <x v="10"/>
    <x v="3"/>
    <s v="Preservativo Masculino"/>
    <s v="Performance"/>
    <x v="36"/>
    <n v="0"/>
  </r>
  <r>
    <x v="36"/>
    <n v="2025"/>
    <x v="11"/>
    <x v="3"/>
    <s v="Preservativo Masculino"/>
    <s v="Performance"/>
    <x v="36"/>
    <n v="0"/>
  </r>
  <r>
    <x v="37"/>
    <n v="2025"/>
    <x v="0"/>
    <x v="3"/>
    <s v="Preservativo Masculino"/>
    <s v="Performance"/>
    <x v="37"/>
    <n v="0"/>
  </r>
  <r>
    <x v="37"/>
    <n v="2025"/>
    <x v="1"/>
    <x v="3"/>
    <s v="Preservativo Masculino"/>
    <s v="Performance"/>
    <x v="37"/>
    <n v="0"/>
  </r>
  <r>
    <x v="37"/>
    <n v="2025"/>
    <x v="2"/>
    <x v="3"/>
    <s v="Preservativo Masculino"/>
    <s v="Performance"/>
    <x v="37"/>
    <n v="0"/>
  </r>
  <r>
    <x v="37"/>
    <n v="2025"/>
    <x v="3"/>
    <x v="3"/>
    <s v="Preservativo Masculino"/>
    <s v="Performance"/>
    <x v="37"/>
    <n v="0"/>
  </r>
  <r>
    <x v="37"/>
    <n v="2025"/>
    <x v="4"/>
    <x v="3"/>
    <s v="Preservativo Masculino"/>
    <s v="Performance"/>
    <x v="37"/>
    <n v="0"/>
  </r>
  <r>
    <x v="37"/>
    <n v="2025"/>
    <x v="5"/>
    <x v="3"/>
    <s v="Preservativo Masculino"/>
    <s v="Performance"/>
    <x v="37"/>
    <n v="0"/>
  </r>
  <r>
    <x v="37"/>
    <n v="2025"/>
    <x v="6"/>
    <x v="3"/>
    <s v="Preservativo Masculino"/>
    <s v="Performance"/>
    <x v="37"/>
    <n v="0"/>
  </r>
  <r>
    <x v="37"/>
    <n v="2025"/>
    <x v="7"/>
    <x v="3"/>
    <s v="Preservativo Masculino"/>
    <s v="Performance"/>
    <x v="37"/>
    <n v="0"/>
  </r>
  <r>
    <x v="37"/>
    <n v="2025"/>
    <x v="8"/>
    <x v="3"/>
    <s v="Preservativo Masculino"/>
    <s v="Performance"/>
    <x v="37"/>
    <n v="0"/>
  </r>
  <r>
    <x v="37"/>
    <n v="2025"/>
    <x v="9"/>
    <x v="3"/>
    <s v="Preservativo Masculino"/>
    <s v="Performance"/>
    <x v="37"/>
    <n v="3400"/>
  </r>
  <r>
    <x v="37"/>
    <n v="2025"/>
    <x v="10"/>
    <x v="3"/>
    <s v="Preservativo Masculino"/>
    <s v="Performance"/>
    <x v="37"/>
    <n v="0"/>
  </r>
  <r>
    <x v="37"/>
    <n v="2025"/>
    <x v="11"/>
    <x v="3"/>
    <s v="Preservativo Masculino"/>
    <s v="Performance"/>
    <x v="37"/>
    <n v="0"/>
  </r>
  <r>
    <x v="38"/>
    <n v="2025"/>
    <x v="0"/>
    <x v="3"/>
    <s v="Preservativo Masculino"/>
    <s v="Performance"/>
    <x v="38"/>
    <n v="0"/>
  </r>
  <r>
    <x v="38"/>
    <n v="2025"/>
    <x v="1"/>
    <x v="3"/>
    <s v="Preservativo Masculino"/>
    <s v="Performance"/>
    <x v="38"/>
    <n v="0"/>
  </r>
  <r>
    <x v="38"/>
    <n v="2025"/>
    <x v="2"/>
    <x v="3"/>
    <s v="Preservativo Masculino"/>
    <s v="Performance"/>
    <x v="38"/>
    <n v="0"/>
  </r>
  <r>
    <x v="38"/>
    <n v="2025"/>
    <x v="3"/>
    <x v="3"/>
    <s v="Preservativo Masculino"/>
    <s v="Performance"/>
    <x v="38"/>
    <n v="0"/>
  </r>
  <r>
    <x v="38"/>
    <n v="2025"/>
    <x v="4"/>
    <x v="3"/>
    <s v="Preservativo Masculino"/>
    <s v="Performance"/>
    <x v="38"/>
    <n v="0"/>
  </r>
  <r>
    <x v="38"/>
    <n v="2025"/>
    <x v="5"/>
    <x v="3"/>
    <s v="Preservativo Masculino"/>
    <s v="Performance"/>
    <x v="38"/>
    <n v="0"/>
  </r>
  <r>
    <x v="38"/>
    <n v="2025"/>
    <x v="6"/>
    <x v="3"/>
    <s v="Preservativo Masculino"/>
    <s v="Performance"/>
    <x v="38"/>
    <n v="0"/>
  </r>
  <r>
    <x v="38"/>
    <n v="2025"/>
    <x v="7"/>
    <x v="3"/>
    <s v="Preservativo Masculino"/>
    <s v="Performance"/>
    <x v="38"/>
    <n v="0"/>
  </r>
  <r>
    <x v="38"/>
    <n v="2025"/>
    <x v="8"/>
    <x v="3"/>
    <s v="Preservativo Masculino"/>
    <s v="Performance"/>
    <x v="38"/>
    <n v="0"/>
  </r>
  <r>
    <x v="38"/>
    <n v="2025"/>
    <x v="9"/>
    <x v="3"/>
    <s v="Preservativo Masculino"/>
    <s v="Performance"/>
    <x v="38"/>
    <n v="0"/>
  </r>
  <r>
    <x v="38"/>
    <n v="2025"/>
    <x v="10"/>
    <x v="3"/>
    <s v="Preservativo Masculino"/>
    <s v="Performance"/>
    <x v="38"/>
    <n v="0"/>
  </r>
  <r>
    <x v="38"/>
    <n v="2025"/>
    <x v="11"/>
    <x v="3"/>
    <s v="Preservativo Masculino"/>
    <s v="Performance"/>
    <x v="38"/>
    <n v="0"/>
  </r>
  <r>
    <x v="39"/>
    <n v="2025"/>
    <x v="0"/>
    <x v="3"/>
    <s v="Preservativo Masculino"/>
    <s v="Performance"/>
    <x v="39"/>
    <n v="0"/>
  </r>
  <r>
    <x v="39"/>
    <n v="2025"/>
    <x v="1"/>
    <x v="3"/>
    <s v="Preservativo Masculino"/>
    <s v="Performance"/>
    <x v="39"/>
    <n v="0"/>
  </r>
  <r>
    <x v="39"/>
    <n v="2025"/>
    <x v="2"/>
    <x v="3"/>
    <s v="Preservativo Masculino"/>
    <s v="Performance"/>
    <x v="39"/>
    <n v="0"/>
  </r>
  <r>
    <x v="39"/>
    <n v="2025"/>
    <x v="3"/>
    <x v="3"/>
    <s v="Preservativo Masculino"/>
    <s v="Performance"/>
    <x v="39"/>
    <n v="0"/>
  </r>
  <r>
    <x v="39"/>
    <n v="2025"/>
    <x v="4"/>
    <x v="3"/>
    <s v="Preservativo Masculino"/>
    <s v="Performance"/>
    <x v="39"/>
    <n v="0"/>
  </r>
  <r>
    <x v="39"/>
    <n v="2025"/>
    <x v="5"/>
    <x v="3"/>
    <s v="Preservativo Masculino"/>
    <s v="Performance"/>
    <x v="39"/>
    <n v="0"/>
  </r>
  <r>
    <x v="39"/>
    <n v="2025"/>
    <x v="6"/>
    <x v="3"/>
    <s v="Preservativo Masculino"/>
    <s v="Performance"/>
    <x v="39"/>
    <n v="0"/>
  </r>
  <r>
    <x v="39"/>
    <n v="2025"/>
    <x v="7"/>
    <x v="3"/>
    <s v="Preservativo Masculino"/>
    <s v="Performance"/>
    <x v="39"/>
    <n v="0"/>
  </r>
  <r>
    <x v="39"/>
    <n v="2025"/>
    <x v="8"/>
    <x v="3"/>
    <s v="Preservativo Masculino"/>
    <s v="Performance"/>
    <x v="39"/>
    <n v="0"/>
  </r>
  <r>
    <x v="39"/>
    <n v="2025"/>
    <x v="9"/>
    <x v="3"/>
    <s v="Preservativo Masculino"/>
    <s v="Performance"/>
    <x v="39"/>
    <n v="0"/>
  </r>
  <r>
    <x v="39"/>
    <n v="2025"/>
    <x v="10"/>
    <x v="3"/>
    <s v="Preservativo Masculino"/>
    <s v="Performance"/>
    <x v="39"/>
    <n v="0"/>
  </r>
  <r>
    <x v="39"/>
    <n v="2025"/>
    <x v="11"/>
    <x v="3"/>
    <s v="Preservativo Masculino"/>
    <s v="Performance"/>
    <x v="39"/>
    <n v="0"/>
  </r>
  <r>
    <x v="40"/>
    <n v="2025"/>
    <x v="0"/>
    <x v="3"/>
    <s v="Gel Lubrificante"/>
    <s v="Lub 100G"/>
    <x v="40"/>
    <n v="0"/>
  </r>
  <r>
    <x v="40"/>
    <n v="2025"/>
    <x v="1"/>
    <x v="3"/>
    <s v="Gel Lubrificante"/>
    <s v="Lub 100G"/>
    <x v="40"/>
    <n v="0"/>
  </r>
  <r>
    <x v="40"/>
    <n v="2025"/>
    <x v="2"/>
    <x v="3"/>
    <s v="Gel Lubrificante"/>
    <s v="Lub 100G"/>
    <x v="40"/>
    <n v="0"/>
  </r>
  <r>
    <x v="40"/>
    <n v="2025"/>
    <x v="3"/>
    <x v="3"/>
    <s v="Gel Lubrificante"/>
    <s v="Lub 100G"/>
    <x v="40"/>
    <n v="0"/>
  </r>
  <r>
    <x v="40"/>
    <n v="2025"/>
    <x v="4"/>
    <x v="3"/>
    <s v="Gel Lubrificante"/>
    <s v="Lub 100G"/>
    <x v="40"/>
    <n v="0"/>
  </r>
  <r>
    <x v="40"/>
    <n v="2025"/>
    <x v="5"/>
    <x v="3"/>
    <s v="Gel Lubrificante"/>
    <s v="Lub 100G"/>
    <x v="40"/>
    <n v="0"/>
  </r>
  <r>
    <x v="40"/>
    <n v="2025"/>
    <x v="6"/>
    <x v="3"/>
    <s v="Gel Lubrificante"/>
    <s v="Lub 100G"/>
    <x v="40"/>
    <n v="0"/>
  </r>
  <r>
    <x v="40"/>
    <n v="2025"/>
    <x v="7"/>
    <x v="3"/>
    <s v="Gel Lubrificante"/>
    <s v="Lub 100G"/>
    <x v="40"/>
    <n v="6700"/>
  </r>
  <r>
    <x v="40"/>
    <n v="2025"/>
    <x v="8"/>
    <x v="3"/>
    <s v="Gel Lubrificante"/>
    <s v="Lub 100G"/>
    <x v="40"/>
    <n v="0"/>
  </r>
  <r>
    <x v="40"/>
    <n v="2025"/>
    <x v="9"/>
    <x v="3"/>
    <s v="Gel Lubrificante"/>
    <s v="Lub 100G"/>
    <x v="40"/>
    <n v="0"/>
  </r>
  <r>
    <x v="40"/>
    <n v="2025"/>
    <x v="10"/>
    <x v="3"/>
    <s v="Gel Lubrificante"/>
    <s v="Lub 100G"/>
    <x v="40"/>
    <n v="0"/>
  </r>
  <r>
    <x v="40"/>
    <n v="2025"/>
    <x v="11"/>
    <x v="3"/>
    <s v="Gel Lubrificante"/>
    <s v="Lub 100G"/>
    <x v="40"/>
    <n v="0"/>
  </r>
  <r>
    <x v="41"/>
    <n v="2025"/>
    <x v="0"/>
    <x v="3"/>
    <s v="Gel Lubrificante"/>
    <s v="Lub 100G"/>
    <x v="41"/>
    <n v="0"/>
  </r>
  <r>
    <x v="41"/>
    <n v="2025"/>
    <x v="1"/>
    <x v="3"/>
    <s v="Gel Lubrificante"/>
    <s v="Lub 100G"/>
    <x v="41"/>
    <n v="0"/>
  </r>
  <r>
    <x v="41"/>
    <n v="2025"/>
    <x v="2"/>
    <x v="3"/>
    <s v="Gel Lubrificante"/>
    <s v="Lub 100G"/>
    <x v="41"/>
    <n v="0"/>
  </r>
  <r>
    <x v="41"/>
    <n v="2025"/>
    <x v="3"/>
    <x v="3"/>
    <s v="Gel Lubrificante"/>
    <s v="Lub 100G"/>
    <x v="41"/>
    <n v="0"/>
  </r>
  <r>
    <x v="41"/>
    <n v="2025"/>
    <x v="4"/>
    <x v="3"/>
    <s v="Gel Lubrificante"/>
    <s v="Lub 100G"/>
    <x v="41"/>
    <n v="0"/>
  </r>
  <r>
    <x v="41"/>
    <n v="2025"/>
    <x v="5"/>
    <x v="3"/>
    <s v="Gel Lubrificante"/>
    <s v="Lub 100G"/>
    <x v="41"/>
    <n v="0"/>
  </r>
  <r>
    <x v="41"/>
    <n v="2025"/>
    <x v="6"/>
    <x v="3"/>
    <s v="Gel Lubrificante"/>
    <s v="Lub 100G"/>
    <x v="41"/>
    <n v="0"/>
  </r>
  <r>
    <x v="41"/>
    <n v="2025"/>
    <x v="7"/>
    <x v="3"/>
    <s v="Gel Lubrificante"/>
    <s v="Lub 100G"/>
    <x v="41"/>
    <n v="1340"/>
  </r>
  <r>
    <x v="41"/>
    <n v="2025"/>
    <x v="8"/>
    <x v="3"/>
    <s v="Gel Lubrificante"/>
    <s v="Lub 100G"/>
    <x v="41"/>
    <n v="0"/>
  </r>
  <r>
    <x v="41"/>
    <n v="2025"/>
    <x v="9"/>
    <x v="3"/>
    <s v="Gel Lubrificante"/>
    <s v="Lub 100G"/>
    <x v="41"/>
    <n v="0"/>
  </r>
  <r>
    <x v="41"/>
    <n v="2025"/>
    <x v="10"/>
    <x v="3"/>
    <s v="Gel Lubrificante"/>
    <s v="Lub 100G"/>
    <x v="41"/>
    <n v="0"/>
  </r>
  <r>
    <x v="41"/>
    <n v="2025"/>
    <x v="11"/>
    <x v="3"/>
    <s v="Gel Lubrificante"/>
    <s v="Lub 100G"/>
    <x v="41"/>
    <n v="0"/>
  </r>
  <r>
    <x v="42"/>
    <n v="2025"/>
    <x v="0"/>
    <x v="3"/>
    <s v="Gel Lubrificante"/>
    <s v="Lub 100G"/>
    <x v="42"/>
    <n v="0"/>
  </r>
  <r>
    <x v="42"/>
    <n v="2025"/>
    <x v="1"/>
    <x v="3"/>
    <s v="Gel Lubrificante"/>
    <s v="Lub 100G"/>
    <x v="42"/>
    <n v="0"/>
  </r>
  <r>
    <x v="42"/>
    <n v="2025"/>
    <x v="2"/>
    <x v="3"/>
    <s v="Gel Lubrificante"/>
    <s v="Lub 100G"/>
    <x v="42"/>
    <n v="0"/>
  </r>
  <r>
    <x v="42"/>
    <n v="2025"/>
    <x v="3"/>
    <x v="3"/>
    <s v="Gel Lubrificante"/>
    <s v="Lub 100G"/>
    <x v="42"/>
    <n v="0"/>
  </r>
  <r>
    <x v="42"/>
    <n v="2025"/>
    <x v="4"/>
    <x v="3"/>
    <s v="Gel Lubrificante"/>
    <s v="Lub 100G"/>
    <x v="42"/>
    <n v="0"/>
  </r>
  <r>
    <x v="42"/>
    <n v="2025"/>
    <x v="5"/>
    <x v="3"/>
    <s v="Gel Lubrificante"/>
    <s v="Lub 100G"/>
    <x v="42"/>
    <n v="0"/>
  </r>
  <r>
    <x v="42"/>
    <n v="2025"/>
    <x v="6"/>
    <x v="3"/>
    <s v="Gel Lubrificante"/>
    <s v="Lub 100G"/>
    <x v="42"/>
    <n v="0"/>
  </r>
  <r>
    <x v="42"/>
    <n v="2025"/>
    <x v="7"/>
    <x v="3"/>
    <s v="Gel Lubrificante"/>
    <s v="Lub 100G"/>
    <x v="42"/>
    <n v="2680"/>
  </r>
  <r>
    <x v="42"/>
    <n v="2025"/>
    <x v="8"/>
    <x v="3"/>
    <s v="Gel Lubrificante"/>
    <s v="Lub 100G"/>
    <x v="42"/>
    <n v="0"/>
  </r>
  <r>
    <x v="42"/>
    <n v="2025"/>
    <x v="9"/>
    <x v="3"/>
    <s v="Gel Lubrificante"/>
    <s v="Lub 100G"/>
    <x v="42"/>
    <n v="0"/>
  </r>
  <r>
    <x v="42"/>
    <n v="2025"/>
    <x v="10"/>
    <x v="3"/>
    <s v="Gel Lubrificante"/>
    <s v="Lub 100G"/>
    <x v="42"/>
    <n v="0"/>
  </r>
  <r>
    <x v="42"/>
    <n v="2025"/>
    <x v="11"/>
    <x v="3"/>
    <s v="Gel Lubrificante"/>
    <s v="Lub 100G"/>
    <x v="42"/>
    <n v="0"/>
  </r>
  <r>
    <x v="43"/>
    <n v="2025"/>
    <x v="0"/>
    <x v="3"/>
    <s v="Gel Lubrificante"/>
    <s v="Lub 100G"/>
    <x v="43"/>
    <n v="0"/>
  </r>
  <r>
    <x v="43"/>
    <n v="2025"/>
    <x v="1"/>
    <x v="3"/>
    <s v="Gel Lubrificante"/>
    <s v="Lub 100G"/>
    <x v="43"/>
    <n v="0"/>
  </r>
  <r>
    <x v="43"/>
    <n v="2025"/>
    <x v="2"/>
    <x v="3"/>
    <s v="Gel Lubrificante"/>
    <s v="Lub 100G"/>
    <x v="43"/>
    <n v="0"/>
  </r>
  <r>
    <x v="43"/>
    <n v="2025"/>
    <x v="3"/>
    <x v="3"/>
    <s v="Gel Lubrificante"/>
    <s v="Lub 100G"/>
    <x v="43"/>
    <n v="0"/>
  </r>
  <r>
    <x v="43"/>
    <n v="2025"/>
    <x v="4"/>
    <x v="3"/>
    <s v="Gel Lubrificante"/>
    <s v="Lub 100G"/>
    <x v="43"/>
    <n v="0"/>
  </r>
  <r>
    <x v="43"/>
    <n v="2025"/>
    <x v="5"/>
    <x v="3"/>
    <s v="Gel Lubrificante"/>
    <s v="Lub 100G"/>
    <x v="43"/>
    <n v="0"/>
  </r>
  <r>
    <x v="43"/>
    <n v="2025"/>
    <x v="6"/>
    <x v="3"/>
    <s v="Gel Lubrificante"/>
    <s v="Lub 100G"/>
    <x v="43"/>
    <n v="0"/>
  </r>
  <r>
    <x v="43"/>
    <n v="2025"/>
    <x v="7"/>
    <x v="3"/>
    <s v="Gel Lubrificante"/>
    <s v="Lub 100G"/>
    <x v="43"/>
    <n v="1340"/>
  </r>
  <r>
    <x v="43"/>
    <n v="2025"/>
    <x v="8"/>
    <x v="3"/>
    <s v="Gel Lubrificante"/>
    <s v="Lub 100G"/>
    <x v="43"/>
    <n v="0"/>
  </r>
  <r>
    <x v="43"/>
    <n v="2025"/>
    <x v="9"/>
    <x v="3"/>
    <s v="Gel Lubrificante"/>
    <s v="Lub 100G"/>
    <x v="43"/>
    <n v="0"/>
  </r>
  <r>
    <x v="43"/>
    <n v="2025"/>
    <x v="10"/>
    <x v="3"/>
    <s v="Gel Lubrificante"/>
    <s v="Lub 100G"/>
    <x v="43"/>
    <n v="0"/>
  </r>
  <r>
    <x v="43"/>
    <n v="2025"/>
    <x v="11"/>
    <x v="3"/>
    <s v="Gel Lubrificante"/>
    <s v="Lub 100G"/>
    <x v="43"/>
    <n v="0"/>
  </r>
  <r>
    <x v="44"/>
    <n v="2025"/>
    <x v="0"/>
    <x v="3"/>
    <s v="Gel Lubrificante"/>
    <s v="Lub 60G"/>
    <x v="44"/>
    <n v="0"/>
  </r>
  <r>
    <x v="44"/>
    <n v="2025"/>
    <x v="1"/>
    <x v="3"/>
    <s v="Gel Lubrificante"/>
    <s v="Lub 60G"/>
    <x v="44"/>
    <n v="0"/>
  </r>
  <r>
    <x v="44"/>
    <n v="2025"/>
    <x v="2"/>
    <x v="3"/>
    <s v="Gel Lubrificante"/>
    <s v="Lub 60G"/>
    <x v="44"/>
    <n v="0"/>
  </r>
  <r>
    <x v="44"/>
    <n v="2025"/>
    <x v="3"/>
    <x v="3"/>
    <s v="Gel Lubrificante"/>
    <s v="Lub 60G"/>
    <x v="44"/>
    <n v="0"/>
  </r>
  <r>
    <x v="44"/>
    <n v="2025"/>
    <x v="4"/>
    <x v="3"/>
    <s v="Gel Lubrificante"/>
    <s v="Lub 60G"/>
    <x v="44"/>
    <n v="0"/>
  </r>
  <r>
    <x v="44"/>
    <n v="2025"/>
    <x v="5"/>
    <x v="3"/>
    <s v="Gel Lubrificante"/>
    <s v="Lub 60G"/>
    <x v="44"/>
    <n v="0"/>
  </r>
  <r>
    <x v="44"/>
    <n v="2025"/>
    <x v="6"/>
    <x v="3"/>
    <s v="Gel Lubrificante"/>
    <s v="Lub 60G"/>
    <x v="44"/>
    <n v="0"/>
  </r>
  <r>
    <x v="44"/>
    <n v="2025"/>
    <x v="7"/>
    <x v="3"/>
    <s v="Gel Lubrificante"/>
    <s v="Lub 60G"/>
    <x v="44"/>
    <n v="0"/>
  </r>
  <r>
    <x v="44"/>
    <n v="2025"/>
    <x v="8"/>
    <x v="3"/>
    <s v="Gel Lubrificante"/>
    <s v="Lub 60G"/>
    <x v="44"/>
    <n v="0"/>
  </r>
  <r>
    <x v="44"/>
    <n v="2025"/>
    <x v="9"/>
    <x v="3"/>
    <s v="Gel Lubrificante"/>
    <s v="Lub 60G"/>
    <x v="44"/>
    <n v="0"/>
  </r>
  <r>
    <x v="44"/>
    <n v="2025"/>
    <x v="10"/>
    <x v="3"/>
    <s v="Gel Lubrificante"/>
    <s v="Lub 60G"/>
    <x v="44"/>
    <n v="0"/>
  </r>
  <r>
    <x v="44"/>
    <n v="2025"/>
    <x v="11"/>
    <x v="3"/>
    <s v="Gel Lubrificante"/>
    <s v="Lub 60G"/>
    <x v="44"/>
    <n v="0"/>
  </r>
  <r>
    <x v="45"/>
    <n v="2025"/>
    <x v="0"/>
    <x v="3"/>
    <s v="Intima"/>
    <s v="Wipes &amp; Softcup"/>
    <x v="45"/>
    <n v="0"/>
  </r>
  <r>
    <x v="45"/>
    <n v="2025"/>
    <x v="1"/>
    <x v="3"/>
    <s v="Intima"/>
    <s v="Wipes &amp; Softcup"/>
    <x v="45"/>
    <n v="0"/>
  </r>
  <r>
    <x v="45"/>
    <n v="2025"/>
    <x v="2"/>
    <x v="3"/>
    <s v="Intima"/>
    <s v="Wipes &amp; Softcup"/>
    <x v="45"/>
    <n v="0"/>
  </r>
  <r>
    <x v="45"/>
    <n v="2025"/>
    <x v="3"/>
    <x v="3"/>
    <s v="Intima"/>
    <s v="Wipes &amp; Softcup"/>
    <x v="45"/>
    <n v="0"/>
  </r>
  <r>
    <x v="45"/>
    <n v="2025"/>
    <x v="4"/>
    <x v="3"/>
    <s v="Intima"/>
    <s v="Wipes &amp; Softcup"/>
    <x v="45"/>
    <n v="0"/>
  </r>
  <r>
    <x v="45"/>
    <n v="2025"/>
    <x v="5"/>
    <x v="3"/>
    <s v="Intima"/>
    <s v="Wipes &amp; Softcup"/>
    <x v="45"/>
    <n v="0"/>
  </r>
  <r>
    <x v="45"/>
    <n v="2025"/>
    <x v="6"/>
    <x v="3"/>
    <s v="Intima"/>
    <s v="Wipes &amp; Softcup"/>
    <x v="45"/>
    <n v="4000"/>
  </r>
  <r>
    <x v="45"/>
    <n v="2025"/>
    <x v="7"/>
    <x v="3"/>
    <s v="Intima"/>
    <s v="Wipes &amp; Softcup"/>
    <x v="45"/>
    <n v="0"/>
  </r>
  <r>
    <x v="45"/>
    <n v="2025"/>
    <x v="8"/>
    <x v="3"/>
    <s v="Intima"/>
    <s v="Wipes &amp; Softcup"/>
    <x v="45"/>
    <n v="0"/>
  </r>
  <r>
    <x v="45"/>
    <n v="2025"/>
    <x v="9"/>
    <x v="3"/>
    <s v="Intima"/>
    <s v="Wipes &amp; Softcup"/>
    <x v="45"/>
    <n v="0"/>
  </r>
  <r>
    <x v="45"/>
    <n v="2025"/>
    <x v="10"/>
    <x v="3"/>
    <s v="Intima"/>
    <s v="Wipes &amp; Softcup"/>
    <x v="45"/>
    <n v="0"/>
  </r>
  <r>
    <x v="45"/>
    <n v="2025"/>
    <x v="11"/>
    <x v="3"/>
    <s v="Intima"/>
    <s v="Wipes &amp; Softcup"/>
    <x v="45"/>
    <n v="0"/>
  </r>
  <r>
    <x v="46"/>
    <n v="2025"/>
    <x v="0"/>
    <x v="3"/>
    <s v="Intima"/>
    <s v="Wipes &amp; Softcup"/>
    <x v="46"/>
    <n v="0"/>
  </r>
  <r>
    <x v="46"/>
    <n v="2025"/>
    <x v="1"/>
    <x v="3"/>
    <s v="Intima"/>
    <s v="Wipes &amp; Softcup"/>
    <x v="46"/>
    <n v="0"/>
  </r>
  <r>
    <x v="46"/>
    <n v="2025"/>
    <x v="2"/>
    <x v="3"/>
    <s v="Intima"/>
    <s v="Wipes &amp; Softcup"/>
    <x v="46"/>
    <n v="0"/>
  </r>
  <r>
    <x v="46"/>
    <n v="2025"/>
    <x v="3"/>
    <x v="3"/>
    <s v="Intima"/>
    <s v="Wipes &amp; Softcup"/>
    <x v="46"/>
    <n v="0"/>
  </r>
  <r>
    <x v="46"/>
    <n v="2025"/>
    <x v="4"/>
    <x v="3"/>
    <s v="Intima"/>
    <s v="Wipes &amp; Softcup"/>
    <x v="46"/>
    <n v="0"/>
  </r>
  <r>
    <x v="46"/>
    <n v="2025"/>
    <x v="5"/>
    <x v="3"/>
    <s v="Intima"/>
    <s v="Wipes &amp; Softcup"/>
    <x v="46"/>
    <n v="0"/>
  </r>
  <r>
    <x v="46"/>
    <n v="2025"/>
    <x v="6"/>
    <x v="3"/>
    <s v="Intima"/>
    <s v="Wipes &amp; Softcup"/>
    <x v="46"/>
    <n v="0"/>
  </r>
  <r>
    <x v="46"/>
    <n v="2025"/>
    <x v="7"/>
    <x v="3"/>
    <s v="Intima"/>
    <s v="Wipes &amp; Softcup"/>
    <x v="46"/>
    <n v="0"/>
  </r>
  <r>
    <x v="46"/>
    <n v="2025"/>
    <x v="8"/>
    <x v="3"/>
    <s v="Intima"/>
    <s v="Wipes &amp; Softcup"/>
    <x v="46"/>
    <n v="0"/>
  </r>
  <r>
    <x v="46"/>
    <n v="2025"/>
    <x v="9"/>
    <x v="3"/>
    <s v="Intima"/>
    <s v="Wipes &amp; Softcup"/>
    <x v="46"/>
    <n v="0"/>
  </r>
  <r>
    <x v="46"/>
    <n v="2025"/>
    <x v="10"/>
    <x v="3"/>
    <s v="Intima"/>
    <s v="Wipes &amp; Softcup"/>
    <x v="46"/>
    <n v="0"/>
  </r>
  <r>
    <x v="46"/>
    <n v="2025"/>
    <x v="11"/>
    <x v="3"/>
    <s v="Intima"/>
    <s v="Wipes &amp; Softcup"/>
    <x v="46"/>
    <n v="0"/>
  </r>
  <r>
    <x v="47"/>
    <n v="2025"/>
    <x v="0"/>
    <x v="3"/>
    <s v="RX"/>
    <s v="Aspirators"/>
    <x v="47"/>
    <n v="0"/>
  </r>
  <r>
    <x v="47"/>
    <n v="2025"/>
    <x v="1"/>
    <x v="3"/>
    <s v="RX"/>
    <s v="Aspirators"/>
    <x v="47"/>
    <n v="0"/>
  </r>
  <r>
    <x v="47"/>
    <n v="2025"/>
    <x v="2"/>
    <x v="3"/>
    <s v="RX"/>
    <s v="Aspirators"/>
    <x v="47"/>
    <n v="0"/>
  </r>
  <r>
    <x v="47"/>
    <n v="2025"/>
    <x v="3"/>
    <x v="3"/>
    <s v="RX"/>
    <s v="Aspirators"/>
    <x v="47"/>
    <n v="0"/>
  </r>
  <r>
    <x v="47"/>
    <n v="2025"/>
    <x v="4"/>
    <x v="3"/>
    <s v="RX"/>
    <s v="Aspirators"/>
    <x v="47"/>
    <n v="0"/>
  </r>
  <r>
    <x v="47"/>
    <n v="2025"/>
    <x v="5"/>
    <x v="3"/>
    <s v="RX"/>
    <s v="Aspirators"/>
    <x v="47"/>
    <n v="5000"/>
  </r>
  <r>
    <x v="47"/>
    <n v="2025"/>
    <x v="6"/>
    <x v="3"/>
    <s v="RX"/>
    <s v="Aspirators"/>
    <x v="47"/>
    <n v="0"/>
  </r>
  <r>
    <x v="47"/>
    <n v="2025"/>
    <x v="7"/>
    <x v="3"/>
    <s v="RX"/>
    <s v="Aspirators"/>
    <x v="47"/>
    <n v="3000"/>
  </r>
  <r>
    <x v="47"/>
    <n v="2025"/>
    <x v="8"/>
    <x v="3"/>
    <s v="RX"/>
    <s v="Aspirators"/>
    <x v="47"/>
    <n v="2000"/>
  </r>
  <r>
    <x v="47"/>
    <n v="2025"/>
    <x v="9"/>
    <x v="3"/>
    <s v="RX"/>
    <s v="Aspirators"/>
    <x v="47"/>
    <n v="0"/>
  </r>
  <r>
    <x v="47"/>
    <n v="2025"/>
    <x v="10"/>
    <x v="3"/>
    <s v="RX"/>
    <s v="Aspirators"/>
    <x v="47"/>
    <n v="0"/>
  </r>
  <r>
    <x v="47"/>
    <n v="2025"/>
    <x v="11"/>
    <x v="3"/>
    <s v="RX"/>
    <s v="Aspirators"/>
    <x v="47"/>
    <n v="2000"/>
  </r>
  <r>
    <x v="48"/>
    <n v="2025"/>
    <x v="0"/>
    <x v="3"/>
    <s v="RX"/>
    <s v="Aspirators"/>
    <x v="48"/>
    <n v="0"/>
  </r>
  <r>
    <x v="48"/>
    <n v="2025"/>
    <x v="1"/>
    <x v="3"/>
    <s v="RX"/>
    <s v="Aspirators"/>
    <x v="48"/>
    <n v="0"/>
  </r>
  <r>
    <x v="48"/>
    <n v="2025"/>
    <x v="2"/>
    <x v="3"/>
    <s v="RX"/>
    <s v="Aspirators"/>
    <x v="48"/>
    <n v="0"/>
  </r>
  <r>
    <x v="48"/>
    <n v="2025"/>
    <x v="3"/>
    <x v="3"/>
    <s v="RX"/>
    <s v="Aspirators"/>
    <x v="48"/>
    <n v="0"/>
  </r>
  <r>
    <x v="48"/>
    <n v="2025"/>
    <x v="4"/>
    <x v="3"/>
    <s v="RX"/>
    <s v="Aspirators"/>
    <x v="48"/>
    <n v="0"/>
  </r>
  <r>
    <x v="48"/>
    <n v="2025"/>
    <x v="5"/>
    <x v="3"/>
    <s v="RX"/>
    <s v="Aspirators"/>
    <x v="48"/>
    <n v="1000"/>
  </r>
  <r>
    <x v="48"/>
    <n v="2025"/>
    <x v="6"/>
    <x v="3"/>
    <s v="RX"/>
    <s v="Aspirators"/>
    <x v="48"/>
    <n v="1000"/>
  </r>
  <r>
    <x v="48"/>
    <n v="2025"/>
    <x v="7"/>
    <x v="3"/>
    <s v="RX"/>
    <s v="Aspirators"/>
    <x v="48"/>
    <n v="0"/>
  </r>
  <r>
    <x v="48"/>
    <n v="2025"/>
    <x v="8"/>
    <x v="3"/>
    <s v="RX"/>
    <s v="Aspirators"/>
    <x v="48"/>
    <n v="1000"/>
  </r>
  <r>
    <x v="48"/>
    <n v="2025"/>
    <x v="9"/>
    <x v="3"/>
    <s v="RX"/>
    <s v="Aspirators"/>
    <x v="48"/>
    <n v="0"/>
  </r>
  <r>
    <x v="48"/>
    <n v="2025"/>
    <x v="10"/>
    <x v="3"/>
    <s v="RX"/>
    <s v="Aspirators"/>
    <x v="48"/>
    <n v="0"/>
  </r>
  <r>
    <x v="48"/>
    <n v="2025"/>
    <x v="11"/>
    <x v="3"/>
    <s v="RX"/>
    <s v="Aspirators"/>
    <x v="48"/>
    <n v="0"/>
  </r>
  <r>
    <x v="49"/>
    <n v="2025"/>
    <x v="0"/>
    <x v="3"/>
    <s v="RX"/>
    <s v="Cannulae"/>
    <x v="49"/>
    <n v="0"/>
  </r>
  <r>
    <x v="49"/>
    <n v="2025"/>
    <x v="1"/>
    <x v="3"/>
    <s v="RX"/>
    <s v="Cannulae"/>
    <x v="49"/>
    <n v="0"/>
  </r>
  <r>
    <x v="49"/>
    <n v="2025"/>
    <x v="2"/>
    <x v="3"/>
    <s v="RX"/>
    <s v="Cannulae"/>
    <x v="49"/>
    <n v="0"/>
  </r>
  <r>
    <x v="49"/>
    <n v="2025"/>
    <x v="3"/>
    <x v="3"/>
    <s v="RX"/>
    <s v="Cannulae"/>
    <x v="49"/>
    <n v="0"/>
  </r>
  <r>
    <x v="49"/>
    <n v="2025"/>
    <x v="4"/>
    <x v="3"/>
    <s v="RX"/>
    <s v="Cannulae"/>
    <x v="49"/>
    <n v="0"/>
  </r>
  <r>
    <x v="49"/>
    <n v="2025"/>
    <x v="5"/>
    <x v="3"/>
    <s v="RX"/>
    <s v="Cannulae"/>
    <x v="49"/>
    <n v="2000"/>
  </r>
  <r>
    <x v="49"/>
    <n v="2025"/>
    <x v="6"/>
    <x v="3"/>
    <s v="RX"/>
    <s v="Cannulae"/>
    <x v="49"/>
    <n v="1000"/>
  </r>
  <r>
    <x v="49"/>
    <n v="2025"/>
    <x v="7"/>
    <x v="3"/>
    <s v="RX"/>
    <s v="Cannulae"/>
    <x v="49"/>
    <n v="0"/>
  </r>
  <r>
    <x v="49"/>
    <n v="2025"/>
    <x v="8"/>
    <x v="3"/>
    <s v="RX"/>
    <s v="Cannulae"/>
    <x v="49"/>
    <n v="2000"/>
  </r>
  <r>
    <x v="49"/>
    <n v="2025"/>
    <x v="9"/>
    <x v="3"/>
    <s v="RX"/>
    <s v="Cannulae"/>
    <x v="49"/>
    <n v="0"/>
  </r>
  <r>
    <x v="49"/>
    <n v="2025"/>
    <x v="10"/>
    <x v="3"/>
    <s v="RX"/>
    <s v="Cannulae"/>
    <x v="49"/>
    <n v="0"/>
  </r>
  <r>
    <x v="49"/>
    <n v="2025"/>
    <x v="11"/>
    <x v="3"/>
    <s v="RX"/>
    <s v="Cannulae"/>
    <x v="49"/>
    <n v="0"/>
  </r>
  <r>
    <x v="50"/>
    <n v="2025"/>
    <x v="0"/>
    <x v="3"/>
    <s v="RX"/>
    <s v="Cannulae"/>
    <x v="50"/>
    <n v="0"/>
  </r>
  <r>
    <x v="50"/>
    <n v="2025"/>
    <x v="1"/>
    <x v="3"/>
    <s v="RX"/>
    <s v="Cannulae"/>
    <x v="50"/>
    <n v="0"/>
  </r>
  <r>
    <x v="50"/>
    <n v="2025"/>
    <x v="2"/>
    <x v="3"/>
    <s v="RX"/>
    <s v="Cannulae"/>
    <x v="50"/>
    <n v="0"/>
  </r>
  <r>
    <x v="50"/>
    <n v="2025"/>
    <x v="3"/>
    <x v="3"/>
    <s v="RX"/>
    <s v="Cannulae"/>
    <x v="50"/>
    <n v="0"/>
  </r>
  <r>
    <x v="50"/>
    <n v="2025"/>
    <x v="4"/>
    <x v="3"/>
    <s v="RX"/>
    <s v="Cannulae"/>
    <x v="50"/>
    <n v="0"/>
  </r>
  <r>
    <x v="50"/>
    <n v="2025"/>
    <x v="5"/>
    <x v="3"/>
    <s v="RX"/>
    <s v="Cannulae"/>
    <x v="50"/>
    <n v="2000"/>
  </r>
  <r>
    <x v="50"/>
    <n v="2025"/>
    <x v="6"/>
    <x v="3"/>
    <s v="RX"/>
    <s v="Cannulae"/>
    <x v="50"/>
    <n v="2000"/>
  </r>
  <r>
    <x v="50"/>
    <n v="2025"/>
    <x v="7"/>
    <x v="3"/>
    <s v="RX"/>
    <s v="Cannulae"/>
    <x v="50"/>
    <n v="0"/>
  </r>
  <r>
    <x v="50"/>
    <n v="2025"/>
    <x v="8"/>
    <x v="3"/>
    <s v="RX"/>
    <s v="Cannulae"/>
    <x v="50"/>
    <n v="2000"/>
  </r>
  <r>
    <x v="50"/>
    <n v="2025"/>
    <x v="9"/>
    <x v="3"/>
    <s v="RX"/>
    <s v="Cannulae"/>
    <x v="50"/>
    <n v="0"/>
  </r>
  <r>
    <x v="50"/>
    <n v="2025"/>
    <x v="10"/>
    <x v="3"/>
    <s v="RX"/>
    <s v="Cannulae"/>
    <x v="50"/>
    <n v="0"/>
  </r>
  <r>
    <x v="50"/>
    <n v="2025"/>
    <x v="11"/>
    <x v="3"/>
    <s v="RX"/>
    <s v="Cannulae"/>
    <x v="50"/>
    <n v="0"/>
  </r>
  <r>
    <x v="51"/>
    <n v="2025"/>
    <x v="0"/>
    <x v="3"/>
    <s v="RX"/>
    <s v="Cannulae"/>
    <x v="51"/>
    <n v="0"/>
  </r>
  <r>
    <x v="51"/>
    <n v="2025"/>
    <x v="1"/>
    <x v="3"/>
    <s v="RX"/>
    <s v="Cannulae"/>
    <x v="51"/>
    <n v="0"/>
  </r>
  <r>
    <x v="51"/>
    <n v="2025"/>
    <x v="2"/>
    <x v="3"/>
    <s v="RX"/>
    <s v="Cannulae"/>
    <x v="51"/>
    <n v="0"/>
  </r>
  <r>
    <x v="51"/>
    <n v="2025"/>
    <x v="3"/>
    <x v="3"/>
    <s v="RX"/>
    <s v="Cannulae"/>
    <x v="51"/>
    <n v="0"/>
  </r>
  <r>
    <x v="51"/>
    <n v="2025"/>
    <x v="4"/>
    <x v="3"/>
    <s v="RX"/>
    <s v="Cannulae"/>
    <x v="51"/>
    <n v="0"/>
  </r>
  <r>
    <x v="51"/>
    <n v="2025"/>
    <x v="5"/>
    <x v="3"/>
    <s v="RX"/>
    <s v="Cannulae"/>
    <x v="51"/>
    <n v="2000"/>
  </r>
  <r>
    <x v="51"/>
    <n v="2025"/>
    <x v="6"/>
    <x v="3"/>
    <s v="RX"/>
    <s v="Cannulae"/>
    <x v="51"/>
    <n v="1000"/>
  </r>
  <r>
    <x v="51"/>
    <n v="2025"/>
    <x v="7"/>
    <x v="3"/>
    <s v="RX"/>
    <s v="Cannulae"/>
    <x v="51"/>
    <n v="0"/>
  </r>
  <r>
    <x v="51"/>
    <n v="2025"/>
    <x v="8"/>
    <x v="3"/>
    <s v="RX"/>
    <s v="Cannulae"/>
    <x v="51"/>
    <n v="1000"/>
  </r>
  <r>
    <x v="51"/>
    <n v="2025"/>
    <x v="9"/>
    <x v="3"/>
    <s v="RX"/>
    <s v="Cannulae"/>
    <x v="51"/>
    <n v="0"/>
  </r>
  <r>
    <x v="51"/>
    <n v="2025"/>
    <x v="10"/>
    <x v="3"/>
    <s v="RX"/>
    <s v="Cannulae"/>
    <x v="51"/>
    <n v="0"/>
  </r>
  <r>
    <x v="51"/>
    <n v="2025"/>
    <x v="11"/>
    <x v="3"/>
    <s v="RX"/>
    <s v="Cannulae"/>
    <x v="51"/>
    <n v="2000"/>
  </r>
  <r>
    <x v="52"/>
    <n v="2025"/>
    <x v="0"/>
    <x v="3"/>
    <s v="RX"/>
    <s v="Cannulae"/>
    <x v="52"/>
    <n v="0"/>
  </r>
  <r>
    <x v="52"/>
    <n v="2025"/>
    <x v="1"/>
    <x v="3"/>
    <s v="RX"/>
    <s v="Cannulae"/>
    <x v="52"/>
    <n v="0"/>
  </r>
  <r>
    <x v="52"/>
    <n v="2025"/>
    <x v="2"/>
    <x v="3"/>
    <s v="RX"/>
    <s v="Cannulae"/>
    <x v="52"/>
    <n v="0"/>
  </r>
  <r>
    <x v="52"/>
    <n v="2025"/>
    <x v="3"/>
    <x v="3"/>
    <s v="RX"/>
    <s v="Cannulae"/>
    <x v="52"/>
    <n v="0"/>
  </r>
  <r>
    <x v="52"/>
    <n v="2025"/>
    <x v="4"/>
    <x v="3"/>
    <s v="RX"/>
    <s v="Cannulae"/>
    <x v="52"/>
    <n v="0"/>
  </r>
  <r>
    <x v="52"/>
    <n v="2025"/>
    <x v="5"/>
    <x v="3"/>
    <s v="RX"/>
    <s v="Cannulae"/>
    <x v="52"/>
    <n v="2000"/>
  </r>
  <r>
    <x v="52"/>
    <n v="2025"/>
    <x v="6"/>
    <x v="3"/>
    <s v="RX"/>
    <s v="Cannulae"/>
    <x v="52"/>
    <n v="3000"/>
  </r>
  <r>
    <x v="52"/>
    <n v="2025"/>
    <x v="7"/>
    <x v="3"/>
    <s v="RX"/>
    <s v="Cannulae"/>
    <x v="52"/>
    <n v="0"/>
  </r>
  <r>
    <x v="52"/>
    <n v="2025"/>
    <x v="8"/>
    <x v="3"/>
    <s v="RX"/>
    <s v="Cannulae"/>
    <x v="52"/>
    <n v="2000"/>
  </r>
  <r>
    <x v="52"/>
    <n v="2025"/>
    <x v="9"/>
    <x v="3"/>
    <s v="RX"/>
    <s v="Cannulae"/>
    <x v="52"/>
    <n v="0"/>
  </r>
  <r>
    <x v="52"/>
    <n v="2025"/>
    <x v="10"/>
    <x v="3"/>
    <s v="RX"/>
    <s v="Cannulae"/>
    <x v="52"/>
    <n v="0"/>
  </r>
  <r>
    <x v="52"/>
    <n v="2025"/>
    <x v="11"/>
    <x v="3"/>
    <s v="RX"/>
    <s v="Cannulae"/>
    <x v="52"/>
    <n v="4000"/>
  </r>
  <r>
    <x v="53"/>
    <n v="2025"/>
    <x v="0"/>
    <x v="3"/>
    <s v="RX"/>
    <s v="Cannulae"/>
    <x v="53"/>
    <n v="0"/>
  </r>
  <r>
    <x v="53"/>
    <n v="2025"/>
    <x v="1"/>
    <x v="3"/>
    <s v="RX"/>
    <s v="Cannulae"/>
    <x v="53"/>
    <n v="0"/>
  </r>
  <r>
    <x v="53"/>
    <n v="2025"/>
    <x v="2"/>
    <x v="3"/>
    <s v="RX"/>
    <s v="Cannulae"/>
    <x v="53"/>
    <n v="0"/>
  </r>
  <r>
    <x v="53"/>
    <n v="2025"/>
    <x v="3"/>
    <x v="3"/>
    <s v="RX"/>
    <s v="Cannulae"/>
    <x v="53"/>
    <n v="0"/>
  </r>
  <r>
    <x v="53"/>
    <n v="2025"/>
    <x v="4"/>
    <x v="3"/>
    <s v="RX"/>
    <s v="Cannulae"/>
    <x v="53"/>
    <n v="0"/>
  </r>
  <r>
    <x v="53"/>
    <n v="2025"/>
    <x v="5"/>
    <x v="3"/>
    <s v="RX"/>
    <s v="Cannulae"/>
    <x v="53"/>
    <n v="3000"/>
  </r>
  <r>
    <x v="53"/>
    <n v="2025"/>
    <x v="6"/>
    <x v="3"/>
    <s v="RX"/>
    <s v="Cannulae"/>
    <x v="53"/>
    <n v="5045"/>
  </r>
  <r>
    <x v="53"/>
    <n v="2025"/>
    <x v="7"/>
    <x v="3"/>
    <s v="RX"/>
    <s v="Cannulae"/>
    <x v="53"/>
    <n v="0"/>
  </r>
  <r>
    <x v="53"/>
    <n v="2025"/>
    <x v="8"/>
    <x v="3"/>
    <s v="RX"/>
    <s v="Cannulae"/>
    <x v="53"/>
    <n v="2000"/>
  </r>
  <r>
    <x v="53"/>
    <n v="2025"/>
    <x v="9"/>
    <x v="3"/>
    <s v="RX"/>
    <s v="Cannulae"/>
    <x v="53"/>
    <n v="0"/>
  </r>
  <r>
    <x v="53"/>
    <n v="2025"/>
    <x v="10"/>
    <x v="3"/>
    <s v="RX"/>
    <s v="Cannulae"/>
    <x v="53"/>
    <n v="0"/>
  </r>
  <r>
    <x v="53"/>
    <n v="2025"/>
    <x v="11"/>
    <x v="3"/>
    <s v="RX"/>
    <s v="Cannulae"/>
    <x v="53"/>
    <n v="1000"/>
  </r>
  <r>
    <x v="54"/>
    <n v="2025"/>
    <x v="0"/>
    <x v="3"/>
    <s v="RX"/>
    <s v="Cannulae"/>
    <x v="54"/>
    <n v="0"/>
  </r>
  <r>
    <x v="54"/>
    <n v="2025"/>
    <x v="1"/>
    <x v="3"/>
    <s v="RX"/>
    <s v="Cannulae"/>
    <x v="54"/>
    <n v="0"/>
  </r>
  <r>
    <x v="54"/>
    <n v="2025"/>
    <x v="2"/>
    <x v="3"/>
    <s v="RX"/>
    <s v="Cannulae"/>
    <x v="54"/>
    <n v="0"/>
  </r>
  <r>
    <x v="54"/>
    <n v="2025"/>
    <x v="3"/>
    <x v="3"/>
    <s v="RX"/>
    <s v="Cannulae"/>
    <x v="54"/>
    <n v="0"/>
  </r>
  <r>
    <x v="54"/>
    <n v="2025"/>
    <x v="4"/>
    <x v="3"/>
    <s v="RX"/>
    <s v="Cannulae"/>
    <x v="54"/>
    <n v="0"/>
  </r>
  <r>
    <x v="54"/>
    <n v="2025"/>
    <x v="5"/>
    <x v="3"/>
    <s v="RX"/>
    <s v="Cannulae"/>
    <x v="54"/>
    <n v="0"/>
  </r>
  <r>
    <x v="54"/>
    <n v="2025"/>
    <x v="6"/>
    <x v="3"/>
    <s v="RX"/>
    <s v="Cannulae"/>
    <x v="54"/>
    <n v="2000"/>
  </r>
  <r>
    <x v="54"/>
    <n v="2025"/>
    <x v="7"/>
    <x v="3"/>
    <s v="RX"/>
    <s v="Cannulae"/>
    <x v="54"/>
    <n v="0"/>
  </r>
  <r>
    <x v="54"/>
    <n v="2025"/>
    <x v="8"/>
    <x v="3"/>
    <s v="RX"/>
    <s v="Cannulae"/>
    <x v="54"/>
    <n v="2000"/>
  </r>
  <r>
    <x v="54"/>
    <n v="2025"/>
    <x v="9"/>
    <x v="3"/>
    <s v="RX"/>
    <s v="Cannulae"/>
    <x v="54"/>
    <n v="0"/>
  </r>
  <r>
    <x v="54"/>
    <n v="2025"/>
    <x v="10"/>
    <x v="3"/>
    <s v="RX"/>
    <s v="Cannulae"/>
    <x v="54"/>
    <n v="0"/>
  </r>
  <r>
    <x v="54"/>
    <n v="2025"/>
    <x v="11"/>
    <x v="3"/>
    <s v="RX"/>
    <s v="Cannulae"/>
    <x v="54"/>
    <n v="1000"/>
  </r>
  <r>
    <x v="55"/>
    <n v="2025"/>
    <x v="0"/>
    <x v="3"/>
    <s v="RX"/>
    <s v="Cannulae"/>
    <x v="55"/>
    <n v="0"/>
  </r>
  <r>
    <x v="55"/>
    <n v="2025"/>
    <x v="1"/>
    <x v="3"/>
    <s v="RX"/>
    <s v="Cannulae"/>
    <x v="55"/>
    <n v="0"/>
  </r>
  <r>
    <x v="55"/>
    <n v="2025"/>
    <x v="2"/>
    <x v="3"/>
    <s v="RX"/>
    <s v="Cannulae"/>
    <x v="55"/>
    <n v="0"/>
  </r>
  <r>
    <x v="55"/>
    <n v="2025"/>
    <x v="3"/>
    <x v="3"/>
    <s v="RX"/>
    <s v="Cannulae"/>
    <x v="55"/>
    <n v="0"/>
  </r>
  <r>
    <x v="55"/>
    <n v="2025"/>
    <x v="4"/>
    <x v="3"/>
    <s v="RX"/>
    <s v="Cannulae"/>
    <x v="55"/>
    <n v="0"/>
  </r>
  <r>
    <x v="55"/>
    <n v="2025"/>
    <x v="5"/>
    <x v="3"/>
    <s v="RX"/>
    <s v="Cannulae"/>
    <x v="55"/>
    <n v="4000"/>
  </r>
  <r>
    <x v="55"/>
    <n v="2025"/>
    <x v="6"/>
    <x v="3"/>
    <s v="RX"/>
    <s v="Cannulae"/>
    <x v="55"/>
    <n v="0"/>
  </r>
  <r>
    <x v="55"/>
    <n v="2025"/>
    <x v="7"/>
    <x v="3"/>
    <s v="RX"/>
    <s v="Cannulae"/>
    <x v="55"/>
    <n v="0"/>
  </r>
  <r>
    <x v="55"/>
    <n v="2025"/>
    <x v="8"/>
    <x v="3"/>
    <s v="RX"/>
    <s v="Cannulae"/>
    <x v="55"/>
    <n v="1000"/>
  </r>
  <r>
    <x v="55"/>
    <n v="2025"/>
    <x v="9"/>
    <x v="3"/>
    <s v="RX"/>
    <s v="Cannulae"/>
    <x v="55"/>
    <n v="0"/>
  </r>
  <r>
    <x v="55"/>
    <n v="2025"/>
    <x v="10"/>
    <x v="3"/>
    <s v="RX"/>
    <s v="Cannulae"/>
    <x v="55"/>
    <n v="0"/>
  </r>
  <r>
    <x v="55"/>
    <n v="2025"/>
    <x v="11"/>
    <x v="3"/>
    <s v="RX"/>
    <s v="Cannulae"/>
    <x v="55"/>
    <n v="1000"/>
  </r>
  <r>
    <x v="56"/>
    <n v="2025"/>
    <x v="0"/>
    <x v="3"/>
    <s v="RX"/>
    <s v="Cannulae"/>
    <x v="56"/>
    <n v="0"/>
  </r>
  <r>
    <x v="56"/>
    <n v="2025"/>
    <x v="1"/>
    <x v="3"/>
    <s v="RX"/>
    <s v="Cannulae"/>
    <x v="56"/>
    <n v="0"/>
  </r>
  <r>
    <x v="56"/>
    <n v="2025"/>
    <x v="2"/>
    <x v="3"/>
    <s v="RX"/>
    <s v="Cannulae"/>
    <x v="56"/>
    <n v="0"/>
  </r>
  <r>
    <x v="56"/>
    <n v="2025"/>
    <x v="3"/>
    <x v="3"/>
    <s v="RX"/>
    <s v="Cannulae"/>
    <x v="56"/>
    <n v="0"/>
  </r>
  <r>
    <x v="56"/>
    <n v="2025"/>
    <x v="4"/>
    <x v="3"/>
    <s v="RX"/>
    <s v="Cannulae"/>
    <x v="56"/>
    <n v="0"/>
  </r>
  <r>
    <x v="56"/>
    <n v="2025"/>
    <x v="5"/>
    <x v="3"/>
    <s v="RX"/>
    <s v="Cannulae"/>
    <x v="56"/>
    <n v="0"/>
  </r>
  <r>
    <x v="56"/>
    <n v="2025"/>
    <x v="6"/>
    <x v="3"/>
    <s v="RX"/>
    <s v="Cannulae"/>
    <x v="56"/>
    <n v="1000"/>
  </r>
  <r>
    <x v="56"/>
    <n v="2025"/>
    <x v="7"/>
    <x v="3"/>
    <s v="RX"/>
    <s v="Cannulae"/>
    <x v="56"/>
    <n v="0"/>
  </r>
  <r>
    <x v="56"/>
    <n v="2025"/>
    <x v="8"/>
    <x v="3"/>
    <s v="RX"/>
    <s v="Cannulae"/>
    <x v="56"/>
    <n v="1000"/>
  </r>
  <r>
    <x v="56"/>
    <n v="2025"/>
    <x v="9"/>
    <x v="3"/>
    <s v="RX"/>
    <s v="Cannulae"/>
    <x v="56"/>
    <n v="0"/>
  </r>
  <r>
    <x v="56"/>
    <n v="2025"/>
    <x v="10"/>
    <x v="3"/>
    <s v="RX"/>
    <s v="Cannulae"/>
    <x v="56"/>
    <n v="0"/>
  </r>
  <r>
    <x v="56"/>
    <n v="2025"/>
    <x v="11"/>
    <x v="3"/>
    <s v="RX"/>
    <s v="Cannulae"/>
    <x v="56"/>
    <n v="0"/>
  </r>
  <r>
    <x v="57"/>
    <n v="2025"/>
    <x v="0"/>
    <x v="3"/>
    <s v="RX"/>
    <s v="Dilators"/>
    <x v="57"/>
    <n v="0"/>
  </r>
  <r>
    <x v="57"/>
    <n v="2025"/>
    <x v="1"/>
    <x v="3"/>
    <s v="RX"/>
    <s v="Dilators"/>
    <x v="57"/>
    <n v="0"/>
  </r>
  <r>
    <x v="57"/>
    <n v="2025"/>
    <x v="2"/>
    <x v="3"/>
    <s v="RX"/>
    <s v="Dilators"/>
    <x v="57"/>
    <n v="0"/>
  </r>
  <r>
    <x v="57"/>
    <n v="2025"/>
    <x v="3"/>
    <x v="3"/>
    <s v="RX"/>
    <s v="Dilators"/>
    <x v="57"/>
    <n v="0"/>
  </r>
  <r>
    <x v="57"/>
    <n v="2025"/>
    <x v="4"/>
    <x v="3"/>
    <s v="RX"/>
    <s v="Dilators"/>
    <x v="57"/>
    <n v="0"/>
  </r>
  <r>
    <x v="57"/>
    <n v="2025"/>
    <x v="5"/>
    <x v="3"/>
    <s v="RX"/>
    <s v="Dilators"/>
    <x v="57"/>
    <n v="14500"/>
  </r>
  <r>
    <x v="57"/>
    <n v="2025"/>
    <x v="6"/>
    <x v="3"/>
    <s v="RX"/>
    <s v="Dilators"/>
    <x v="57"/>
    <n v="30000"/>
  </r>
  <r>
    <x v="57"/>
    <n v="2025"/>
    <x v="7"/>
    <x v="3"/>
    <s v="RX"/>
    <s v="Dilators"/>
    <x v="57"/>
    <n v="0"/>
  </r>
  <r>
    <x v="57"/>
    <n v="2025"/>
    <x v="8"/>
    <x v="3"/>
    <s v="RX"/>
    <s v="Dilators"/>
    <x v="57"/>
    <n v="10000"/>
  </r>
  <r>
    <x v="57"/>
    <n v="2025"/>
    <x v="9"/>
    <x v="3"/>
    <s v="RX"/>
    <s v="Dilators"/>
    <x v="57"/>
    <n v="0"/>
  </r>
  <r>
    <x v="57"/>
    <n v="2025"/>
    <x v="10"/>
    <x v="3"/>
    <s v="RX"/>
    <s v="Dilators"/>
    <x v="57"/>
    <n v="0"/>
  </r>
  <r>
    <x v="57"/>
    <n v="2025"/>
    <x v="11"/>
    <x v="3"/>
    <s v="RX"/>
    <s v="Dilators"/>
    <x v="57"/>
    <n v="0"/>
  </r>
  <r>
    <x v="58"/>
    <n v="2025"/>
    <x v="0"/>
    <x v="3"/>
    <s v="RX"/>
    <s v="IUDs Cu &amp; IUS &amp; IUB"/>
    <x v="58"/>
    <n v="0"/>
  </r>
  <r>
    <x v="58"/>
    <n v="2025"/>
    <x v="1"/>
    <x v="3"/>
    <s v="RX"/>
    <s v="IUDs Cu &amp; IUS &amp; IUB"/>
    <x v="58"/>
    <n v="0"/>
  </r>
  <r>
    <x v="58"/>
    <n v="2025"/>
    <x v="2"/>
    <x v="3"/>
    <s v="RX"/>
    <s v="IUDs Cu &amp; IUS &amp; IUB"/>
    <x v="58"/>
    <n v="0"/>
  </r>
  <r>
    <x v="58"/>
    <n v="2025"/>
    <x v="3"/>
    <x v="3"/>
    <s v="RX"/>
    <s v="IUDs Cu &amp; IUS &amp; IUB"/>
    <x v="58"/>
    <n v="0"/>
  </r>
  <r>
    <x v="58"/>
    <n v="2025"/>
    <x v="4"/>
    <x v="3"/>
    <s v="RX"/>
    <s v="IUDs Cu &amp; IUS &amp; IUB"/>
    <x v="58"/>
    <n v="0"/>
  </r>
  <r>
    <x v="58"/>
    <n v="2025"/>
    <x v="5"/>
    <x v="3"/>
    <s v="RX"/>
    <s v="IUDs Cu &amp; IUS &amp; IUB"/>
    <x v="58"/>
    <n v="0"/>
  </r>
  <r>
    <x v="58"/>
    <n v="2025"/>
    <x v="6"/>
    <x v="3"/>
    <s v="RX"/>
    <s v="IUDs Cu &amp; IUS &amp; IUB"/>
    <x v="58"/>
    <n v="0"/>
  </r>
  <r>
    <x v="58"/>
    <n v="2025"/>
    <x v="7"/>
    <x v="3"/>
    <s v="RX"/>
    <s v="IUDs Cu &amp; IUS &amp; IUB"/>
    <x v="58"/>
    <n v="0"/>
  </r>
  <r>
    <x v="58"/>
    <n v="2025"/>
    <x v="8"/>
    <x v="3"/>
    <s v="RX"/>
    <s v="IUDs Cu &amp; IUS &amp; IUB"/>
    <x v="58"/>
    <n v="0"/>
  </r>
  <r>
    <x v="58"/>
    <n v="2025"/>
    <x v="9"/>
    <x v="3"/>
    <s v="RX"/>
    <s v="IUDs Cu &amp; IUS &amp; IUB"/>
    <x v="58"/>
    <n v="0"/>
  </r>
  <r>
    <x v="58"/>
    <n v="2025"/>
    <x v="10"/>
    <x v="3"/>
    <s v="RX"/>
    <s v="IUDs Cu &amp; IUS &amp; IUB"/>
    <x v="58"/>
    <n v="0"/>
  </r>
  <r>
    <x v="58"/>
    <n v="2025"/>
    <x v="11"/>
    <x v="3"/>
    <s v="RX"/>
    <s v="IUDs Cu &amp; IUS &amp; IUB"/>
    <x v="58"/>
    <n v="0"/>
  </r>
  <r>
    <x v="59"/>
    <n v="2025"/>
    <x v="0"/>
    <x v="3"/>
    <s v="RX"/>
    <s v="IUDs Cu &amp; IUS &amp; IUB"/>
    <x v="59"/>
    <n v="0"/>
  </r>
  <r>
    <x v="59"/>
    <n v="2025"/>
    <x v="1"/>
    <x v="3"/>
    <s v="RX"/>
    <s v="IUDs Cu &amp; IUS &amp; IUB"/>
    <x v="59"/>
    <n v="0"/>
  </r>
  <r>
    <x v="59"/>
    <n v="2025"/>
    <x v="2"/>
    <x v="3"/>
    <s v="RX"/>
    <s v="IUDs Cu &amp; IUS &amp; IUB"/>
    <x v="59"/>
    <n v="0"/>
  </r>
  <r>
    <x v="59"/>
    <n v="2025"/>
    <x v="3"/>
    <x v="3"/>
    <s v="RX"/>
    <s v="IUDs Cu &amp; IUS &amp; IUB"/>
    <x v="59"/>
    <n v="0"/>
  </r>
  <r>
    <x v="59"/>
    <n v="2025"/>
    <x v="4"/>
    <x v="3"/>
    <s v="RX"/>
    <s v="IUDs Cu &amp; IUS &amp; IUB"/>
    <x v="59"/>
    <n v="0"/>
  </r>
  <r>
    <x v="59"/>
    <n v="2025"/>
    <x v="5"/>
    <x v="3"/>
    <s v="RX"/>
    <s v="IUDs Cu &amp; IUS &amp; IUB"/>
    <x v="59"/>
    <n v="0"/>
  </r>
  <r>
    <x v="59"/>
    <n v="2025"/>
    <x v="6"/>
    <x v="3"/>
    <s v="RX"/>
    <s v="IUDs Cu &amp; IUS &amp; IUB"/>
    <x v="59"/>
    <n v="0"/>
  </r>
  <r>
    <x v="59"/>
    <n v="2025"/>
    <x v="7"/>
    <x v="3"/>
    <s v="RX"/>
    <s v="IUDs Cu &amp; IUS &amp; IUB"/>
    <x v="59"/>
    <n v="0"/>
  </r>
  <r>
    <x v="59"/>
    <n v="2025"/>
    <x v="8"/>
    <x v="3"/>
    <s v="RX"/>
    <s v="IUDs Cu &amp; IUS &amp; IUB"/>
    <x v="59"/>
    <n v="10000"/>
  </r>
  <r>
    <x v="59"/>
    <n v="2025"/>
    <x v="9"/>
    <x v="3"/>
    <s v="RX"/>
    <s v="IUDs Cu &amp; IUS &amp; IUB"/>
    <x v="59"/>
    <n v="0"/>
  </r>
  <r>
    <x v="59"/>
    <n v="2025"/>
    <x v="10"/>
    <x v="3"/>
    <s v="RX"/>
    <s v="IUDs Cu &amp; IUS &amp; IUB"/>
    <x v="59"/>
    <n v="0"/>
  </r>
  <r>
    <x v="59"/>
    <n v="2025"/>
    <x v="11"/>
    <x v="3"/>
    <s v="RX"/>
    <s v="IUDs Cu &amp; IUS &amp; IUB"/>
    <x v="59"/>
    <n v="0"/>
  </r>
  <r>
    <x v="60"/>
    <n v="2025"/>
    <x v="0"/>
    <x v="3"/>
    <s v="RX"/>
    <s v="IUDs Cu &amp; IUS &amp; IUB"/>
    <x v="60"/>
    <n v="0"/>
  </r>
  <r>
    <x v="60"/>
    <n v="2025"/>
    <x v="1"/>
    <x v="3"/>
    <s v="RX"/>
    <s v="IUDs Cu &amp; IUS &amp; IUB"/>
    <x v="60"/>
    <n v="0"/>
  </r>
  <r>
    <x v="60"/>
    <n v="2025"/>
    <x v="2"/>
    <x v="3"/>
    <s v="RX"/>
    <s v="IUDs Cu &amp; IUS &amp; IUB"/>
    <x v="60"/>
    <n v="0"/>
  </r>
  <r>
    <x v="60"/>
    <n v="2025"/>
    <x v="3"/>
    <x v="3"/>
    <s v="RX"/>
    <s v="IUDs Cu &amp; IUS &amp; IUB"/>
    <x v="60"/>
    <n v="0"/>
  </r>
  <r>
    <x v="60"/>
    <n v="2025"/>
    <x v="4"/>
    <x v="3"/>
    <s v="RX"/>
    <s v="IUDs Cu &amp; IUS &amp; IUB"/>
    <x v="60"/>
    <n v="0"/>
  </r>
  <r>
    <x v="60"/>
    <n v="2025"/>
    <x v="5"/>
    <x v="3"/>
    <s v="RX"/>
    <s v="IUDs Cu &amp; IUS &amp; IUB"/>
    <x v="60"/>
    <n v="14800"/>
  </r>
  <r>
    <x v="60"/>
    <n v="2025"/>
    <x v="6"/>
    <x v="3"/>
    <s v="RX"/>
    <s v="IUDs Cu &amp; IUS &amp; IUB"/>
    <x v="60"/>
    <n v="0"/>
  </r>
  <r>
    <x v="60"/>
    <n v="2025"/>
    <x v="7"/>
    <x v="3"/>
    <s v="RX"/>
    <s v="IUDs Cu &amp; IUS &amp; IUB"/>
    <x v="60"/>
    <n v="0"/>
  </r>
  <r>
    <x v="60"/>
    <n v="2025"/>
    <x v="8"/>
    <x v="3"/>
    <s v="RX"/>
    <s v="IUDs Cu &amp; IUS &amp; IUB"/>
    <x v="60"/>
    <n v="0"/>
  </r>
  <r>
    <x v="60"/>
    <n v="2025"/>
    <x v="9"/>
    <x v="3"/>
    <s v="RX"/>
    <s v="IUDs Cu &amp; IUS &amp; IUB"/>
    <x v="60"/>
    <n v="0"/>
  </r>
  <r>
    <x v="60"/>
    <n v="2025"/>
    <x v="10"/>
    <x v="3"/>
    <s v="RX"/>
    <s v="IUDs Cu &amp; IUS &amp; IUB"/>
    <x v="60"/>
    <n v="0"/>
  </r>
  <r>
    <x v="60"/>
    <n v="2025"/>
    <x v="11"/>
    <x v="3"/>
    <s v="RX"/>
    <s v="IUDs Cu &amp; IUS &amp; IUB"/>
    <x v="60"/>
    <n v="5000"/>
  </r>
  <r>
    <x v="61"/>
    <n v="2025"/>
    <x v="0"/>
    <x v="3"/>
    <s v="RX"/>
    <s v="IUDs Cu &amp; IUS &amp; IUB"/>
    <x v="61"/>
    <n v="0"/>
  </r>
  <r>
    <x v="61"/>
    <n v="2025"/>
    <x v="1"/>
    <x v="3"/>
    <s v="RX"/>
    <s v="IUDs Cu &amp; IUS &amp; IUB"/>
    <x v="61"/>
    <n v="0"/>
  </r>
  <r>
    <x v="61"/>
    <n v="2025"/>
    <x v="2"/>
    <x v="3"/>
    <s v="RX"/>
    <s v="IUDs Cu &amp; IUS &amp; IUB"/>
    <x v="61"/>
    <n v="0"/>
  </r>
  <r>
    <x v="61"/>
    <n v="2025"/>
    <x v="3"/>
    <x v="3"/>
    <s v="RX"/>
    <s v="IUDs Cu &amp; IUS &amp; IUB"/>
    <x v="61"/>
    <n v="0"/>
  </r>
  <r>
    <x v="61"/>
    <n v="2025"/>
    <x v="4"/>
    <x v="3"/>
    <s v="RX"/>
    <s v="IUDs Cu &amp; IUS &amp; IUB"/>
    <x v="61"/>
    <n v="0"/>
  </r>
  <r>
    <x v="61"/>
    <n v="2025"/>
    <x v="5"/>
    <x v="3"/>
    <s v="RX"/>
    <s v="IUDs Cu &amp; IUS &amp; IUB"/>
    <x v="61"/>
    <n v="5000"/>
  </r>
  <r>
    <x v="61"/>
    <n v="2025"/>
    <x v="6"/>
    <x v="3"/>
    <s v="RX"/>
    <s v="IUDs Cu &amp; IUS &amp; IUB"/>
    <x v="61"/>
    <n v="0"/>
  </r>
  <r>
    <x v="61"/>
    <n v="2025"/>
    <x v="7"/>
    <x v="3"/>
    <s v="RX"/>
    <s v="IUDs Cu &amp; IUS &amp; IUB"/>
    <x v="61"/>
    <n v="0"/>
  </r>
  <r>
    <x v="61"/>
    <n v="2025"/>
    <x v="8"/>
    <x v="3"/>
    <s v="RX"/>
    <s v="IUDs Cu &amp; IUS &amp; IUB"/>
    <x v="61"/>
    <n v="5000"/>
  </r>
  <r>
    <x v="61"/>
    <n v="2025"/>
    <x v="9"/>
    <x v="3"/>
    <s v="RX"/>
    <s v="IUDs Cu &amp; IUS &amp; IUB"/>
    <x v="61"/>
    <n v="0"/>
  </r>
  <r>
    <x v="61"/>
    <n v="2025"/>
    <x v="10"/>
    <x v="3"/>
    <s v="RX"/>
    <s v="IUDs Cu &amp; IUS &amp; IUB"/>
    <x v="61"/>
    <n v="5000"/>
  </r>
  <r>
    <x v="61"/>
    <n v="2025"/>
    <x v="11"/>
    <x v="3"/>
    <s v="RX"/>
    <s v="IUDs Cu &amp; IUS &amp; IUB"/>
    <x v="61"/>
    <n v="0"/>
  </r>
  <r>
    <x v="62"/>
    <n v="2025"/>
    <x v="0"/>
    <x v="3"/>
    <s v="RX"/>
    <s v="IUDs Cu &amp; IUS &amp; IUB"/>
    <x v="62"/>
    <n v="0"/>
  </r>
  <r>
    <x v="62"/>
    <n v="2025"/>
    <x v="1"/>
    <x v="3"/>
    <s v="RX"/>
    <s v="IUDs Cu &amp; IUS &amp; IUB"/>
    <x v="62"/>
    <n v="0"/>
  </r>
  <r>
    <x v="62"/>
    <n v="2025"/>
    <x v="2"/>
    <x v="3"/>
    <s v="RX"/>
    <s v="IUDs Cu &amp; IUS &amp; IUB"/>
    <x v="62"/>
    <n v="0"/>
  </r>
  <r>
    <x v="62"/>
    <n v="2025"/>
    <x v="3"/>
    <x v="3"/>
    <s v="RX"/>
    <s v="IUDs Cu &amp; IUS &amp; IUB"/>
    <x v="62"/>
    <n v="0"/>
  </r>
  <r>
    <x v="62"/>
    <n v="2025"/>
    <x v="4"/>
    <x v="3"/>
    <s v="RX"/>
    <s v="IUDs Cu &amp; IUS &amp; IUB"/>
    <x v="62"/>
    <n v="0"/>
  </r>
  <r>
    <x v="62"/>
    <n v="2025"/>
    <x v="5"/>
    <x v="3"/>
    <s v="RX"/>
    <s v="IUDs Cu &amp; IUS &amp; IUB"/>
    <x v="62"/>
    <n v="0"/>
  </r>
  <r>
    <x v="62"/>
    <n v="2025"/>
    <x v="6"/>
    <x v="3"/>
    <s v="RX"/>
    <s v="IUDs Cu &amp; IUS &amp; IUB"/>
    <x v="62"/>
    <n v="0"/>
  </r>
  <r>
    <x v="62"/>
    <n v="2025"/>
    <x v="7"/>
    <x v="3"/>
    <s v="RX"/>
    <s v="IUDs Cu &amp; IUS &amp; IUB"/>
    <x v="62"/>
    <n v="0"/>
  </r>
  <r>
    <x v="62"/>
    <n v="2025"/>
    <x v="8"/>
    <x v="3"/>
    <s v="RX"/>
    <s v="IUDs Cu &amp; IUS &amp; IUB"/>
    <x v="62"/>
    <n v="0"/>
  </r>
  <r>
    <x v="62"/>
    <n v="2025"/>
    <x v="9"/>
    <x v="3"/>
    <s v="RX"/>
    <s v="IUDs Cu &amp; IUS &amp; IUB"/>
    <x v="62"/>
    <n v="0"/>
  </r>
  <r>
    <x v="62"/>
    <n v="2025"/>
    <x v="10"/>
    <x v="3"/>
    <s v="RX"/>
    <s v="IUDs Cu &amp; IUS &amp; IUB"/>
    <x v="62"/>
    <n v="0"/>
  </r>
  <r>
    <x v="62"/>
    <n v="2025"/>
    <x v="11"/>
    <x v="3"/>
    <s v="RX"/>
    <s v="IUDs Cu &amp; IUS &amp; IUB"/>
    <x v="62"/>
    <n v="0"/>
  </r>
  <r>
    <x v="63"/>
    <n v="2025"/>
    <x v="0"/>
    <x v="3"/>
    <s v="RX"/>
    <s v="IUDs Cu &amp; IUS &amp; IUB"/>
    <x v="63"/>
    <n v="0"/>
  </r>
  <r>
    <x v="63"/>
    <n v="2025"/>
    <x v="1"/>
    <x v="3"/>
    <s v="RX"/>
    <s v="IUDs Cu &amp; IUS &amp; IUB"/>
    <x v="63"/>
    <n v="0"/>
  </r>
  <r>
    <x v="63"/>
    <n v="2025"/>
    <x v="2"/>
    <x v="3"/>
    <s v="RX"/>
    <s v="IUDs Cu &amp; IUS &amp; IUB"/>
    <x v="63"/>
    <n v="0"/>
  </r>
  <r>
    <x v="63"/>
    <n v="2025"/>
    <x v="3"/>
    <x v="3"/>
    <s v="RX"/>
    <s v="IUDs Cu &amp; IUS &amp; IUB"/>
    <x v="63"/>
    <n v="0"/>
  </r>
  <r>
    <x v="63"/>
    <n v="2025"/>
    <x v="4"/>
    <x v="3"/>
    <s v="RX"/>
    <s v="IUDs Cu &amp; IUS &amp; IUB"/>
    <x v="63"/>
    <n v="0"/>
  </r>
  <r>
    <x v="63"/>
    <n v="2025"/>
    <x v="5"/>
    <x v="3"/>
    <s v="RX"/>
    <s v="IUDs Cu &amp; IUS &amp; IUB"/>
    <x v="63"/>
    <n v="0"/>
  </r>
  <r>
    <x v="63"/>
    <n v="2025"/>
    <x v="6"/>
    <x v="3"/>
    <s v="RX"/>
    <s v="IUDs Cu &amp; IUS &amp; IUB"/>
    <x v="63"/>
    <n v="0"/>
  </r>
  <r>
    <x v="63"/>
    <n v="2025"/>
    <x v="7"/>
    <x v="3"/>
    <s v="RX"/>
    <s v="IUDs Cu &amp; IUS &amp; IUB"/>
    <x v="63"/>
    <n v="0"/>
  </r>
  <r>
    <x v="63"/>
    <n v="2025"/>
    <x v="8"/>
    <x v="3"/>
    <s v="RX"/>
    <s v="IUDs Cu &amp; IUS &amp; IUB"/>
    <x v="63"/>
    <n v="0"/>
  </r>
  <r>
    <x v="63"/>
    <n v="2025"/>
    <x v="9"/>
    <x v="3"/>
    <s v="RX"/>
    <s v="IUDs Cu &amp; IUS &amp; IUB"/>
    <x v="63"/>
    <n v="0"/>
  </r>
  <r>
    <x v="63"/>
    <n v="2025"/>
    <x v="10"/>
    <x v="3"/>
    <s v="RX"/>
    <s v="IUDs Cu &amp; IUS &amp; IUB"/>
    <x v="63"/>
    <n v="0"/>
  </r>
  <r>
    <x v="63"/>
    <n v="2025"/>
    <x v="11"/>
    <x v="3"/>
    <s v="RX"/>
    <s v="IUDs Cu &amp; IUS &amp; IUB"/>
    <x v="63"/>
    <n v="0"/>
  </r>
  <r>
    <x v="64"/>
    <n v="2025"/>
    <x v="0"/>
    <x v="3"/>
    <s v="RX"/>
    <s v="Hysterometer"/>
    <x v="64"/>
    <n v="0"/>
  </r>
  <r>
    <x v="64"/>
    <n v="2025"/>
    <x v="1"/>
    <x v="3"/>
    <s v="RX"/>
    <s v="Hysterometer"/>
    <x v="64"/>
    <n v="0"/>
  </r>
  <r>
    <x v="64"/>
    <n v="2025"/>
    <x v="2"/>
    <x v="3"/>
    <s v="RX"/>
    <s v="Hysterometer"/>
    <x v="64"/>
    <n v="0"/>
  </r>
  <r>
    <x v="64"/>
    <n v="2025"/>
    <x v="3"/>
    <x v="3"/>
    <s v="RX"/>
    <s v="Hysterometer"/>
    <x v="64"/>
    <n v="0"/>
  </r>
  <r>
    <x v="64"/>
    <n v="2025"/>
    <x v="4"/>
    <x v="3"/>
    <s v="RX"/>
    <s v="Hysterometer"/>
    <x v="64"/>
    <n v="0"/>
  </r>
  <r>
    <x v="64"/>
    <n v="2025"/>
    <x v="5"/>
    <x v="3"/>
    <s v="RX"/>
    <s v="Hysterometer"/>
    <x v="64"/>
    <n v="20000"/>
  </r>
  <r>
    <x v="64"/>
    <n v="2025"/>
    <x v="6"/>
    <x v="3"/>
    <s v="RX"/>
    <s v="Hysterometer"/>
    <x v="64"/>
    <n v="0"/>
  </r>
  <r>
    <x v="64"/>
    <n v="2025"/>
    <x v="7"/>
    <x v="3"/>
    <s v="RX"/>
    <s v="Hysterometer"/>
    <x v="64"/>
    <n v="0"/>
  </r>
  <r>
    <x v="64"/>
    <n v="2025"/>
    <x v="8"/>
    <x v="3"/>
    <s v="RX"/>
    <s v="Hysterometer"/>
    <x v="64"/>
    <n v="0"/>
  </r>
  <r>
    <x v="64"/>
    <n v="2025"/>
    <x v="9"/>
    <x v="3"/>
    <s v="RX"/>
    <s v="Hysterometer"/>
    <x v="64"/>
    <n v="0"/>
  </r>
  <r>
    <x v="64"/>
    <n v="2025"/>
    <x v="10"/>
    <x v="3"/>
    <s v="RX"/>
    <s v="Hysterometer"/>
    <x v="64"/>
    <n v="10000"/>
  </r>
  <r>
    <x v="64"/>
    <n v="2025"/>
    <x v="11"/>
    <x v="3"/>
    <s v="RX"/>
    <s v="Hysterometer"/>
    <x v="64"/>
    <n v="0"/>
  </r>
  <r>
    <x v="65"/>
    <n v="2025"/>
    <x v="0"/>
    <x v="3"/>
    <s v="RX"/>
    <s v="Injetable"/>
    <x v="65"/>
    <n v="0"/>
  </r>
  <r>
    <x v="65"/>
    <n v="2025"/>
    <x v="1"/>
    <x v="3"/>
    <s v="RX"/>
    <s v="Injetable"/>
    <x v="65"/>
    <n v="0"/>
  </r>
  <r>
    <x v="65"/>
    <n v="2025"/>
    <x v="2"/>
    <x v="3"/>
    <s v="RX"/>
    <s v="Injetable"/>
    <x v="65"/>
    <n v="0"/>
  </r>
  <r>
    <x v="65"/>
    <n v="2025"/>
    <x v="3"/>
    <x v="3"/>
    <s v="RX"/>
    <s v="Injetable"/>
    <x v="65"/>
    <n v="0"/>
  </r>
  <r>
    <x v="65"/>
    <n v="2025"/>
    <x v="4"/>
    <x v="3"/>
    <s v="RX"/>
    <s v="Injetable"/>
    <x v="65"/>
    <n v="0"/>
  </r>
  <r>
    <x v="65"/>
    <n v="2025"/>
    <x v="5"/>
    <x v="3"/>
    <s v="RX"/>
    <s v="Injetable"/>
    <x v="65"/>
    <n v="0"/>
  </r>
  <r>
    <x v="65"/>
    <n v="2025"/>
    <x v="6"/>
    <x v="3"/>
    <s v="RX"/>
    <s v="Injetable"/>
    <x v="65"/>
    <n v="0"/>
  </r>
  <r>
    <x v="65"/>
    <n v="2025"/>
    <x v="7"/>
    <x v="3"/>
    <s v="RX"/>
    <s v="Injetable"/>
    <x v="65"/>
    <n v="0"/>
  </r>
  <r>
    <x v="65"/>
    <n v="2025"/>
    <x v="8"/>
    <x v="3"/>
    <s v="RX"/>
    <s v="Injetable"/>
    <x v="65"/>
    <n v="0"/>
  </r>
  <r>
    <x v="65"/>
    <n v="2025"/>
    <x v="9"/>
    <x v="3"/>
    <s v="RX"/>
    <s v="Injetable"/>
    <x v="65"/>
    <n v="0"/>
  </r>
  <r>
    <x v="65"/>
    <n v="2025"/>
    <x v="10"/>
    <x v="3"/>
    <s v="RX"/>
    <s v="Injetable"/>
    <x v="65"/>
    <n v="0"/>
  </r>
  <r>
    <x v="65"/>
    <n v="2025"/>
    <x v="11"/>
    <x v="3"/>
    <s v="RX"/>
    <s v="Injetable"/>
    <x v="65"/>
    <n v="0"/>
  </r>
  <r>
    <x v="66"/>
    <n v="2025"/>
    <x v="0"/>
    <x v="3"/>
    <s v="RX"/>
    <s v="EC"/>
    <x v="66"/>
    <n v="0"/>
  </r>
  <r>
    <x v="66"/>
    <n v="2025"/>
    <x v="1"/>
    <x v="3"/>
    <s v="RX"/>
    <s v="EC"/>
    <x v="66"/>
    <n v="0"/>
  </r>
  <r>
    <x v="66"/>
    <n v="2025"/>
    <x v="2"/>
    <x v="3"/>
    <s v="RX"/>
    <s v="EC"/>
    <x v="66"/>
    <n v="0"/>
  </r>
  <r>
    <x v="66"/>
    <n v="2025"/>
    <x v="3"/>
    <x v="3"/>
    <s v="RX"/>
    <s v="EC"/>
    <x v="66"/>
    <n v="0"/>
  </r>
  <r>
    <x v="66"/>
    <n v="2025"/>
    <x v="4"/>
    <x v="3"/>
    <s v="RX"/>
    <s v="EC"/>
    <x v="66"/>
    <n v="0"/>
  </r>
  <r>
    <x v="66"/>
    <n v="2025"/>
    <x v="5"/>
    <x v="3"/>
    <s v="RX"/>
    <s v="EC"/>
    <x v="66"/>
    <n v="120000"/>
  </r>
  <r>
    <x v="66"/>
    <n v="2025"/>
    <x v="6"/>
    <x v="3"/>
    <s v="RX"/>
    <s v="EC"/>
    <x v="66"/>
    <n v="120000"/>
  </r>
  <r>
    <x v="66"/>
    <n v="2025"/>
    <x v="7"/>
    <x v="3"/>
    <s v="RX"/>
    <s v="EC"/>
    <x v="66"/>
    <n v="0"/>
  </r>
  <r>
    <x v="66"/>
    <n v="2025"/>
    <x v="8"/>
    <x v="3"/>
    <s v="RX"/>
    <s v="EC"/>
    <x v="66"/>
    <n v="0"/>
  </r>
  <r>
    <x v="66"/>
    <n v="2025"/>
    <x v="9"/>
    <x v="3"/>
    <s v="RX"/>
    <s v="EC"/>
    <x v="66"/>
    <n v="390000"/>
  </r>
  <r>
    <x v="66"/>
    <n v="2025"/>
    <x v="10"/>
    <x v="3"/>
    <s v="RX"/>
    <s v="EC"/>
    <x v="66"/>
    <n v="510000"/>
  </r>
  <r>
    <x v="66"/>
    <n v="2025"/>
    <x v="11"/>
    <x v="3"/>
    <s v="RX"/>
    <s v="EC"/>
    <x v="66"/>
    <n v="0"/>
  </r>
  <r>
    <x v="0"/>
    <n v="2026"/>
    <x v="0"/>
    <x v="0"/>
    <s v="Preservativo Masculino"/>
    <s v="Básico"/>
    <x v="0"/>
    <n v="8000"/>
  </r>
  <r>
    <x v="0"/>
    <n v="2026"/>
    <x v="1"/>
    <x v="0"/>
    <s v="Preservativo Masculino"/>
    <s v="Básico"/>
    <x v="0"/>
    <n v="8000"/>
  </r>
  <r>
    <x v="0"/>
    <n v="2026"/>
    <x v="2"/>
    <x v="0"/>
    <s v="Preservativo Masculino"/>
    <s v="Básico"/>
    <x v="0"/>
    <n v="10400"/>
  </r>
  <r>
    <x v="0"/>
    <n v="2026"/>
    <x v="3"/>
    <x v="0"/>
    <s v="Preservativo Masculino"/>
    <s v="Básico"/>
    <x v="0"/>
    <n v="5600"/>
  </r>
  <r>
    <x v="0"/>
    <n v="2026"/>
    <x v="4"/>
    <x v="0"/>
    <s v="Preservativo Masculino"/>
    <s v="Básico"/>
    <x v="0"/>
    <n v="8000"/>
  </r>
  <r>
    <x v="0"/>
    <n v="2026"/>
    <x v="5"/>
    <x v="0"/>
    <s v="Preservativo Masculino"/>
    <s v="Básico"/>
    <x v="0"/>
    <n v="0"/>
  </r>
  <r>
    <x v="0"/>
    <n v="2026"/>
    <x v="6"/>
    <x v="0"/>
    <s v="Preservativo Masculino"/>
    <s v="Básico"/>
    <x v="0"/>
    <n v="0"/>
  </r>
  <r>
    <x v="0"/>
    <n v="2026"/>
    <x v="7"/>
    <x v="0"/>
    <s v="Preservativo Masculino"/>
    <s v="Básico"/>
    <x v="0"/>
    <n v="0"/>
  </r>
  <r>
    <x v="0"/>
    <n v="2026"/>
    <x v="8"/>
    <x v="0"/>
    <s v="Preservativo Masculino"/>
    <s v="Básico"/>
    <x v="0"/>
    <n v="0"/>
  </r>
  <r>
    <x v="0"/>
    <n v="2026"/>
    <x v="9"/>
    <x v="0"/>
    <s v="Preservativo Masculino"/>
    <s v="Básico"/>
    <x v="0"/>
    <n v="0"/>
  </r>
  <r>
    <x v="0"/>
    <n v="2026"/>
    <x v="10"/>
    <x v="0"/>
    <s v="Preservativo Masculino"/>
    <s v="Básico"/>
    <x v="0"/>
    <n v="0"/>
  </r>
  <r>
    <x v="0"/>
    <n v="2026"/>
    <x v="11"/>
    <x v="0"/>
    <s v="Preservativo Masculino"/>
    <s v="Básico"/>
    <x v="0"/>
    <n v="0"/>
  </r>
  <r>
    <x v="1"/>
    <n v="2026"/>
    <x v="0"/>
    <x v="0"/>
    <s v="Preservativo Masculino"/>
    <s v="Básico"/>
    <x v="1"/>
    <n v="5000"/>
  </r>
  <r>
    <x v="1"/>
    <n v="2026"/>
    <x v="1"/>
    <x v="0"/>
    <s v="Preservativo Masculino"/>
    <s v="Básico"/>
    <x v="1"/>
    <n v="5000"/>
  </r>
  <r>
    <x v="1"/>
    <n v="2026"/>
    <x v="2"/>
    <x v="0"/>
    <s v="Preservativo Masculino"/>
    <s v="Básico"/>
    <x v="1"/>
    <n v="5000"/>
  </r>
  <r>
    <x v="1"/>
    <n v="2026"/>
    <x v="3"/>
    <x v="0"/>
    <s v="Preservativo Masculino"/>
    <s v="Básico"/>
    <x v="1"/>
    <n v="5000"/>
  </r>
  <r>
    <x v="1"/>
    <n v="2026"/>
    <x v="4"/>
    <x v="0"/>
    <s v="Preservativo Masculino"/>
    <s v="Básico"/>
    <x v="1"/>
    <n v="5000"/>
  </r>
  <r>
    <x v="1"/>
    <n v="2026"/>
    <x v="5"/>
    <x v="0"/>
    <s v="Preservativo Masculino"/>
    <s v="Básico"/>
    <x v="1"/>
    <n v="0"/>
  </r>
  <r>
    <x v="1"/>
    <n v="2026"/>
    <x v="6"/>
    <x v="0"/>
    <s v="Preservativo Masculino"/>
    <s v="Básico"/>
    <x v="1"/>
    <n v="0"/>
  </r>
  <r>
    <x v="1"/>
    <n v="2026"/>
    <x v="7"/>
    <x v="0"/>
    <s v="Preservativo Masculino"/>
    <s v="Básico"/>
    <x v="1"/>
    <n v="0"/>
  </r>
  <r>
    <x v="1"/>
    <n v="2026"/>
    <x v="8"/>
    <x v="0"/>
    <s v="Preservativo Masculino"/>
    <s v="Básico"/>
    <x v="1"/>
    <n v="0"/>
  </r>
  <r>
    <x v="1"/>
    <n v="2026"/>
    <x v="9"/>
    <x v="0"/>
    <s v="Preservativo Masculino"/>
    <s v="Básico"/>
    <x v="1"/>
    <n v="0"/>
  </r>
  <r>
    <x v="1"/>
    <n v="2026"/>
    <x v="10"/>
    <x v="0"/>
    <s v="Preservativo Masculino"/>
    <s v="Básico"/>
    <x v="1"/>
    <n v="0"/>
  </r>
  <r>
    <x v="1"/>
    <n v="2026"/>
    <x v="11"/>
    <x v="0"/>
    <s v="Preservativo Masculino"/>
    <s v="Básico"/>
    <x v="1"/>
    <n v="0"/>
  </r>
  <r>
    <x v="2"/>
    <n v="2026"/>
    <x v="0"/>
    <x v="0"/>
    <s v="Preservativo Masculino"/>
    <s v="Básico"/>
    <x v="2"/>
    <n v="2600"/>
  </r>
  <r>
    <x v="2"/>
    <n v="2026"/>
    <x v="1"/>
    <x v="0"/>
    <s v="Preservativo Masculino"/>
    <s v="Básico"/>
    <x v="2"/>
    <n v="2600"/>
  </r>
  <r>
    <x v="2"/>
    <n v="2026"/>
    <x v="2"/>
    <x v="0"/>
    <s v="Preservativo Masculino"/>
    <s v="Básico"/>
    <x v="2"/>
    <n v="2600"/>
  </r>
  <r>
    <x v="2"/>
    <n v="2026"/>
    <x v="3"/>
    <x v="0"/>
    <s v="Preservativo Masculino"/>
    <s v="Básico"/>
    <x v="2"/>
    <n v="2600"/>
  </r>
  <r>
    <x v="2"/>
    <n v="2026"/>
    <x v="4"/>
    <x v="0"/>
    <s v="Preservativo Masculino"/>
    <s v="Básico"/>
    <x v="2"/>
    <n v="2600"/>
  </r>
  <r>
    <x v="2"/>
    <n v="2026"/>
    <x v="5"/>
    <x v="0"/>
    <s v="Preservativo Masculino"/>
    <s v="Básico"/>
    <x v="2"/>
    <n v="0"/>
  </r>
  <r>
    <x v="2"/>
    <n v="2026"/>
    <x v="6"/>
    <x v="0"/>
    <s v="Preservativo Masculino"/>
    <s v="Básico"/>
    <x v="2"/>
    <n v="0"/>
  </r>
  <r>
    <x v="2"/>
    <n v="2026"/>
    <x v="7"/>
    <x v="0"/>
    <s v="Preservativo Masculino"/>
    <s v="Básico"/>
    <x v="2"/>
    <n v="0"/>
  </r>
  <r>
    <x v="2"/>
    <n v="2026"/>
    <x v="8"/>
    <x v="0"/>
    <s v="Preservativo Masculino"/>
    <s v="Básico"/>
    <x v="2"/>
    <n v="0"/>
  </r>
  <r>
    <x v="2"/>
    <n v="2026"/>
    <x v="9"/>
    <x v="0"/>
    <s v="Preservativo Masculino"/>
    <s v="Básico"/>
    <x v="2"/>
    <n v="0"/>
  </r>
  <r>
    <x v="2"/>
    <n v="2026"/>
    <x v="10"/>
    <x v="0"/>
    <s v="Preservativo Masculino"/>
    <s v="Básico"/>
    <x v="2"/>
    <n v="0"/>
  </r>
  <r>
    <x v="2"/>
    <n v="2026"/>
    <x v="11"/>
    <x v="0"/>
    <s v="Preservativo Masculino"/>
    <s v="Básico"/>
    <x v="2"/>
    <n v="0"/>
  </r>
  <r>
    <x v="3"/>
    <n v="2026"/>
    <x v="0"/>
    <x v="0"/>
    <s v="Preservativo Masculino"/>
    <s v="Cores e Sabores"/>
    <x v="3"/>
    <n v="5000"/>
  </r>
  <r>
    <x v="3"/>
    <n v="2026"/>
    <x v="1"/>
    <x v="0"/>
    <s v="Preservativo Masculino"/>
    <s v="Cores e Sabores"/>
    <x v="3"/>
    <n v="5000"/>
  </r>
  <r>
    <x v="3"/>
    <n v="2026"/>
    <x v="2"/>
    <x v="0"/>
    <s v="Preservativo Masculino"/>
    <s v="Cores e Sabores"/>
    <x v="3"/>
    <n v="6500"/>
  </r>
  <r>
    <x v="3"/>
    <n v="2026"/>
    <x v="3"/>
    <x v="0"/>
    <s v="Preservativo Masculino"/>
    <s v="Cores e Sabores"/>
    <x v="3"/>
    <n v="3500"/>
  </r>
  <r>
    <x v="3"/>
    <n v="2026"/>
    <x v="4"/>
    <x v="0"/>
    <s v="Preservativo Masculino"/>
    <s v="Cores e Sabores"/>
    <x v="3"/>
    <n v="5000"/>
  </r>
  <r>
    <x v="3"/>
    <n v="2026"/>
    <x v="5"/>
    <x v="0"/>
    <s v="Preservativo Masculino"/>
    <s v="Cores e Sabores"/>
    <x v="3"/>
    <n v="0"/>
  </r>
  <r>
    <x v="3"/>
    <n v="2026"/>
    <x v="6"/>
    <x v="0"/>
    <s v="Preservativo Masculino"/>
    <s v="Cores e Sabores"/>
    <x v="3"/>
    <n v="0"/>
  </r>
  <r>
    <x v="3"/>
    <n v="2026"/>
    <x v="7"/>
    <x v="0"/>
    <s v="Preservativo Masculino"/>
    <s v="Cores e Sabores"/>
    <x v="3"/>
    <n v="0"/>
  </r>
  <r>
    <x v="3"/>
    <n v="2026"/>
    <x v="8"/>
    <x v="0"/>
    <s v="Preservativo Masculino"/>
    <s v="Cores e Sabores"/>
    <x v="3"/>
    <n v="0"/>
  </r>
  <r>
    <x v="3"/>
    <n v="2026"/>
    <x v="9"/>
    <x v="0"/>
    <s v="Preservativo Masculino"/>
    <s v="Cores e Sabores"/>
    <x v="3"/>
    <n v="0"/>
  </r>
  <r>
    <x v="3"/>
    <n v="2026"/>
    <x v="10"/>
    <x v="0"/>
    <s v="Preservativo Masculino"/>
    <s v="Cores e Sabores"/>
    <x v="3"/>
    <n v="0"/>
  </r>
  <r>
    <x v="3"/>
    <n v="2026"/>
    <x v="11"/>
    <x v="0"/>
    <s v="Preservativo Masculino"/>
    <s v="Cores e Sabores"/>
    <x v="3"/>
    <n v="0"/>
  </r>
  <r>
    <x v="4"/>
    <n v="2026"/>
    <x v="0"/>
    <x v="0"/>
    <s v="Preservativo Masculino"/>
    <s v="Cores e Sabores"/>
    <x v="4"/>
    <n v="1951"/>
  </r>
  <r>
    <x v="4"/>
    <n v="2026"/>
    <x v="1"/>
    <x v="0"/>
    <s v="Preservativo Masculino"/>
    <s v="Cores e Sabores"/>
    <x v="4"/>
    <n v="1878"/>
  </r>
  <r>
    <x v="4"/>
    <n v="2026"/>
    <x v="2"/>
    <x v="0"/>
    <s v="Preservativo Masculino"/>
    <s v="Cores e Sabores"/>
    <x v="4"/>
    <n v="2200"/>
  </r>
  <r>
    <x v="4"/>
    <n v="2026"/>
    <x v="3"/>
    <x v="0"/>
    <s v="Preservativo Masculino"/>
    <s v="Cores e Sabores"/>
    <x v="4"/>
    <n v="1330"/>
  </r>
  <r>
    <x v="4"/>
    <n v="2026"/>
    <x v="4"/>
    <x v="0"/>
    <s v="Preservativo Masculino"/>
    <s v="Cores e Sabores"/>
    <x v="4"/>
    <n v="1803"/>
  </r>
  <r>
    <x v="4"/>
    <n v="2026"/>
    <x v="5"/>
    <x v="0"/>
    <s v="Preservativo Masculino"/>
    <s v="Cores e Sabores"/>
    <x v="4"/>
    <n v="0"/>
  </r>
  <r>
    <x v="4"/>
    <n v="2026"/>
    <x v="6"/>
    <x v="0"/>
    <s v="Preservativo Masculino"/>
    <s v="Cores e Sabores"/>
    <x v="4"/>
    <n v="0"/>
  </r>
  <r>
    <x v="4"/>
    <n v="2026"/>
    <x v="7"/>
    <x v="0"/>
    <s v="Preservativo Masculino"/>
    <s v="Cores e Sabores"/>
    <x v="4"/>
    <n v="0"/>
  </r>
  <r>
    <x v="4"/>
    <n v="2026"/>
    <x v="8"/>
    <x v="0"/>
    <s v="Preservativo Masculino"/>
    <s v="Cores e Sabores"/>
    <x v="4"/>
    <n v="0"/>
  </r>
  <r>
    <x v="4"/>
    <n v="2026"/>
    <x v="9"/>
    <x v="0"/>
    <s v="Preservativo Masculino"/>
    <s v="Cores e Sabores"/>
    <x v="4"/>
    <n v="0"/>
  </r>
  <r>
    <x v="4"/>
    <n v="2026"/>
    <x v="10"/>
    <x v="0"/>
    <s v="Preservativo Masculino"/>
    <s v="Cores e Sabores"/>
    <x v="4"/>
    <n v="0"/>
  </r>
  <r>
    <x v="4"/>
    <n v="2026"/>
    <x v="11"/>
    <x v="0"/>
    <s v="Preservativo Masculino"/>
    <s v="Cores e Sabores"/>
    <x v="4"/>
    <n v="0"/>
  </r>
  <r>
    <x v="5"/>
    <n v="2026"/>
    <x v="0"/>
    <x v="0"/>
    <s v="Preservativo Masculino"/>
    <s v="Cores e Sabores"/>
    <x v="5"/>
    <n v="3000"/>
  </r>
  <r>
    <x v="5"/>
    <n v="2026"/>
    <x v="1"/>
    <x v="0"/>
    <s v="Preservativo Masculino"/>
    <s v="Cores e Sabores"/>
    <x v="5"/>
    <n v="3000"/>
  </r>
  <r>
    <x v="5"/>
    <n v="2026"/>
    <x v="2"/>
    <x v="0"/>
    <s v="Preservativo Masculino"/>
    <s v="Cores e Sabores"/>
    <x v="5"/>
    <n v="4500"/>
  </r>
  <r>
    <x v="5"/>
    <n v="2026"/>
    <x v="3"/>
    <x v="0"/>
    <s v="Preservativo Masculino"/>
    <s v="Cores e Sabores"/>
    <x v="5"/>
    <n v="1500"/>
  </r>
  <r>
    <x v="5"/>
    <n v="2026"/>
    <x v="4"/>
    <x v="0"/>
    <s v="Preservativo Masculino"/>
    <s v="Cores e Sabores"/>
    <x v="5"/>
    <n v="3000"/>
  </r>
  <r>
    <x v="5"/>
    <n v="2026"/>
    <x v="5"/>
    <x v="0"/>
    <s v="Preservativo Masculino"/>
    <s v="Cores e Sabores"/>
    <x v="5"/>
    <n v="0"/>
  </r>
  <r>
    <x v="5"/>
    <n v="2026"/>
    <x v="6"/>
    <x v="0"/>
    <s v="Preservativo Masculino"/>
    <s v="Cores e Sabores"/>
    <x v="5"/>
    <n v="0"/>
  </r>
  <r>
    <x v="5"/>
    <n v="2026"/>
    <x v="7"/>
    <x v="0"/>
    <s v="Preservativo Masculino"/>
    <s v="Cores e Sabores"/>
    <x v="5"/>
    <n v="0"/>
  </r>
  <r>
    <x v="5"/>
    <n v="2026"/>
    <x v="8"/>
    <x v="0"/>
    <s v="Preservativo Masculino"/>
    <s v="Cores e Sabores"/>
    <x v="5"/>
    <n v="0"/>
  </r>
  <r>
    <x v="5"/>
    <n v="2026"/>
    <x v="9"/>
    <x v="0"/>
    <s v="Preservativo Masculino"/>
    <s v="Cores e Sabores"/>
    <x v="5"/>
    <n v="0"/>
  </r>
  <r>
    <x v="5"/>
    <n v="2026"/>
    <x v="10"/>
    <x v="0"/>
    <s v="Preservativo Masculino"/>
    <s v="Cores e Sabores"/>
    <x v="5"/>
    <n v="0"/>
  </r>
  <r>
    <x v="5"/>
    <n v="2026"/>
    <x v="11"/>
    <x v="0"/>
    <s v="Preservativo Masculino"/>
    <s v="Cores e Sabores"/>
    <x v="5"/>
    <n v="0"/>
  </r>
  <r>
    <x v="6"/>
    <n v="2026"/>
    <x v="0"/>
    <x v="0"/>
    <s v="Preservativo Masculino"/>
    <s v="Cores e Sabores"/>
    <x v="6"/>
    <n v="651"/>
  </r>
  <r>
    <x v="6"/>
    <n v="2026"/>
    <x v="1"/>
    <x v="0"/>
    <s v="Preservativo Masculino"/>
    <s v="Cores e Sabores"/>
    <x v="6"/>
    <n v="686"/>
  </r>
  <r>
    <x v="6"/>
    <n v="2026"/>
    <x v="2"/>
    <x v="0"/>
    <s v="Preservativo Masculino"/>
    <s v="Cores e Sabores"/>
    <x v="6"/>
    <n v="694"/>
  </r>
  <r>
    <x v="6"/>
    <n v="2026"/>
    <x v="3"/>
    <x v="0"/>
    <s v="Preservativo Masculino"/>
    <s v="Cores e Sabores"/>
    <x v="6"/>
    <n v="768"/>
  </r>
  <r>
    <x v="6"/>
    <n v="2026"/>
    <x v="4"/>
    <x v="0"/>
    <s v="Preservativo Masculino"/>
    <s v="Cores e Sabores"/>
    <x v="6"/>
    <n v="716"/>
  </r>
  <r>
    <x v="6"/>
    <n v="2026"/>
    <x v="5"/>
    <x v="0"/>
    <s v="Preservativo Masculino"/>
    <s v="Cores e Sabores"/>
    <x v="6"/>
    <n v="0"/>
  </r>
  <r>
    <x v="6"/>
    <n v="2026"/>
    <x v="6"/>
    <x v="0"/>
    <s v="Preservativo Masculino"/>
    <s v="Cores e Sabores"/>
    <x v="6"/>
    <n v="0"/>
  </r>
  <r>
    <x v="6"/>
    <n v="2026"/>
    <x v="7"/>
    <x v="0"/>
    <s v="Preservativo Masculino"/>
    <s v="Cores e Sabores"/>
    <x v="6"/>
    <n v="0"/>
  </r>
  <r>
    <x v="6"/>
    <n v="2026"/>
    <x v="8"/>
    <x v="0"/>
    <s v="Preservativo Masculino"/>
    <s v="Cores e Sabores"/>
    <x v="6"/>
    <n v="0"/>
  </r>
  <r>
    <x v="6"/>
    <n v="2026"/>
    <x v="9"/>
    <x v="0"/>
    <s v="Preservativo Masculino"/>
    <s v="Cores e Sabores"/>
    <x v="6"/>
    <n v="0"/>
  </r>
  <r>
    <x v="6"/>
    <n v="2026"/>
    <x v="10"/>
    <x v="0"/>
    <s v="Preservativo Masculino"/>
    <s v="Cores e Sabores"/>
    <x v="6"/>
    <n v="0"/>
  </r>
  <r>
    <x v="6"/>
    <n v="2026"/>
    <x v="11"/>
    <x v="0"/>
    <s v="Preservativo Masculino"/>
    <s v="Cores e Sabores"/>
    <x v="6"/>
    <n v="0"/>
  </r>
  <r>
    <x v="7"/>
    <n v="2026"/>
    <x v="0"/>
    <x v="0"/>
    <s v="Preservativo Masculino"/>
    <s v="Cores e Sabores"/>
    <x v="7"/>
    <n v="3000"/>
  </r>
  <r>
    <x v="7"/>
    <n v="2026"/>
    <x v="1"/>
    <x v="0"/>
    <s v="Preservativo Masculino"/>
    <s v="Cores e Sabores"/>
    <x v="7"/>
    <n v="3000"/>
  </r>
  <r>
    <x v="7"/>
    <n v="2026"/>
    <x v="2"/>
    <x v="0"/>
    <s v="Preservativo Masculino"/>
    <s v="Cores e Sabores"/>
    <x v="7"/>
    <n v="3900"/>
  </r>
  <r>
    <x v="7"/>
    <n v="2026"/>
    <x v="3"/>
    <x v="0"/>
    <s v="Preservativo Masculino"/>
    <s v="Cores e Sabores"/>
    <x v="7"/>
    <n v="2100"/>
  </r>
  <r>
    <x v="7"/>
    <n v="2026"/>
    <x v="4"/>
    <x v="0"/>
    <s v="Preservativo Masculino"/>
    <s v="Cores e Sabores"/>
    <x v="7"/>
    <n v="3000"/>
  </r>
  <r>
    <x v="7"/>
    <n v="2026"/>
    <x v="5"/>
    <x v="0"/>
    <s v="Preservativo Masculino"/>
    <s v="Cores e Sabores"/>
    <x v="7"/>
    <n v="0"/>
  </r>
  <r>
    <x v="7"/>
    <n v="2026"/>
    <x v="6"/>
    <x v="0"/>
    <s v="Preservativo Masculino"/>
    <s v="Cores e Sabores"/>
    <x v="7"/>
    <n v="0"/>
  </r>
  <r>
    <x v="7"/>
    <n v="2026"/>
    <x v="7"/>
    <x v="0"/>
    <s v="Preservativo Masculino"/>
    <s v="Cores e Sabores"/>
    <x v="7"/>
    <n v="0"/>
  </r>
  <r>
    <x v="7"/>
    <n v="2026"/>
    <x v="8"/>
    <x v="0"/>
    <s v="Preservativo Masculino"/>
    <s v="Cores e Sabores"/>
    <x v="7"/>
    <n v="0"/>
  </r>
  <r>
    <x v="7"/>
    <n v="2026"/>
    <x v="9"/>
    <x v="0"/>
    <s v="Preservativo Masculino"/>
    <s v="Cores e Sabores"/>
    <x v="7"/>
    <n v="0"/>
  </r>
  <r>
    <x v="7"/>
    <n v="2026"/>
    <x v="10"/>
    <x v="0"/>
    <s v="Preservativo Masculino"/>
    <s v="Cores e Sabores"/>
    <x v="7"/>
    <n v="0"/>
  </r>
  <r>
    <x v="7"/>
    <n v="2026"/>
    <x v="11"/>
    <x v="0"/>
    <s v="Preservativo Masculino"/>
    <s v="Cores e Sabores"/>
    <x v="7"/>
    <n v="0"/>
  </r>
  <r>
    <x v="8"/>
    <n v="2026"/>
    <x v="0"/>
    <x v="0"/>
    <s v="Preservativo Masculino"/>
    <s v="Cores e Sabores"/>
    <x v="8"/>
    <n v="1500"/>
  </r>
  <r>
    <x v="8"/>
    <n v="2026"/>
    <x v="1"/>
    <x v="0"/>
    <s v="Preservativo Masculino"/>
    <s v="Cores e Sabores"/>
    <x v="8"/>
    <n v="1500"/>
  </r>
  <r>
    <x v="8"/>
    <n v="2026"/>
    <x v="2"/>
    <x v="0"/>
    <s v="Preservativo Masculino"/>
    <s v="Cores e Sabores"/>
    <x v="8"/>
    <n v="1950"/>
  </r>
  <r>
    <x v="8"/>
    <n v="2026"/>
    <x v="3"/>
    <x v="0"/>
    <s v="Preservativo Masculino"/>
    <s v="Cores e Sabores"/>
    <x v="8"/>
    <n v="1050"/>
  </r>
  <r>
    <x v="8"/>
    <n v="2026"/>
    <x v="4"/>
    <x v="0"/>
    <s v="Preservativo Masculino"/>
    <s v="Cores e Sabores"/>
    <x v="8"/>
    <n v="1500"/>
  </r>
  <r>
    <x v="8"/>
    <n v="2026"/>
    <x v="5"/>
    <x v="0"/>
    <s v="Preservativo Masculino"/>
    <s v="Cores e Sabores"/>
    <x v="8"/>
    <n v="0"/>
  </r>
  <r>
    <x v="8"/>
    <n v="2026"/>
    <x v="6"/>
    <x v="0"/>
    <s v="Preservativo Masculino"/>
    <s v="Cores e Sabores"/>
    <x v="8"/>
    <n v="0"/>
  </r>
  <r>
    <x v="8"/>
    <n v="2026"/>
    <x v="7"/>
    <x v="0"/>
    <s v="Preservativo Masculino"/>
    <s v="Cores e Sabores"/>
    <x v="8"/>
    <n v="0"/>
  </r>
  <r>
    <x v="8"/>
    <n v="2026"/>
    <x v="8"/>
    <x v="0"/>
    <s v="Preservativo Masculino"/>
    <s v="Cores e Sabores"/>
    <x v="8"/>
    <n v="0"/>
  </r>
  <r>
    <x v="8"/>
    <n v="2026"/>
    <x v="9"/>
    <x v="0"/>
    <s v="Preservativo Masculino"/>
    <s v="Cores e Sabores"/>
    <x v="8"/>
    <n v="0"/>
  </r>
  <r>
    <x v="8"/>
    <n v="2026"/>
    <x v="10"/>
    <x v="0"/>
    <s v="Preservativo Masculino"/>
    <s v="Cores e Sabores"/>
    <x v="8"/>
    <n v="0"/>
  </r>
  <r>
    <x v="8"/>
    <n v="2026"/>
    <x v="11"/>
    <x v="0"/>
    <s v="Preservativo Masculino"/>
    <s v="Cores e Sabores"/>
    <x v="8"/>
    <n v="0"/>
  </r>
  <r>
    <x v="9"/>
    <n v="2026"/>
    <x v="0"/>
    <x v="0"/>
    <s v="Preservativo Masculino"/>
    <s v="Cores e Sabores"/>
    <x v="9"/>
    <n v="1900"/>
  </r>
  <r>
    <x v="9"/>
    <n v="2026"/>
    <x v="1"/>
    <x v="0"/>
    <s v="Preservativo Masculino"/>
    <s v="Cores e Sabores"/>
    <x v="9"/>
    <n v="1900"/>
  </r>
  <r>
    <x v="9"/>
    <n v="2026"/>
    <x v="2"/>
    <x v="0"/>
    <s v="Preservativo Masculino"/>
    <s v="Cores e Sabores"/>
    <x v="9"/>
    <n v="2470"/>
  </r>
  <r>
    <x v="9"/>
    <n v="2026"/>
    <x v="3"/>
    <x v="0"/>
    <s v="Preservativo Masculino"/>
    <s v="Cores e Sabores"/>
    <x v="9"/>
    <n v="1330"/>
  </r>
  <r>
    <x v="9"/>
    <n v="2026"/>
    <x v="4"/>
    <x v="0"/>
    <s v="Preservativo Masculino"/>
    <s v="Cores e Sabores"/>
    <x v="9"/>
    <n v="1900"/>
  </r>
  <r>
    <x v="9"/>
    <n v="2026"/>
    <x v="5"/>
    <x v="0"/>
    <s v="Preservativo Masculino"/>
    <s v="Cores e Sabores"/>
    <x v="9"/>
    <n v="0"/>
  </r>
  <r>
    <x v="9"/>
    <n v="2026"/>
    <x v="6"/>
    <x v="0"/>
    <s v="Preservativo Masculino"/>
    <s v="Cores e Sabores"/>
    <x v="9"/>
    <n v="0"/>
  </r>
  <r>
    <x v="9"/>
    <n v="2026"/>
    <x v="7"/>
    <x v="0"/>
    <s v="Preservativo Masculino"/>
    <s v="Cores e Sabores"/>
    <x v="9"/>
    <n v="0"/>
  </r>
  <r>
    <x v="9"/>
    <n v="2026"/>
    <x v="8"/>
    <x v="0"/>
    <s v="Preservativo Masculino"/>
    <s v="Cores e Sabores"/>
    <x v="9"/>
    <n v="0"/>
  </r>
  <r>
    <x v="9"/>
    <n v="2026"/>
    <x v="9"/>
    <x v="0"/>
    <s v="Preservativo Masculino"/>
    <s v="Cores e Sabores"/>
    <x v="9"/>
    <n v="0"/>
  </r>
  <r>
    <x v="9"/>
    <n v="2026"/>
    <x v="10"/>
    <x v="0"/>
    <s v="Preservativo Masculino"/>
    <s v="Cores e Sabores"/>
    <x v="9"/>
    <n v="0"/>
  </r>
  <r>
    <x v="9"/>
    <n v="2026"/>
    <x v="11"/>
    <x v="0"/>
    <s v="Preservativo Masculino"/>
    <s v="Cores e Sabores"/>
    <x v="9"/>
    <n v="0"/>
  </r>
  <r>
    <x v="10"/>
    <n v="2026"/>
    <x v="0"/>
    <x v="0"/>
    <s v="Preservativo Masculino"/>
    <s v="Cores e Sabores"/>
    <x v="10"/>
    <n v="575"/>
  </r>
  <r>
    <x v="10"/>
    <n v="2026"/>
    <x v="1"/>
    <x v="0"/>
    <s v="Preservativo Masculino"/>
    <s v="Cores e Sabores"/>
    <x v="10"/>
    <n v="591"/>
  </r>
  <r>
    <x v="10"/>
    <n v="2026"/>
    <x v="2"/>
    <x v="0"/>
    <s v="Preservativo Masculino"/>
    <s v="Cores e Sabores"/>
    <x v="10"/>
    <n v="601"/>
  </r>
  <r>
    <x v="10"/>
    <n v="2026"/>
    <x v="3"/>
    <x v="0"/>
    <s v="Preservativo Masculino"/>
    <s v="Cores e Sabores"/>
    <x v="10"/>
    <n v="676"/>
  </r>
  <r>
    <x v="10"/>
    <n v="2026"/>
    <x v="4"/>
    <x v="0"/>
    <s v="Preservativo Masculino"/>
    <s v="Cores e Sabores"/>
    <x v="10"/>
    <n v="598"/>
  </r>
  <r>
    <x v="10"/>
    <n v="2026"/>
    <x v="5"/>
    <x v="0"/>
    <s v="Preservativo Masculino"/>
    <s v="Cores e Sabores"/>
    <x v="10"/>
    <n v="0"/>
  </r>
  <r>
    <x v="10"/>
    <n v="2026"/>
    <x v="6"/>
    <x v="0"/>
    <s v="Preservativo Masculino"/>
    <s v="Cores e Sabores"/>
    <x v="10"/>
    <n v="0"/>
  </r>
  <r>
    <x v="10"/>
    <n v="2026"/>
    <x v="7"/>
    <x v="0"/>
    <s v="Preservativo Masculino"/>
    <s v="Cores e Sabores"/>
    <x v="10"/>
    <n v="0"/>
  </r>
  <r>
    <x v="10"/>
    <n v="2026"/>
    <x v="8"/>
    <x v="0"/>
    <s v="Preservativo Masculino"/>
    <s v="Cores e Sabores"/>
    <x v="10"/>
    <n v="0"/>
  </r>
  <r>
    <x v="10"/>
    <n v="2026"/>
    <x v="9"/>
    <x v="0"/>
    <s v="Preservativo Masculino"/>
    <s v="Cores e Sabores"/>
    <x v="10"/>
    <n v="0"/>
  </r>
  <r>
    <x v="10"/>
    <n v="2026"/>
    <x v="10"/>
    <x v="0"/>
    <s v="Preservativo Masculino"/>
    <s v="Cores e Sabores"/>
    <x v="10"/>
    <n v="0"/>
  </r>
  <r>
    <x v="10"/>
    <n v="2026"/>
    <x v="11"/>
    <x v="0"/>
    <s v="Preservativo Masculino"/>
    <s v="Cores e Sabores"/>
    <x v="10"/>
    <n v="0"/>
  </r>
  <r>
    <x v="11"/>
    <n v="2026"/>
    <x v="0"/>
    <x v="0"/>
    <s v="Preservativo Masculino"/>
    <s v="Cores e Sabores"/>
    <x v="11"/>
    <n v="802"/>
  </r>
  <r>
    <x v="11"/>
    <n v="2026"/>
    <x v="1"/>
    <x v="0"/>
    <s v="Preservativo Masculino"/>
    <s v="Cores e Sabores"/>
    <x v="11"/>
    <n v="700"/>
  </r>
  <r>
    <x v="11"/>
    <n v="2026"/>
    <x v="2"/>
    <x v="0"/>
    <s v="Preservativo Masculino"/>
    <s v="Cores e Sabores"/>
    <x v="11"/>
    <n v="832"/>
  </r>
  <r>
    <x v="11"/>
    <n v="2026"/>
    <x v="3"/>
    <x v="0"/>
    <s v="Preservativo Masculino"/>
    <s v="Cores e Sabores"/>
    <x v="11"/>
    <n v="135"/>
  </r>
  <r>
    <x v="11"/>
    <n v="2026"/>
    <x v="4"/>
    <x v="0"/>
    <s v="Preservativo Masculino"/>
    <s v="Cores e Sabores"/>
    <x v="11"/>
    <n v="556"/>
  </r>
  <r>
    <x v="11"/>
    <n v="2026"/>
    <x v="5"/>
    <x v="0"/>
    <s v="Preservativo Masculino"/>
    <s v="Cores e Sabores"/>
    <x v="11"/>
    <n v="0"/>
  </r>
  <r>
    <x v="11"/>
    <n v="2026"/>
    <x v="6"/>
    <x v="0"/>
    <s v="Preservativo Masculino"/>
    <s v="Cores e Sabores"/>
    <x v="11"/>
    <n v="0"/>
  </r>
  <r>
    <x v="11"/>
    <n v="2026"/>
    <x v="7"/>
    <x v="0"/>
    <s v="Preservativo Masculino"/>
    <s v="Cores e Sabores"/>
    <x v="11"/>
    <n v="0"/>
  </r>
  <r>
    <x v="11"/>
    <n v="2026"/>
    <x v="8"/>
    <x v="0"/>
    <s v="Preservativo Masculino"/>
    <s v="Cores e Sabores"/>
    <x v="11"/>
    <n v="0"/>
  </r>
  <r>
    <x v="11"/>
    <n v="2026"/>
    <x v="9"/>
    <x v="0"/>
    <s v="Preservativo Masculino"/>
    <s v="Cores e Sabores"/>
    <x v="11"/>
    <n v="0"/>
  </r>
  <r>
    <x v="11"/>
    <n v="2026"/>
    <x v="10"/>
    <x v="0"/>
    <s v="Preservativo Masculino"/>
    <s v="Cores e Sabores"/>
    <x v="11"/>
    <n v="0"/>
  </r>
  <r>
    <x v="11"/>
    <n v="2026"/>
    <x v="11"/>
    <x v="0"/>
    <s v="Preservativo Masculino"/>
    <s v="Cores e Sabores"/>
    <x v="11"/>
    <n v="0"/>
  </r>
  <r>
    <x v="12"/>
    <n v="2026"/>
    <x v="0"/>
    <x v="0"/>
    <s v="Preservativo Masculino"/>
    <s v="Cores e Sabores"/>
    <x v="12"/>
    <n v="870"/>
  </r>
  <r>
    <x v="12"/>
    <n v="2026"/>
    <x v="1"/>
    <x v="0"/>
    <s v="Preservativo Masculino"/>
    <s v="Cores e Sabores"/>
    <x v="12"/>
    <n v="865"/>
  </r>
  <r>
    <x v="12"/>
    <n v="2026"/>
    <x v="2"/>
    <x v="0"/>
    <s v="Preservativo Masculino"/>
    <s v="Cores e Sabores"/>
    <x v="12"/>
    <n v="1279"/>
  </r>
  <r>
    <x v="12"/>
    <n v="2026"/>
    <x v="3"/>
    <x v="0"/>
    <s v="Preservativo Masculino"/>
    <s v="Cores e Sabores"/>
    <x v="12"/>
    <n v="844"/>
  </r>
  <r>
    <x v="12"/>
    <n v="2026"/>
    <x v="4"/>
    <x v="0"/>
    <s v="Preservativo Masculino"/>
    <s v="Cores e Sabores"/>
    <x v="12"/>
    <n v="996"/>
  </r>
  <r>
    <x v="12"/>
    <n v="2026"/>
    <x v="5"/>
    <x v="0"/>
    <s v="Preservativo Masculino"/>
    <s v="Cores e Sabores"/>
    <x v="12"/>
    <n v="0"/>
  </r>
  <r>
    <x v="12"/>
    <n v="2026"/>
    <x v="6"/>
    <x v="0"/>
    <s v="Preservativo Masculino"/>
    <s v="Cores e Sabores"/>
    <x v="12"/>
    <n v="0"/>
  </r>
  <r>
    <x v="12"/>
    <n v="2026"/>
    <x v="7"/>
    <x v="0"/>
    <s v="Preservativo Masculino"/>
    <s v="Cores e Sabores"/>
    <x v="12"/>
    <n v="0"/>
  </r>
  <r>
    <x v="12"/>
    <n v="2026"/>
    <x v="8"/>
    <x v="0"/>
    <s v="Preservativo Masculino"/>
    <s v="Cores e Sabores"/>
    <x v="12"/>
    <n v="0"/>
  </r>
  <r>
    <x v="12"/>
    <n v="2026"/>
    <x v="9"/>
    <x v="0"/>
    <s v="Preservativo Masculino"/>
    <s v="Cores e Sabores"/>
    <x v="12"/>
    <n v="0"/>
  </r>
  <r>
    <x v="12"/>
    <n v="2026"/>
    <x v="10"/>
    <x v="0"/>
    <s v="Preservativo Masculino"/>
    <s v="Cores e Sabores"/>
    <x v="12"/>
    <n v="0"/>
  </r>
  <r>
    <x v="12"/>
    <n v="2026"/>
    <x v="11"/>
    <x v="0"/>
    <s v="Preservativo Masculino"/>
    <s v="Cores e Sabores"/>
    <x v="12"/>
    <n v="0"/>
  </r>
  <r>
    <x v="13"/>
    <n v="2026"/>
    <x v="0"/>
    <x v="0"/>
    <s v="Preservativo Masculino"/>
    <s v="Cores e Sabores"/>
    <x v="13"/>
    <n v="578"/>
  </r>
  <r>
    <x v="13"/>
    <n v="2026"/>
    <x v="1"/>
    <x v="0"/>
    <s v="Preservativo Masculino"/>
    <s v="Cores e Sabores"/>
    <x v="13"/>
    <n v="578"/>
  </r>
  <r>
    <x v="13"/>
    <n v="2026"/>
    <x v="2"/>
    <x v="0"/>
    <s v="Preservativo Masculino"/>
    <s v="Cores e Sabores"/>
    <x v="13"/>
    <n v="620.79999999999995"/>
  </r>
  <r>
    <x v="13"/>
    <n v="2026"/>
    <x v="3"/>
    <x v="0"/>
    <s v="Preservativo Masculino"/>
    <s v="Cores e Sabores"/>
    <x v="13"/>
    <n v="256.2"/>
  </r>
  <r>
    <x v="13"/>
    <n v="2026"/>
    <x v="4"/>
    <x v="0"/>
    <s v="Preservativo Masculino"/>
    <s v="Cores e Sabores"/>
    <x v="13"/>
    <n v="334"/>
  </r>
  <r>
    <x v="13"/>
    <n v="2026"/>
    <x v="5"/>
    <x v="0"/>
    <s v="Preservativo Masculino"/>
    <s v="Cores e Sabores"/>
    <x v="13"/>
    <n v="0"/>
  </r>
  <r>
    <x v="13"/>
    <n v="2026"/>
    <x v="6"/>
    <x v="0"/>
    <s v="Preservativo Masculino"/>
    <s v="Cores e Sabores"/>
    <x v="13"/>
    <n v="0"/>
  </r>
  <r>
    <x v="13"/>
    <n v="2026"/>
    <x v="7"/>
    <x v="0"/>
    <s v="Preservativo Masculino"/>
    <s v="Cores e Sabores"/>
    <x v="13"/>
    <n v="0"/>
  </r>
  <r>
    <x v="13"/>
    <n v="2026"/>
    <x v="8"/>
    <x v="0"/>
    <s v="Preservativo Masculino"/>
    <s v="Cores e Sabores"/>
    <x v="13"/>
    <n v="0"/>
  </r>
  <r>
    <x v="13"/>
    <n v="2026"/>
    <x v="9"/>
    <x v="0"/>
    <s v="Preservativo Masculino"/>
    <s v="Cores e Sabores"/>
    <x v="13"/>
    <n v="0"/>
  </r>
  <r>
    <x v="13"/>
    <n v="2026"/>
    <x v="10"/>
    <x v="0"/>
    <s v="Preservativo Masculino"/>
    <s v="Cores e Sabores"/>
    <x v="13"/>
    <n v="0"/>
  </r>
  <r>
    <x v="13"/>
    <n v="2026"/>
    <x v="11"/>
    <x v="0"/>
    <s v="Preservativo Masculino"/>
    <s v="Cores e Sabores"/>
    <x v="13"/>
    <n v="0"/>
  </r>
  <r>
    <x v="14"/>
    <n v="2026"/>
    <x v="0"/>
    <x v="0"/>
    <s v="Preservativo Masculino"/>
    <s v="Cores e Sabores"/>
    <x v="14"/>
    <n v="550"/>
  </r>
  <r>
    <x v="14"/>
    <n v="2026"/>
    <x v="1"/>
    <x v="0"/>
    <s v="Preservativo Masculino"/>
    <s v="Cores e Sabores"/>
    <x v="14"/>
    <n v="550"/>
  </r>
  <r>
    <x v="14"/>
    <n v="2026"/>
    <x v="2"/>
    <x v="0"/>
    <s v="Preservativo Masculino"/>
    <s v="Cores e Sabores"/>
    <x v="14"/>
    <n v="550"/>
  </r>
  <r>
    <x v="14"/>
    <n v="2026"/>
    <x v="3"/>
    <x v="0"/>
    <s v="Preservativo Masculino"/>
    <s v="Cores e Sabores"/>
    <x v="14"/>
    <n v="550"/>
  </r>
  <r>
    <x v="14"/>
    <n v="2026"/>
    <x v="4"/>
    <x v="0"/>
    <s v="Preservativo Masculino"/>
    <s v="Cores e Sabores"/>
    <x v="14"/>
    <n v="623"/>
  </r>
  <r>
    <x v="14"/>
    <n v="2026"/>
    <x v="5"/>
    <x v="0"/>
    <s v="Preservativo Masculino"/>
    <s v="Cores e Sabores"/>
    <x v="14"/>
    <n v="0"/>
  </r>
  <r>
    <x v="14"/>
    <n v="2026"/>
    <x v="6"/>
    <x v="0"/>
    <s v="Preservativo Masculino"/>
    <s v="Cores e Sabores"/>
    <x v="14"/>
    <n v="0"/>
  </r>
  <r>
    <x v="14"/>
    <n v="2026"/>
    <x v="7"/>
    <x v="0"/>
    <s v="Preservativo Masculino"/>
    <s v="Cores e Sabores"/>
    <x v="14"/>
    <n v="0"/>
  </r>
  <r>
    <x v="14"/>
    <n v="2026"/>
    <x v="8"/>
    <x v="0"/>
    <s v="Preservativo Masculino"/>
    <s v="Cores e Sabores"/>
    <x v="14"/>
    <n v="0"/>
  </r>
  <r>
    <x v="14"/>
    <n v="2026"/>
    <x v="9"/>
    <x v="0"/>
    <s v="Preservativo Masculino"/>
    <s v="Cores e Sabores"/>
    <x v="14"/>
    <n v="0"/>
  </r>
  <r>
    <x v="14"/>
    <n v="2026"/>
    <x v="10"/>
    <x v="0"/>
    <s v="Preservativo Masculino"/>
    <s v="Cores e Sabores"/>
    <x v="14"/>
    <n v="0"/>
  </r>
  <r>
    <x v="14"/>
    <n v="2026"/>
    <x v="11"/>
    <x v="0"/>
    <s v="Preservativo Masculino"/>
    <s v="Cores e Sabores"/>
    <x v="14"/>
    <n v="0"/>
  </r>
  <r>
    <x v="15"/>
    <n v="2026"/>
    <x v="0"/>
    <x v="0"/>
    <s v="Preservativo Masculino"/>
    <s v="Performance"/>
    <x v="15"/>
    <n v="5068"/>
  </r>
  <r>
    <x v="15"/>
    <n v="2026"/>
    <x v="1"/>
    <x v="0"/>
    <s v="Preservativo Masculino"/>
    <s v="Performance"/>
    <x v="15"/>
    <n v="5888"/>
  </r>
  <r>
    <x v="15"/>
    <n v="2026"/>
    <x v="2"/>
    <x v="0"/>
    <s v="Preservativo Masculino"/>
    <s v="Performance"/>
    <x v="15"/>
    <n v="5495"/>
  </r>
  <r>
    <x v="15"/>
    <n v="2026"/>
    <x v="3"/>
    <x v="0"/>
    <s v="Preservativo Masculino"/>
    <s v="Performance"/>
    <x v="15"/>
    <n v="5152"/>
  </r>
  <r>
    <x v="15"/>
    <n v="2026"/>
    <x v="4"/>
    <x v="0"/>
    <s v="Preservativo Masculino"/>
    <s v="Performance"/>
    <x v="15"/>
    <n v="5512"/>
  </r>
  <r>
    <x v="15"/>
    <n v="2026"/>
    <x v="5"/>
    <x v="0"/>
    <s v="Preservativo Masculino"/>
    <s v="Performance"/>
    <x v="15"/>
    <n v="0"/>
  </r>
  <r>
    <x v="15"/>
    <n v="2026"/>
    <x v="6"/>
    <x v="0"/>
    <s v="Preservativo Masculino"/>
    <s v="Performance"/>
    <x v="15"/>
    <n v="0"/>
  </r>
  <r>
    <x v="15"/>
    <n v="2026"/>
    <x v="7"/>
    <x v="0"/>
    <s v="Preservativo Masculino"/>
    <s v="Performance"/>
    <x v="15"/>
    <n v="0"/>
  </r>
  <r>
    <x v="15"/>
    <n v="2026"/>
    <x v="8"/>
    <x v="0"/>
    <s v="Preservativo Masculino"/>
    <s v="Performance"/>
    <x v="15"/>
    <n v="0"/>
  </r>
  <r>
    <x v="15"/>
    <n v="2026"/>
    <x v="9"/>
    <x v="0"/>
    <s v="Preservativo Masculino"/>
    <s v="Performance"/>
    <x v="15"/>
    <n v="0"/>
  </r>
  <r>
    <x v="15"/>
    <n v="2026"/>
    <x v="10"/>
    <x v="0"/>
    <s v="Preservativo Masculino"/>
    <s v="Performance"/>
    <x v="15"/>
    <n v="0"/>
  </r>
  <r>
    <x v="15"/>
    <n v="2026"/>
    <x v="11"/>
    <x v="0"/>
    <s v="Preservativo Masculino"/>
    <s v="Performance"/>
    <x v="15"/>
    <n v="0"/>
  </r>
  <r>
    <x v="16"/>
    <n v="2026"/>
    <x v="0"/>
    <x v="0"/>
    <s v="Preservativo Masculino"/>
    <s v="Performance"/>
    <x v="16"/>
    <n v="2279"/>
  </r>
  <r>
    <x v="16"/>
    <n v="2026"/>
    <x v="1"/>
    <x v="0"/>
    <s v="Preservativo Masculino"/>
    <s v="Performance"/>
    <x v="16"/>
    <n v="1807"/>
  </r>
  <r>
    <x v="16"/>
    <n v="2026"/>
    <x v="2"/>
    <x v="0"/>
    <s v="Preservativo Masculino"/>
    <s v="Performance"/>
    <x v="16"/>
    <n v="2713.8"/>
  </r>
  <r>
    <x v="16"/>
    <n v="2026"/>
    <x v="3"/>
    <x v="0"/>
    <s v="Preservativo Masculino"/>
    <s v="Performance"/>
    <x v="16"/>
    <n v="1369.2"/>
  </r>
  <r>
    <x v="16"/>
    <n v="2026"/>
    <x v="4"/>
    <x v="0"/>
    <s v="Preservativo Masculino"/>
    <s v="Performance"/>
    <x v="16"/>
    <n v="1963"/>
  </r>
  <r>
    <x v="16"/>
    <n v="2026"/>
    <x v="5"/>
    <x v="0"/>
    <s v="Preservativo Masculino"/>
    <s v="Performance"/>
    <x v="16"/>
    <n v="0"/>
  </r>
  <r>
    <x v="16"/>
    <n v="2026"/>
    <x v="6"/>
    <x v="0"/>
    <s v="Preservativo Masculino"/>
    <s v="Performance"/>
    <x v="16"/>
    <n v="0"/>
  </r>
  <r>
    <x v="16"/>
    <n v="2026"/>
    <x v="7"/>
    <x v="0"/>
    <s v="Preservativo Masculino"/>
    <s v="Performance"/>
    <x v="16"/>
    <n v="0"/>
  </r>
  <r>
    <x v="16"/>
    <n v="2026"/>
    <x v="8"/>
    <x v="0"/>
    <s v="Preservativo Masculino"/>
    <s v="Performance"/>
    <x v="16"/>
    <n v="0"/>
  </r>
  <r>
    <x v="16"/>
    <n v="2026"/>
    <x v="9"/>
    <x v="0"/>
    <s v="Preservativo Masculino"/>
    <s v="Performance"/>
    <x v="16"/>
    <n v="0"/>
  </r>
  <r>
    <x v="16"/>
    <n v="2026"/>
    <x v="10"/>
    <x v="0"/>
    <s v="Preservativo Masculino"/>
    <s v="Performance"/>
    <x v="16"/>
    <n v="0"/>
  </r>
  <r>
    <x v="16"/>
    <n v="2026"/>
    <x v="11"/>
    <x v="0"/>
    <s v="Preservativo Masculino"/>
    <s v="Performance"/>
    <x v="16"/>
    <n v="0"/>
  </r>
  <r>
    <x v="17"/>
    <n v="2026"/>
    <x v="0"/>
    <x v="0"/>
    <s v="Preservativo Masculino"/>
    <s v="Performance"/>
    <x v="17"/>
    <n v="2122"/>
  </r>
  <r>
    <x v="17"/>
    <n v="2026"/>
    <x v="1"/>
    <x v="0"/>
    <s v="Preservativo Masculino"/>
    <s v="Performance"/>
    <x v="17"/>
    <n v="1914"/>
  </r>
  <r>
    <x v="17"/>
    <n v="2026"/>
    <x v="2"/>
    <x v="0"/>
    <s v="Preservativo Masculino"/>
    <s v="Performance"/>
    <x v="17"/>
    <n v="1994"/>
  </r>
  <r>
    <x v="17"/>
    <n v="2026"/>
    <x v="3"/>
    <x v="0"/>
    <s v="Preservativo Masculino"/>
    <s v="Performance"/>
    <x v="17"/>
    <n v="1577"/>
  </r>
  <r>
    <x v="17"/>
    <n v="2026"/>
    <x v="4"/>
    <x v="0"/>
    <s v="Preservativo Masculino"/>
    <s v="Performance"/>
    <x v="17"/>
    <n v="1828"/>
  </r>
  <r>
    <x v="17"/>
    <n v="2026"/>
    <x v="5"/>
    <x v="0"/>
    <s v="Preservativo Masculino"/>
    <s v="Performance"/>
    <x v="17"/>
    <n v="0"/>
  </r>
  <r>
    <x v="17"/>
    <n v="2026"/>
    <x v="6"/>
    <x v="0"/>
    <s v="Preservativo Masculino"/>
    <s v="Performance"/>
    <x v="17"/>
    <n v="0"/>
  </r>
  <r>
    <x v="17"/>
    <n v="2026"/>
    <x v="7"/>
    <x v="0"/>
    <s v="Preservativo Masculino"/>
    <s v="Performance"/>
    <x v="17"/>
    <n v="0"/>
  </r>
  <r>
    <x v="17"/>
    <n v="2026"/>
    <x v="8"/>
    <x v="0"/>
    <s v="Preservativo Masculino"/>
    <s v="Performance"/>
    <x v="17"/>
    <n v="0"/>
  </r>
  <r>
    <x v="17"/>
    <n v="2026"/>
    <x v="9"/>
    <x v="0"/>
    <s v="Preservativo Masculino"/>
    <s v="Performance"/>
    <x v="17"/>
    <n v="0"/>
  </r>
  <r>
    <x v="17"/>
    <n v="2026"/>
    <x v="10"/>
    <x v="0"/>
    <s v="Preservativo Masculino"/>
    <s v="Performance"/>
    <x v="17"/>
    <n v="0"/>
  </r>
  <r>
    <x v="17"/>
    <n v="2026"/>
    <x v="11"/>
    <x v="0"/>
    <s v="Preservativo Masculino"/>
    <s v="Performance"/>
    <x v="17"/>
    <n v="0"/>
  </r>
  <r>
    <x v="18"/>
    <n v="2026"/>
    <x v="0"/>
    <x v="0"/>
    <s v="Preservativo Masculino"/>
    <s v="Performance"/>
    <x v="18"/>
    <n v="1131"/>
  </r>
  <r>
    <x v="18"/>
    <n v="2026"/>
    <x v="1"/>
    <x v="0"/>
    <s v="Preservativo Masculino"/>
    <s v="Performance"/>
    <x v="18"/>
    <n v="1079"/>
  </r>
  <r>
    <x v="18"/>
    <n v="2026"/>
    <x v="2"/>
    <x v="0"/>
    <s v="Preservativo Masculino"/>
    <s v="Performance"/>
    <x v="18"/>
    <n v="1255"/>
  </r>
  <r>
    <x v="18"/>
    <n v="2026"/>
    <x v="3"/>
    <x v="0"/>
    <s v="Preservativo Masculino"/>
    <s v="Performance"/>
    <x v="18"/>
    <n v="1522"/>
  </r>
  <r>
    <x v="18"/>
    <n v="2026"/>
    <x v="4"/>
    <x v="0"/>
    <s v="Preservativo Masculino"/>
    <s v="Performance"/>
    <x v="18"/>
    <n v="1285"/>
  </r>
  <r>
    <x v="18"/>
    <n v="2026"/>
    <x v="5"/>
    <x v="0"/>
    <s v="Preservativo Masculino"/>
    <s v="Performance"/>
    <x v="18"/>
    <n v="0"/>
  </r>
  <r>
    <x v="18"/>
    <n v="2026"/>
    <x v="6"/>
    <x v="0"/>
    <s v="Preservativo Masculino"/>
    <s v="Performance"/>
    <x v="18"/>
    <n v="0"/>
  </r>
  <r>
    <x v="18"/>
    <n v="2026"/>
    <x v="7"/>
    <x v="0"/>
    <s v="Preservativo Masculino"/>
    <s v="Performance"/>
    <x v="18"/>
    <n v="0"/>
  </r>
  <r>
    <x v="18"/>
    <n v="2026"/>
    <x v="8"/>
    <x v="0"/>
    <s v="Preservativo Masculino"/>
    <s v="Performance"/>
    <x v="18"/>
    <n v="0"/>
  </r>
  <r>
    <x v="18"/>
    <n v="2026"/>
    <x v="9"/>
    <x v="0"/>
    <s v="Preservativo Masculino"/>
    <s v="Performance"/>
    <x v="18"/>
    <n v="0"/>
  </r>
  <r>
    <x v="18"/>
    <n v="2026"/>
    <x v="10"/>
    <x v="0"/>
    <s v="Preservativo Masculino"/>
    <s v="Performance"/>
    <x v="18"/>
    <n v="0"/>
  </r>
  <r>
    <x v="18"/>
    <n v="2026"/>
    <x v="11"/>
    <x v="0"/>
    <s v="Preservativo Masculino"/>
    <s v="Performance"/>
    <x v="18"/>
    <n v="0"/>
  </r>
  <r>
    <x v="19"/>
    <n v="2026"/>
    <x v="0"/>
    <x v="0"/>
    <s v="Preservativo Masculino"/>
    <s v="Performance"/>
    <x v="19"/>
    <n v="2583"/>
  </r>
  <r>
    <x v="19"/>
    <n v="2026"/>
    <x v="1"/>
    <x v="0"/>
    <s v="Preservativo Masculino"/>
    <s v="Performance"/>
    <x v="19"/>
    <n v="2555"/>
  </r>
  <r>
    <x v="19"/>
    <n v="2026"/>
    <x v="2"/>
    <x v="0"/>
    <s v="Preservativo Masculino"/>
    <s v="Performance"/>
    <x v="19"/>
    <n v="2480"/>
  </r>
  <r>
    <x v="19"/>
    <n v="2026"/>
    <x v="3"/>
    <x v="0"/>
    <s v="Preservativo Masculino"/>
    <s v="Performance"/>
    <x v="19"/>
    <n v="1544"/>
  </r>
  <r>
    <x v="19"/>
    <n v="2026"/>
    <x v="4"/>
    <x v="0"/>
    <s v="Preservativo Masculino"/>
    <s v="Performance"/>
    <x v="19"/>
    <n v="2193"/>
  </r>
  <r>
    <x v="19"/>
    <n v="2026"/>
    <x v="5"/>
    <x v="0"/>
    <s v="Preservativo Masculino"/>
    <s v="Performance"/>
    <x v="19"/>
    <n v="0"/>
  </r>
  <r>
    <x v="19"/>
    <n v="2026"/>
    <x v="6"/>
    <x v="0"/>
    <s v="Preservativo Masculino"/>
    <s v="Performance"/>
    <x v="19"/>
    <n v="0"/>
  </r>
  <r>
    <x v="19"/>
    <n v="2026"/>
    <x v="7"/>
    <x v="0"/>
    <s v="Preservativo Masculino"/>
    <s v="Performance"/>
    <x v="19"/>
    <n v="0"/>
  </r>
  <r>
    <x v="19"/>
    <n v="2026"/>
    <x v="8"/>
    <x v="0"/>
    <s v="Preservativo Masculino"/>
    <s v="Performance"/>
    <x v="19"/>
    <n v="0"/>
  </r>
  <r>
    <x v="19"/>
    <n v="2026"/>
    <x v="9"/>
    <x v="0"/>
    <s v="Preservativo Masculino"/>
    <s v="Performance"/>
    <x v="19"/>
    <n v="0"/>
  </r>
  <r>
    <x v="19"/>
    <n v="2026"/>
    <x v="10"/>
    <x v="0"/>
    <s v="Preservativo Masculino"/>
    <s v="Performance"/>
    <x v="19"/>
    <n v="0"/>
  </r>
  <r>
    <x v="19"/>
    <n v="2026"/>
    <x v="11"/>
    <x v="0"/>
    <s v="Preservativo Masculino"/>
    <s v="Performance"/>
    <x v="19"/>
    <n v="0"/>
  </r>
  <r>
    <x v="20"/>
    <n v="2026"/>
    <x v="0"/>
    <x v="0"/>
    <s v="Preservativo Masculino"/>
    <s v="Performance"/>
    <x v="20"/>
    <n v="2853"/>
  </r>
  <r>
    <x v="20"/>
    <n v="2026"/>
    <x v="1"/>
    <x v="0"/>
    <s v="Preservativo Masculino"/>
    <s v="Performance"/>
    <x v="20"/>
    <n v="2900"/>
  </r>
  <r>
    <x v="20"/>
    <n v="2026"/>
    <x v="2"/>
    <x v="0"/>
    <s v="Preservativo Masculino"/>
    <s v="Performance"/>
    <x v="20"/>
    <n v="3296"/>
  </r>
  <r>
    <x v="20"/>
    <n v="2026"/>
    <x v="3"/>
    <x v="0"/>
    <s v="Preservativo Masculino"/>
    <s v="Performance"/>
    <x v="20"/>
    <n v="2407"/>
  </r>
  <r>
    <x v="20"/>
    <n v="2026"/>
    <x v="4"/>
    <x v="0"/>
    <s v="Preservativo Masculino"/>
    <s v="Performance"/>
    <x v="20"/>
    <n v="2868"/>
  </r>
  <r>
    <x v="20"/>
    <n v="2026"/>
    <x v="5"/>
    <x v="0"/>
    <s v="Preservativo Masculino"/>
    <s v="Performance"/>
    <x v="20"/>
    <n v="0"/>
  </r>
  <r>
    <x v="20"/>
    <n v="2026"/>
    <x v="6"/>
    <x v="0"/>
    <s v="Preservativo Masculino"/>
    <s v="Performance"/>
    <x v="20"/>
    <n v="0"/>
  </r>
  <r>
    <x v="20"/>
    <n v="2026"/>
    <x v="7"/>
    <x v="0"/>
    <s v="Preservativo Masculino"/>
    <s v="Performance"/>
    <x v="20"/>
    <n v="0"/>
  </r>
  <r>
    <x v="20"/>
    <n v="2026"/>
    <x v="8"/>
    <x v="0"/>
    <s v="Preservativo Masculino"/>
    <s v="Performance"/>
    <x v="20"/>
    <n v="0"/>
  </r>
  <r>
    <x v="20"/>
    <n v="2026"/>
    <x v="9"/>
    <x v="0"/>
    <s v="Preservativo Masculino"/>
    <s v="Performance"/>
    <x v="20"/>
    <n v="0"/>
  </r>
  <r>
    <x v="20"/>
    <n v="2026"/>
    <x v="10"/>
    <x v="0"/>
    <s v="Preservativo Masculino"/>
    <s v="Performance"/>
    <x v="20"/>
    <n v="0"/>
  </r>
  <r>
    <x v="20"/>
    <n v="2026"/>
    <x v="11"/>
    <x v="0"/>
    <s v="Preservativo Masculino"/>
    <s v="Performance"/>
    <x v="20"/>
    <n v="0"/>
  </r>
  <r>
    <x v="21"/>
    <n v="2026"/>
    <x v="0"/>
    <x v="0"/>
    <s v="Preservativo Masculino"/>
    <s v="Performance"/>
    <x v="21"/>
    <n v="371"/>
  </r>
  <r>
    <x v="21"/>
    <n v="2026"/>
    <x v="1"/>
    <x v="0"/>
    <s v="Preservativo Masculino"/>
    <s v="Performance"/>
    <x v="21"/>
    <n v="373"/>
  </r>
  <r>
    <x v="21"/>
    <n v="2026"/>
    <x v="2"/>
    <x v="0"/>
    <s v="Preservativo Masculino"/>
    <s v="Performance"/>
    <x v="21"/>
    <n v="368"/>
  </r>
  <r>
    <x v="21"/>
    <n v="2026"/>
    <x v="3"/>
    <x v="0"/>
    <s v="Preservativo Masculino"/>
    <s v="Performance"/>
    <x v="21"/>
    <n v="353"/>
  </r>
  <r>
    <x v="21"/>
    <n v="2026"/>
    <x v="4"/>
    <x v="0"/>
    <s v="Preservativo Masculino"/>
    <s v="Performance"/>
    <x v="21"/>
    <n v="365"/>
  </r>
  <r>
    <x v="21"/>
    <n v="2026"/>
    <x v="5"/>
    <x v="0"/>
    <s v="Preservativo Masculino"/>
    <s v="Performance"/>
    <x v="21"/>
    <n v="0"/>
  </r>
  <r>
    <x v="21"/>
    <n v="2026"/>
    <x v="6"/>
    <x v="0"/>
    <s v="Preservativo Masculino"/>
    <s v="Performance"/>
    <x v="21"/>
    <n v="0"/>
  </r>
  <r>
    <x v="21"/>
    <n v="2026"/>
    <x v="7"/>
    <x v="0"/>
    <s v="Preservativo Masculino"/>
    <s v="Performance"/>
    <x v="21"/>
    <n v="0"/>
  </r>
  <r>
    <x v="21"/>
    <n v="2026"/>
    <x v="8"/>
    <x v="0"/>
    <s v="Preservativo Masculino"/>
    <s v="Performance"/>
    <x v="21"/>
    <n v="0"/>
  </r>
  <r>
    <x v="21"/>
    <n v="2026"/>
    <x v="9"/>
    <x v="0"/>
    <s v="Preservativo Masculino"/>
    <s v="Performance"/>
    <x v="21"/>
    <n v="0"/>
  </r>
  <r>
    <x v="21"/>
    <n v="2026"/>
    <x v="10"/>
    <x v="0"/>
    <s v="Preservativo Masculino"/>
    <s v="Performance"/>
    <x v="21"/>
    <n v="0"/>
  </r>
  <r>
    <x v="21"/>
    <n v="2026"/>
    <x v="11"/>
    <x v="0"/>
    <s v="Preservativo Masculino"/>
    <s v="Performance"/>
    <x v="21"/>
    <n v="0"/>
  </r>
  <r>
    <x v="22"/>
    <n v="2026"/>
    <x v="0"/>
    <x v="0"/>
    <s v="Preservativo Masculino"/>
    <s v="Cores e Sabores"/>
    <x v="22"/>
    <n v="423"/>
  </r>
  <r>
    <x v="22"/>
    <n v="2026"/>
    <x v="1"/>
    <x v="0"/>
    <s v="Preservativo Masculino"/>
    <s v="Cores e Sabores"/>
    <x v="22"/>
    <n v="536"/>
  </r>
  <r>
    <x v="22"/>
    <n v="2026"/>
    <x v="2"/>
    <x v="0"/>
    <s v="Preservativo Masculino"/>
    <s v="Cores e Sabores"/>
    <x v="22"/>
    <n v="413"/>
  </r>
  <r>
    <x v="22"/>
    <n v="2026"/>
    <x v="3"/>
    <x v="0"/>
    <s v="Preservativo Masculino"/>
    <s v="Cores e Sabores"/>
    <x v="22"/>
    <n v="25"/>
  </r>
  <r>
    <x v="22"/>
    <n v="2026"/>
    <x v="4"/>
    <x v="0"/>
    <s v="Preservativo Masculino"/>
    <s v="Cores e Sabores"/>
    <x v="22"/>
    <n v="325"/>
  </r>
  <r>
    <x v="22"/>
    <n v="2026"/>
    <x v="5"/>
    <x v="0"/>
    <s v="Preservativo Masculino"/>
    <s v="Cores e Sabores"/>
    <x v="22"/>
    <n v="0"/>
  </r>
  <r>
    <x v="22"/>
    <n v="2026"/>
    <x v="6"/>
    <x v="0"/>
    <s v="Preservativo Masculino"/>
    <s v="Cores e Sabores"/>
    <x v="22"/>
    <n v="0"/>
  </r>
  <r>
    <x v="22"/>
    <n v="2026"/>
    <x v="7"/>
    <x v="0"/>
    <s v="Preservativo Masculino"/>
    <s v="Cores e Sabores"/>
    <x v="22"/>
    <n v="0"/>
  </r>
  <r>
    <x v="22"/>
    <n v="2026"/>
    <x v="8"/>
    <x v="0"/>
    <s v="Preservativo Masculino"/>
    <s v="Cores e Sabores"/>
    <x v="22"/>
    <n v="0"/>
  </r>
  <r>
    <x v="22"/>
    <n v="2026"/>
    <x v="9"/>
    <x v="0"/>
    <s v="Preservativo Masculino"/>
    <s v="Cores e Sabores"/>
    <x v="22"/>
    <n v="0"/>
  </r>
  <r>
    <x v="22"/>
    <n v="2026"/>
    <x v="10"/>
    <x v="0"/>
    <s v="Preservativo Masculino"/>
    <s v="Cores e Sabores"/>
    <x v="22"/>
    <n v="0"/>
  </r>
  <r>
    <x v="22"/>
    <n v="2026"/>
    <x v="11"/>
    <x v="0"/>
    <s v="Preservativo Masculino"/>
    <s v="Cores e Sabores"/>
    <x v="22"/>
    <n v="0"/>
  </r>
  <r>
    <x v="23"/>
    <n v="2026"/>
    <x v="0"/>
    <x v="0"/>
    <s v="Preservativo Masculino"/>
    <s v="Performance"/>
    <x v="23"/>
    <n v="196"/>
  </r>
  <r>
    <x v="23"/>
    <n v="2026"/>
    <x v="1"/>
    <x v="0"/>
    <s v="Preservativo Masculino"/>
    <s v="Performance"/>
    <x v="23"/>
    <n v="287"/>
  </r>
  <r>
    <x v="23"/>
    <n v="2026"/>
    <x v="2"/>
    <x v="0"/>
    <s v="Preservativo Masculino"/>
    <s v="Performance"/>
    <x v="23"/>
    <n v="185"/>
  </r>
  <r>
    <x v="23"/>
    <n v="2026"/>
    <x v="3"/>
    <x v="0"/>
    <s v="Preservativo Masculino"/>
    <s v="Performance"/>
    <x v="23"/>
    <n v="305"/>
  </r>
  <r>
    <x v="23"/>
    <n v="2026"/>
    <x v="4"/>
    <x v="0"/>
    <s v="Preservativo Masculino"/>
    <s v="Performance"/>
    <x v="23"/>
    <n v="259"/>
  </r>
  <r>
    <x v="23"/>
    <n v="2026"/>
    <x v="5"/>
    <x v="0"/>
    <s v="Preservativo Masculino"/>
    <s v="Performance"/>
    <x v="23"/>
    <n v="0"/>
  </r>
  <r>
    <x v="23"/>
    <n v="2026"/>
    <x v="6"/>
    <x v="0"/>
    <s v="Preservativo Masculino"/>
    <s v="Performance"/>
    <x v="23"/>
    <n v="0"/>
  </r>
  <r>
    <x v="23"/>
    <n v="2026"/>
    <x v="7"/>
    <x v="0"/>
    <s v="Preservativo Masculino"/>
    <s v="Performance"/>
    <x v="23"/>
    <n v="0"/>
  </r>
  <r>
    <x v="23"/>
    <n v="2026"/>
    <x v="8"/>
    <x v="0"/>
    <s v="Preservativo Masculino"/>
    <s v="Performance"/>
    <x v="23"/>
    <n v="0"/>
  </r>
  <r>
    <x v="23"/>
    <n v="2026"/>
    <x v="9"/>
    <x v="0"/>
    <s v="Preservativo Masculino"/>
    <s v="Performance"/>
    <x v="23"/>
    <n v="0"/>
  </r>
  <r>
    <x v="23"/>
    <n v="2026"/>
    <x v="10"/>
    <x v="0"/>
    <s v="Preservativo Masculino"/>
    <s v="Performance"/>
    <x v="23"/>
    <n v="0"/>
  </r>
  <r>
    <x v="23"/>
    <n v="2026"/>
    <x v="11"/>
    <x v="0"/>
    <s v="Preservativo Masculino"/>
    <s v="Performance"/>
    <x v="23"/>
    <n v="0"/>
  </r>
  <r>
    <x v="24"/>
    <n v="2026"/>
    <x v="0"/>
    <x v="0"/>
    <s v="Preservativo Masculino"/>
    <s v="Performance"/>
    <x v="24"/>
    <n v="446"/>
  </r>
  <r>
    <x v="24"/>
    <n v="2026"/>
    <x v="1"/>
    <x v="0"/>
    <s v="Preservativo Masculino"/>
    <s v="Performance"/>
    <x v="24"/>
    <n v="447"/>
  </r>
  <r>
    <x v="24"/>
    <n v="2026"/>
    <x v="2"/>
    <x v="0"/>
    <s v="Preservativo Masculino"/>
    <s v="Performance"/>
    <x v="24"/>
    <n v="433"/>
  </r>
  <r>
    <x v="24"/>
    <n v="2026"/>
    <x v="3"/>
    <x v="0"/>
    <s v="Preservativo Masculino"/>
    <s v="Performance"/>
    <x v="24"/>
    <n v="378"/>
  </r>
  <r>
    <x v="24"/>
    <n v="2026"/>
    <x v="4"/>
    <x v="0"/>
    <s v="Preservativo Masculino"/>
    <s v="Performance"/>
    <x v="24"/>
    <n v="419"/>
  </r>
  <r>
    <x v="24"/>
    <n v="2026"/>
    <x v="5"/>
    <x v="0"/>
    <s v="Preservativo Masculino"/>
    <s v="Performance"/>
    <x v="24"/>
    <n v="0"/>
  </r>
  <r>
    <x v="24"/>
    <n v="2026"/>
    <x v="6"/>
    <x v="0"/>
    <s v="Preservativo Masculino"/>
    <s v="Performance"/>
    <x v="24"/>
    <n v="0"/>
  </r>
  <r>
    <x v="24"/>
    <n v="2026"/>
    <x v="7"/>
    <x v="0"/>
    <s v="Preservativo Masculino"/>
    <s v="Performance"/>
    <x v="24"/>
    <n v="0"/>
  </r>
  <r>
    <x v="24"/>
    <n v="2026"/>
    <x v="8"/>
    <x v="0"/>
    <s v="Preservativo Masculino"/>
    <s v="Performance"/>
    <x v="24"/>
    <n v="0"/>
  </r>
  <r>
    <x v="24"/>
    <n v="2026"/>
    <x v="9"/>
    <x v="0"/>
    <s v="Preservativo Masculino"/>
    <s v="Performance"/>
    <x v="24"/>
    <n v="0"/>
  </r>
  <r>
    <x v="24"/>
    <n v="2026"/>
    <x v="10"/>
    <x v="0"/>
    <s v="Preservativo Masculino"/>
    <s v="Performance"/>
    <x v="24"/>
    <n v="0"/>
  </r>
  <r>
    <x v="24"/>
    <n v="2026"/>
    <x v="11"/>
    <x v="0"/>
    <s v="Preservativo Masculino"/>
    <s v="Performance"/>
    <x v="24"/>
    <n v="0"/>
  </r>
  <r>
    <x v="25"/>
    <n v="2026"/>
    <x v="0"/>
    <x v="0"/>
    <s v="Preservativo Masculino"/>
    <s v="Performance"/>
    <x v="25"/>
    <n v="192"/>
  </r>
  <r>
    <x v="25"/>
    <n v="2026"/>
    <x v="1"/>
    <x v="0"/>
    <s v="Preservativo Masculino"/>
    <s v="Performance"/>
    <x v="25"/>
    <n v="193"/>
  </r>
  <r>
    <x v="25"/>
    <n v="2026"/>
    <x v="2"/>
    <x v="0"/>
    <s v="Preservativo Masculino"/>
    <s v="Performance"/>
    <x v="25"/>
    <n v="181"/>
  </r>
  <r>
    <x v="25"/>
    <n v="2026"/>
    <x v="3"/>
    <x v="0"/>
    <s v="Preservativo Masculino"/>
    <s v="Performance"/>
    <x v="25"/>
    <n v="95"/>
  </r>
  <r>
    <x v="25"/>
    <n v="2026"/>
    <x v="4"/>
    <x v="0"/>
    <s v="Preservativo Masculino"/>
    <s v="Performance"/>
    <x v="25"/>
    <n v="156"/>
  </r>
  <r>
    <x v="25"/>
    <n v="2026"/>
    <x v="5"/>
    <x v="0"/>
    <s v="Preservativo Masculino"/>
    <s v="Performance"/>
    <x v="25"/>
    <n v="0"/>
  </r>
  <r>
    <x v="25"/>
    <n v="2026"/>
    <x v="6"/>
    <x v="0"/>
    <s v="Preservativo Masculino"/>
    <s v="Performance"/>
    <x v="25"/>
    <n v="0"/>
  </r>
  <r>
    <x v="25"/>
    <n v="2026"/>
    <x v="7"/>
    <x v="0"/>
    <s v="Preservativo Masculino"/>
    <s v="Performance"/>
    <x v="25"/>
    <n v="0"/>
  </r>
  <r>
    <x v="25"/>
    <n v="2026"/>
    <x v="8"/>
    <x v="0"/>
    <s v="Preservativo Masculino"/>
    <s v="Performance"/>
    <x v="25"/>
    <n v="0"/>
  </r>
  <r>
    <x v="25"/>
    <n v="2026"/>
    <x v="9"/>
    <x v="0"/>
    <s v="Preservativo Masculino"/>
    <s v="Performance"/>
    <x v="25"/>
    <n v="0"/>
  </r>
  <r>
    <x v="25"/>
    <n v="2026"/>
    <x v="10"/>
    <x v="0"/>
    <s v="Preservativo Masculino"/>
    <s v="Performance"/>
    <x v="25"/>
    <n v="0"/>
  </r>
  <r>
    <x v="25"/>
    <n v="2026"/>
    <x v="11"/>
    <x v="0"/>
    <s v="Preservativo Masculino"/>
    <s v="Performance"/>
    <x v="25"/>
    <n v="0"/>
  </r>
  <r>
    <x v="26"/>
    <n v="2026"/>
    <x v="0"/>
    <x v="0"/>
    <s v="Preservativo Masculino"/>
    <s v="Low Price "/>
    <x v="26"/>
    <n v="2300"/>
  </r>
  <r>
    <x v="26"/>
    <n v="2026"/>
    <x v="1"/>
    <x v="0"/>
    <s v="Preservativo Masculino"/>
    <s v="Low Price "/>
    <x v="26"/>
    <n v="2300"/>
  </r>
  <r>
    <x v="26"/>
    <n v="2026"/>
    <x v="2"/>
    <x v="0"/>
    <s v="Preservativo Masculino"/>
    <s v="Low Price "/>
    <x v="26"/>
    <n v="2300"/>
  </r>
  <r>
    <x v="26"/>
    <n v="2026"/>
    <x v="3"/>
    <x v="0"/>
    <s v="Preservativo Masculino"/>
    <s v="Low Price "/>
    <x v="26"/>
    <n v="2300"/>
  </r>
  <r>
    <x v="26"/>
    <n v="2026"/>
    <x v="4"/>
    <x v="0"/>
    <s v="Preservativo Masculino"/>
    <s v="Low Price "/>
    <x v="26"/>
    <n v="2300"/>
  </r>
  <r>
    <x v="26"/>
    <n v="2026"/>
    <x v="5"/>
    <x v="0"/>
    <s v="Preservativo Masculino"/>
    <s v="Low Price "/>
    <x v="26"/>
    <n v="0"/>
  </r>
  <r>
    <x v="26"/>
    <n v="2026"/>
    <x v="6"/>
    <x v="0"/>
    <s v="Preservativo Masculino"/>
    <s v="Low Price "/>
    <x v="26"/>
    <n v="0"/>
  </r>
  <r>
    <x v="26"/>
    <n v="2026"/>
    <x v="7"/>
    <x v="0"/>
    <s v="Preservativo Masculino"/>
    <s v="Low Price "/>
    <x v="26"/>
    <n v="0"/>
  </r>
  <r>
    <x v="26"/>
    <n v="2026"/>
    <x v="8"/>
    <x v="0"/>
    <s v="Preservativo Masculino"/>
    <s v="Low Price "/>
    <x v="26"/>
    <n v="0"/>
  </r>
  <r>
    <x v="26"/>
    <n v="2026"/>
    <x v="9"/>
    <x v="0"/>
    <s v="Preservativo Masculino"/>
    <s v="Low Price "/>
    <x v="26"/>
    <n v="0"/>
  </r>
  <r>
    <x v="26"/>
    <n v="2026"/>
    <x v="10"/>
    <x v="0"/>
    <s v="Preservativo Masculino"/>
    <s v="Low Price "/>
    <x v="26"/>
    <n v="0"/>
  </r>
  <r>
    <x v="26"/>
    <n v="2026"/>
    <x v="11"/>
    <x v="0"/>
    <s v="Preservativo Masculino"/>
    <s v="Low Price "/>
    <x v="26"/>
    <n v="0"/>
  </r>
  <r>
    <x v="27"/>
    <n v="2026"/>
    <x v="0"/>
    <x v="0"/>
    <s v="Preservativo Masculino"/>
    <s v="Low Price "/>
    <x v="27"/>
    <n v="1000"/>
  </r>
  <r>
    <x v="27"/>
    <n v="2026"/>
    <x v="1"/>
    <x v="0"/>
    <s v="Preservativo Masculino"/>
    <s v="Low Price "/>
    <x v="27"/>
    <n v="1000"/>
  </r>
  <r>
    <x v="27"/>
    <n v="2026"/>
    <x v="2"/>
    <x v="0"/>
    <s v="Preservativo Masculino"/>
    <s v="Low Price "/>
    <x v="27"/>
    <n v="1000"/>
  </r>
  <r>
    <x v="27"/>
    <n v="2026"/>
    <x v="3"/>
    <x v="0"/>
    <s v="Preservativo Masculino"/>
    <s v="Low Price "/>
    <x v="27"/>
    <n v="1000"/>
  </r>
  <r>
    <x v="27"/>
    <n v="2026"/>
    <x v="4"/>
    <x v="0"/>
    <s v="Preservativo Masculino"/>
    <s v="Low Price "/>
    <x v="27"/>
    <n v="1000"/>
  </r>
  <r>
    <x v="27"/>
    <n v="2026"/>
    <x v="5"/>
    <x v="0"/>
    <s v="Preservativo Masculino"/>
    <s v="Low Price "/>
    <x v="27"/>
    <n v="0"/>
  </r>
  <r>
    <x v="27"/>
    <n v="2026"/>
    <x v="6"/>
    <x v="0"/>
    <s v="Preservativo Masculino"/>
    <s v="Low Price "/>
    <x v="27"/>
    <n v="0"/>
  </r>
  <r>
    <x v="27"/>
    <n v="2026"/>
    <x v="7"/>
    <x v="0"/>
    <s v="Preservativo Masculino"/>
    <s v="Low Price "/>
    <x v="27"/>
    <n v="0"/>
  </r>
  <r>
    <x v="27"/>
    <n v="2026"/>
    <x v="8"/>
    <x v="0"/>
    <s v="Preservativo Masculino"/>
    <s v="Low Price "/>
    <x v="27"/>
    <n v="0"/>
  </r>
  <r>
    <x v="27"/>
    <n v="2026"/>
    <x v="9"/>
    <x v="0"/>
    <s v="Preservativo Masculino"/>
    <s v="Low Price "/>
    <x v="27"/>
    <n v="0"/>
  </r>
  <r>
    <x v="27"/>
    <n v="2026"/>
    <x v="10"/>
    <x v="0"/>
    <s v="Preservativo Masculino"/>
    <s v="Low Price "/>
    <x v="27"/>
    <n v="0"/>
  </r>
  <r>
    <x v="27"/>
    <n v="2026"/>
    <x v="11"/>
    <x v="0"/>
    <s v="Preservativo Masculino"/>
    <s v="Low Price "/>
    <x v="27"/>
    <n v="0"/>
  </r>
  <r>
    <x v="28"/>
    <n v="2026"/>
    <x v="0"/>
    <x v="0"/>
    <s v="Preservativo Masculino"/>
    <s v="Low Price "/>
    <x v="28"/>
    <n v="3000"/>
  </r>
  <r>
    <x v="28"/>
    <n v="2026"/>
    <x v="1"/>
    <x v="0"/>
    <s v="Preservativo Masculino"/>
    <s v="Low Price "/>
    <x v="28"/>
    <n v="3000"/>
  </r>
  <r>
    <x v="28"/>
    <n v="2026"/>
    <x v="2"/>
    <x v="0"/>
    <s v="Preservativo Masculino"/>
    <s v="Low Price "/>
    <x v="28"/>
    <n v="3000"/>
  </r>
  <r>
    <x v="28"/>
    <n v="2026"/>
    <x v="3"/>
    <x v="0"/>
    <s v="Preservativo Masculino"/>
    <s v="Low Price "/>
    <x v="28"/>
    <n v="3000"/>
  </r>
  <r>
    <x v="28"/>
    <n v="2026"/>
    <x v="4"/>
    <x v="0"/>
    <s v="Preservativo Masculino"/>
    <s v="Low Price "/>
    <x v="28"/>
    <n v="3000"/>
  </r>
  <r>
    <x v="28"/>
    <n v="2026"/>
    <x v="5"/>
    <x v="0"/>
    <s v="Preservativo Masculino"/>
    <s v="Low Price "/>
    <x v="28"/>
    <n v="0"/>
  </r>
  <r>
    <x v="28"/>
    <n v="2026"/>
    <x v="6"/>
    <x v="0"/>
    <s v="Preservativo Masculino"/>
    <s v="Low Price "/>
    <x v="28"/>
    <n v="0"/>
  </r>
  <r>
    <x v="28"/>
    <n v="2026"/>
    <x v="7"/>
    <x v="0"/>
    <s v="Preservativo Masculino"/>
    <s v="Low Price "/>
    <x v="28"/>
    <n v="0"/>
  </r>
  <r>
    <x v="28"/>
    <n v="2026"/>
    <x v="8"/>
    <x v="0"/>
    <s v="Preservativo Masculino"/>
    <s v="Low Price "/>
    <x v="28"/>
    <n v="0"/>
  </r>
  <r>
    <x v="28"/>
    <n v="2026"/>
    <x v="9"/>
    <x v="0"/>
    <s v="Preservativo Masculino"/>
    <s v="Low Price "/>
    <x v="28"/>
    <n v="0"/>
  </r>
  <r>
    <x v="28"/>
    <n v="2026"/>
    <x v="10"/>
    <x v="0"/>
    <s v="Preservativo Masculino"/>
    <s v="Low Price "/>
    <x v="28"/>
    <n v="0"/>
  </r>
  <r>
    <x v="28"/>
    <n v="2026"/>
    <x v="11"/>
    <x v="0"/>
    <s v="Preservativo Masculino"/>
    <s v="Low Price "/>
    <x v="28"/>
    <n v="0"/>
  </r>
  <r>
    <x v="29"/>
    <n v="2026"/>
    <x v="0"/>
    <x v="0"/>
    <s v="Preservativo Masculino"/>
    <s v="Low Price "/>
    <x v="29"/>
    <n v="1500"/>
  </r>
  <r>
    <x v="29"/>
    <n v="2026"/>
    <x v="1"/>
    <x v="0"/>
    <s v="Preservativo Masculino"/>
    <s v="Low Price "/>
    <x v="29"/>
    <n v="1500"/>
  </r>
  <r>
    <x v="29"/>
    <n v="2026"/>
    <x v="2"/>
    <x v="0"/>
    <s v="Preservativo Masculino"/>
    <s v="Low Price "/>
    <x v="29"/>
    <n v="1500"/>
  </r>
  <r>
    <x v="29"/>
    <n v="2026"/>
    <x v="3"/>
    <x v="0"/>
    <s v="Preservativo Masculino"/>
    <s v="Low Price "/>
    <x v="29"/>
    <n v="1500"/>
  </r>
  <r>
    <x v="29"/>
    <n v="2026"/>
    <x v="4"/>
    <x v="0"/>
    <s v="Preservativo Masculino"/>
    <s v="Low Price "/>
    <x v="29"/>
    <n v="1500"/>
  </r>
  <r>
    <x v="29"/>
    <n v="2026"/>
    <x v="5"/>
    <x v="0"/>
    <s v="Preservativo Masculino"/>
    <s v="Low Price "/>
    <x v="29"/>
    <n v="0"/>
  </r>
  <r>
    <x v="29"/>
    <n v="2026"/>
    <x v="6"/>
    <x v="0"/>
    <s v="Preservativo Masculino"/>
    <s v="Low Price "/>
    <x v="29"/>
    <n v="0"/>
  </r>
  <r>
    <x v="29"/>
    <n v="2026"/>
    <x v="7"/>
    <x v="0"/>
    <s v="Preservativo Masculino"/>
    <s v="Low Price "/>
    <x v="29"/>
    <n v="0"/>
  </r>
  <r>
    <x v="29"/>
    <n v="2026"/>
    <x v="8"/>
    <x v="0"/>
    <s v="Preservativo Masculino"/>
    <s v="Low Price "/>
    <x v="29"/>
    <n v="0"/>
  </r>
  <r>
    <x v="29"/>
    <n v="2026"/>
    <x v="9"/>
    <x v="0"/>
    <s v="Preservativo Masculino"/>
    <s v="Low Price "/>
    <x v="29"/>
    <n v="0"/>
  </r>
  <r>
    <x v="29"/>
    <n v="2026"/>
    <x v="10"/>
    <x v="0"/>
    <s v="Preservativo Masculino"/>
    <s v="Low Price "/>
    <x v="29"/>
    <n v="0"/>
  </r>
  <r>
    <x v="29"/>
    <n v="2026"/>
    <x v="11"/>
    <x v="0"/>
    <s v="Preservativo Masculino"/>
    <s v="Low Price "/>
    <x v="29"/>
    <n v="0"/>
  </r>
  <r>
    <x v="30"/>
    <n v="2026"/>
    <x v="0"/>
    <x v="0"/>
    <s v="Preservativo Masculino"/>
    <s v="Básico"/>
    <x v="30"/>
    <n v="5000"/>
  </r>
  <r>
    <x v="30"/>
    <n v="2026"/>
    <x v="1"/>
    <x v="0"/>
    <s v="Preservativo Masculino"/>
    <s v="Básico"/>
    <x v="30"/>
    <n v="5000"/>
  </r>
  <r>
    <x v="30"/>
    <n v="2026"/>
    <x v="2"/>
    <x v="0"/>
    <s v="Preservativo Masculino"/>
    <s v="Básico"/>
    <x v="30"/>
    <n v="5000"/>
  </r>
  <r>
    <x v="30"/>
    <n v="2026"/>
    <x v="3"/>
    <x v="0"/>
    <s v="Preservativo Masculino"/>
    <s v="Básico"/>
    <x v="30"/>
    <n v="5000"/>
  </r>
  <r>
    <x v="30"/>
    <n v="2026"/>
    <x v="4"/>
    <x v="0"/>
    <s v="Preservativo Masculino"/>
    <s v="Básico"/>
    <x v="30"/>
    <n v="5000"/>
  </r>
  <r>
    <x v="30"/>
    <n v="2026"/>
    <x v="5"/>
    <x v="0"/>
    <s v="Preservativo Masculino"/>
    <s v="Básico"/>
    <x v="30"/>
    <n v="0"/>
  </r>
  <r>
    <x v="30"/>
    <n v="2026"/>
    <x v="6"/>
    <x v="0"/>
    <s v="Preservativo Masculino"/>
    <s v="Básico"/>
    <x v="30"/>
    <n v="0"/>
  </r>
  <r>
    <x v="30"/>
    <n v="2026"/>
    <x v="7"/>
    <x v="0"/>
    <s v="Preservativo Masculino"/>
    <s v="Básico"/>
    <x v="30"/>
    <n v="0"/>
  </r>
  <r>
    <x v="30"/>
    <n v="2026"/>
    <x v="8"/>
    <x v="0"/>
    <s v="Preservativo Masculino"/>
    <s v="Básico"/>
    <x v="30"/>
    <n v="0"/>
  </r>
  <r>
    <x v="30"/>
    <n v="2026"/>
    <x v="9"/>
    <x v="0"/>
    <s v="Preservativo Masculino"/>
    <s v="Básico"/>
    <x v="30"/>
    <n v="0"/>
  </r>
  <r>
    <x v="30"/>
    <n v="2026"/>
    <x v="10"/>
    <x v="0"/>
    <s v="Preservativo Masculino"/>
    <s v="Básico"/>
    <x v="30"/>
    <n v="0"/>
  </r>
  <r>
    <x v="30"/>
    <n v="2026"/>
    <x v="11"/>
    <x v="0"/>
    <s v="Preservativo Masculino"/>
    <s v="Básico"/>
    <x v="30"/>
    <n v="0"/>
  </r>
  <r>
    <x v="31"/>
    <n v="2026"/>
    <x v="0"/>
    <x v="0"/>
    <s v="Preservativo Masculino"/>
    <s v="Básico"/>
    <x v="31"/>
    <n v="6000"/>
  </r>
  <r>
    <x v="31"/>
    <n v="2026"/>
    <x v="1"/>
    <x v="0"/>
    <s v="Preservativo Masculino"/>
    <s v="Básico"/>
    <x v="31"/>
    <n v="6000"/>
  </r>
  <r>
    <x v="31"/>
    <n v="2026"/>
    <x v="2"/>
    <x v="0"/>
    <s v="Preservativo Masculino"/>
    <s v="Básico"/>
    <x v="31"/>
    <n v="6000"/>
  </r>
  <r>
    <x v="31"/>
    <n v="2026"/>
    <x v="3"/>
    <x v="0"/>
    <s v="Preservativo Masculino"/>
    <s v="Básico"/>
    <x v="31"/>
    <n v="6000"/>
  </r>
  <r>
    <x v="31"/>
    <n v="2026"/>
    <x v="4"/>
    <x v="0"/>
    <s v="Preservativo Masculino"/>
    <s v="Básico"/>
    <x v="31"/>
    <n v="6000"/>
  </r>
  <r>
    <x v="31"/>
    <n v="2026"/>
    <x v="5"/>
    <x v="0"/>
    <s v="Preservativo Masculino"/>
    <s v="Básico"/>
    <x v="31"/>
    <n v="0"/>
  </r>
  <r>
    <x v="31"/>
    <n v="2026"/>
    <x v="6"/>
    <x v="0"/>
    <s v="Preservativo Masculino"/>
    <s v="Básico"/>
    <x v="31"/>
    <n v="0"/>
  </r>
  <r>
    <x v="31"/>
    <n v="2026"/>
    <x v="7"/>
    <x v="0"/>
    <s v="Preservativo Masculino"/>
    <s v="Básico"/>
    <x v="31"/>
    <n v="0"/>
  </r>
  <r>
    <x v="31"/>
    <n v="2026"/>
    <x v="8"/>
    <x v="0"/>
    <s v="Preservativo Masculino"/>
    <s v="Básico"/>
    <x v="31"/>
    <n v="0"/>
  </r>
  <r>
    <x v="31"/>
    <n v="2026"/>
    <x v="9"/>
    <x v="0"/>
    <s v="Preservativo Masculino"/>
    <s v="Básico"/>
    <x v="31"/>
    <n v="0"/>
  </r>
  <r>
    <x v="31"/>
    <n v="2026"/>
    <x v="10"/>
    <x v="0"/>
    <s v="Preservativo Masculino"/>
    <s v="Básico"/>
    <x v="31"/>
    <n v="0"/>
  </r>
  <r>
    <x v="31"/>
    <n v="2026"/>
    <x v="11"/>
    <x v="0"/>
    <s v="Preservativo Masculino"/>
    <s v="Básico"/>
    <x v="31"/>
    <n v="0"/>
  </r>
  <r>
    <x v="32"/>
    <n v="2026"/>
    <x v="0"/>
    <x v="0"/>
    <s v="Preservativo Masculino"/>
    <s v="Básico"/>
    <x v="32"/>
    <n v="4000"/>
  </r>
  <r>
    <x v="32"/>
    <n v="2026"/>
    <x v="1"/>
    <x v="0"/>
    <s v="Preservativo Masculino"/>
    <s v="Básico"/>
    <x v="32"/>
    <n v="4000"/>
  </r>
  <r>
    <x v="32"/>
    <n v="2026"/>
    <x v="2"/>
    <x v="0"/>
    <s v="Preservativo Masculino"/>
    <s v="Básico"/>
    <x v="32"/>
    <n v="4000"/>
  </r>
  <r>
    <x v="32"/>
    <n v="2026"/>
    <x v="3"/>
    <x v="0"/>
    <s v="Preservativo Masculino"/>
    <s v="Básico"/>
    <x v="32"/>
    <n v="4000"/>
  </r>
  <r>
    <x v="32"/>
    <n v="2026"/>
    <x v="4"/>
    <x v="0"/>
    <s v="Preservativo Masculino"/>
    <s v="Básico"/>
    <x v="32"/>
    <n v="4000"/>
  </r>
  <r>
    <x v="32"/>
    <n v="2026"/>
    <x v="5"/>
    <x v="0"/>
    <s v="Preservativo Masculino"/>
    <s v="Básico"/>
    <x v="32"/>
    <n v="0"/>
  </r>
  <r>
    <x v="32"/>
    <n v="2026"/>
    <x v="6"/>
    <x v="0"/>
    <s v="Preservativo Masculino"/>
    <s v="Básico"/>
    <x v="32"/>
    <n v="0"/>
  </r>
  <r>
    <x v="32"/>
    <n v="2026"/>
    <x v="7"/>
    <x v="0"/>
    <s v="Preservativo Masculino"/>
    <s v="Básico"/>
    <x v="32"/>
    <n v="0"/>
  </r>
  <r>
    <x v="32"/>
    <n v="2026"/>
    <x v="8"/>
    <x v="0"/>
    <s v="Preservativo Masculino"/>
    <s v="Básico"/>
    <x v="32"/>
    <n v="0"/>
  </r>
  <r>
    <x v="32"/>
    <n v="2026"/>
    <x v="9"/>
    <x v="0"/>
    <s v="Preservativo Masculino"/>
    <s v="Básico"/>
    <x v="32"/>
    <n v="0"/>
  </r>
  <r>
    <x v="32"/>
    <n v="2026"/>
    <x v="10"/>
    <x v="0"/>
    <s v="Preservativo Masculino"/>
    <s v="Básico"/>
    <x v="32"/>
    <n v="0"/>
  </r>
  <r>
    <x v="32"/>
    <n v="2026"/>
    <x v="11"/>
    <x v="0"/>
    <s v="Preservativo Masculino"/>
    <s v="Básico"/>
    <x v="32"/>
    <n v="0"/>
  </r>
  <r>
    <x v="33"/>
    <n v="2026"/>
    <x v="0"/>
    <x v="0"/>
    <s v="Preservativo Masculino"/>
    <s v="Performance"/>
    <x v="33"/>
    <n v="949"/>
  </r>
  <r>
    <x v="33"/>
    <n v="2026"/>
    <x v="1"/>
    <x v="0"/>
    <s v="Preservativo Masculino"/>
    <s v="Performance"/>
    <x v="33"/>
    <n v="884"/>
  </r>
  <r>
    <x v="33"/>
    <n v="2026"/>
    <x v="2"/>
    <x v="0"/>
    <s v="Preservativo Masculino"/>
    <s v="Performance"/>
    <x v="33"/>
    <n v="856"/>
  </r>
  <r>
    <x v="33"/>
    <n v="2026"/>
    <x v="3"/>
    <x v="0"/>
    <s v="Preservativo Masculino"/>
    <s v="Performance"/>
    <x v="33"/>
    <n v="1238"/>
  </r>
  <r>
    <x v="33"/>
    <n v="2026"/>
    <x v="4"/>
    <x v="0"/>
    <s v="Preservativo Masculino"/>
    <s v="Performance"/>
    <x v="33"/>
    <n v="993"/>
  </r>
  <r>
    <x v="33"/>
    <n v="2026"/>
    <x v="5"/>
    <x v="0"/>
    <s v="Preservativo Masculino"/>
    <s v="Performance"/>
    <x v="33"/>
    <n v="0"/>
  </r>
  <r>
    <x v="33"/>
    <n v="2026"/>
    <x v="6"/>
    <x v="0"/>
    <s v="Preservativo Masculino"/>
    <s v="Performance"/>
    <x v="33"/>
    <n v="0"/>
  </r>
  <r>
    <x v="33"/>
    <n v="2026"/>
    <x v="7"/>
    <x v="0"/>
    <s v="Preservativo Masculino"/>
    <s v="Performance"/>
    <x v="33"/>
    <n v="0"/>
  </r>
  <r>
    <x v="33"/>
    <n v="2026"/>
    <x v="8"/>
    <x v="0"/>
    <s v="Preservativo Masculino"/>
    <s v="Performance"/>
    <x v="33"/>
    <n v="0"/>
  </r>
  <r>
    <x v="33"/>
    <n v="2026"/>
    <x v="9"/>
    <x v="0"/>
    <s v="Preservativo Masculino"/>
    <s v="Performance"/>
    <x v="33"/>
    <n v="0"/>
  </r>
  <r>
    <x v="33"/>
    <n v="2026"/>
    <x v="10"/>
    <x v="0"/>
    <s v="Preservativo Masculino"/>
    <s v="Performance"/>
    <x v="33"/>
    <n v="0"/>
  </r>
  <r>
    <x v="33"/>
    <n v="2026"/>
    <x v="11"/>
    <x v="0"/>
    <s v="Preservativo Masculino"/>
    <s v="Performance"/>
    <x v="33"/>
    <n v="0"/>
  </r>
  <r>
    <x v="34"/>
    <n v="2026"/>
    <x v="0"/>
    <x v="0"/>
    <s v="Preservativo Masculino"/>
    <s v="Performance"/>
    <x v="34"/>
    <n v="2112"/>
  </r>
  <r>
    <x v="34"/>
    <n v="2026"/>
    <x v="1"/>
    <x v="0"/>
    <s v="Preservativo Masculino"/>
    <s v="Performance"/>
    <x v="34"/>
    <n v="2693"/>
  </r>
  <r>
    <x v="34"/>
    <n v="2026"/>
    <x v="2"/>
    <x v="0"/>
    <s v="Preservativo Masculino"/>
    <s v="Performance"/>
    <x v="34"/>
    <n v="4500"/>
  </r>
  <r>
    <x v="34"/>
    <n v="2026"/>
    <x v="3"/>
    <x v="0"/>
    <s v="Preservativo Masculino"/>
    <s v="Performance"/>
    <x v="34"/>
    <n v="2406"/>
  </r>
  <r>
    <x v="34"/>
    <n v="2026"/>
    <x v="4"/>
    <x v="0"/>
    <s v="Preservativo Masculino"/>
    <s v="Performance"/>
    <x v="34"/>
    <n v="3200"/>
  </r>
  <r>
    <x v="34"/>
    <n v="2026"/>
    <x v="5"/>
    <x v="0"/>
    <s v="Preservativo Masculino"/>
    <s v="Performance"/>
    <x v="34"/>
    <n v="0"/>
  </r>
  <r>
    <x v="34"/>
    <n v="2026"/>
    <x v="6"/>
    <x v="0"/>
    <s v="Preservativo Masculino"/>
    <s v="Performance"/>
    <x v="34"/>
    <n v="0"/>
  </r>
  <r>
    <x v="34"/>
    <n v="2026"/>
    <x v="7"/>
    <x v="0"/>
    <s v="Preservativo Masculino"/>
    <s v="Performance"/>
    <x v="34"/>
    <n v="0"/>
  </r>
  <r>
    <x v="34"/>
    <n v="2026"/>
    <x v="8"/>
    <x v="0"/>
    <s v="Preservativo Masculino"/>
    <s v="Performance"/>
    <x v="34"/>
    <n v="0"/>
  </r>
  <r>
    <x v="34"/>
    <n v="2026"/>
    <x v="9"/>
    <x v="0"/>
    <s v="Preservativo Masculino"/>
    <s v="Performance"/>
    <x v="34"/>
    <n v="0"/>
  </r>
  <r>
    <x v="34"/>
    <n v="2026"/>
    <x v="10"/>
    <x v="0"/>
    <s v="Preservativo Masculino"/>
    <s v="Performance"/>
    <x v="34"/>
    <n v="0"/>
  </r>
  <r>
    <x v="34"/>
    <n v="2026"/>
    <x v="11"/>
    <x v="0"/>
    <s v="Preservativo Masculino"/>
    <s v="Performance"/>
    <x v="34"/>
    <n v="0"/>
  </r>
  <r>
    <x v="35"/>
    <n v="2026"/>
    <x v="0"/>
    <x v="0"/>
    <s v="Preservativo Masculino"/>
    <s v="Performance"/>
    <x v="35"/>
    <n v="1000"/>
  </r>
  <r>
    <x v="35"/>
    <n v="2026"/>
    <x v="1"/>
    <x v="0"/>
    <s v="Preservativo Masculino"/>
    <s v="Performance"/>
    <x v="35"/>
    <n v="1000"/>
  </r>
  <r>
    <x v="35"/>
    <n v="2026"/>
    <x v="2"/>
    <x v="0"/>
    <s v="Preservativo Masculino"/>
    <s v="Performance"/>
    <x v="35"/>
    <n v="1500"/>
  </r>
  <r>
    <x v="35"/>
    <n v="2026"/>
    <x v="3"/>
    <x v="0"/>
    <s v="Preservativo Masculino"/>
    <s v="Performance"/>
    <x v="35"/>
    <n v="500"/>
  </r>
  <r>
    <x v="35"/>
    <n v="2026"/>
    <x v="4"/>
    <x v="0"/>
    <s v="Preservativo Masculino"/>
    <s v="Performance"/>
    <x v="35"/>
    <n v="1000"/>
  </r>
  <r>
    <x v="35"/>
    <n v="2026"/>
    <x v="5"/>
    <x v="0"/>
    <s v="Preservativo Masculino"/>
    <s v="Performance"/>
    <x v="35"/>
    <n v="0"/>
  </r>
  <r>
    <x v="35"/>
    <n v="2026"/>
    <x v="6"/>
    <x v="0"/>
    <s v="Preservativo Masculino"/>
    <s v="Performance"/>
    <x v="35"/>
    <n v="0"/>
  </r>
  <r>
    <x v="35"/>
    <n v="2026"/>
    <x v="7"/>
    <x v="0"/>
    <s v="Preservativo Masculino"/>
    <s v="Performance"/>
    <x v="35"/>
    <n v="0"/>
  </r>
  <r>
    <x v="35"/>
    <n v="2026"/>
    <x v="8"/>
    <x v="0"/>
    <s v="Preservativo Masculino"/>
    <s v="Performance"/>
    <x v="35"/>
    <n v="0"/>
  </r>
  <r>
    <x v="35"/>
    <n v="2026"/>
    <x v="9"/>
    <x v="0"/>
    <s v="Preservativo Masculino"/>
    <s v="Performance"/>
    <x v="35"/>
    <n v="0"/>
  </r>
  <r>
    <x v="35"/>
    <n v="2026"/>
    <x v="10"/>
    <x v="0"/>
    <s v="Preservativo Masculino"/>
    <s v="Performance"/>
    <x v="35"/>
    <n v="0"/>
  </r>
  <r>
    <x v="35"/>
    <n v="2026"/>
    <x v="11"/>
    <x v="0"/>
    <s v="Preservativo Masculino"/>
    <s v="Performance"/>
    <x v="35"/>
    <n v="0"/>
  </r>
  <r>
    <x v="36"/>
    <n v="2026"/>
    <x v="0"/>
    <x v="0"/>
    <s v="Preservativo Masculino"/>
    <s v="Performance"/>
    <x v="36"/>
    <n v="500"/>
  </r>
  <r>
    <x v="36"/>
    <n v="2026"/>
    <x v="1"/>
    <x v="0"/>
    <s v="Preservativo Masculino"/>
    <s v="Performance"/>
    <x v="36"/>
    <n v="500"/>
  </r>
  <r>
    <x v="36"/>
    <n v="2026"/>
    <x v="2"/>
    <x v="0"/>
    <s v="Preservativo Masculino"/>
    <s v="Performance"/>
    <x v="36"/>
    <n v="650"/>
  </r>
  <r>
    <x v="36"/>
    <n v="2026"/>
    <x v="3"/>
    <x v="0"/>
    <s v="Preservativo Masculino"/>
    <s v="Performance"/>
    <x v="36"/>
    <n v="350"/>
  </r>
  <r>
    <x v="36"/>
    <n v="2026"/>
    <x v="4"/>
    <x v="0"/>
    <s v="Preservativo Masculino"/>
    <s v="Performance"/>
    <x v="36"/>
    <n v="500"/>
  </r>
  <r>
    <x v="36"/>
    <n v="2026"/>
    <x v="5"/>
    <x v="0"/>
    <s v="Preservativo Masculino"/>
    <s v="Performance"/>
    <x v="36"/>
    <n v="0"/>
  </r>
  <r>
    <x v="36"/>
    <n v="2026"/>
    <x v="6"/>
    <x v="0"/>
    <s v="Preservativo Masculino"/>
    <s v="Performance"/>
    <x v="36"/>
    <n v="0"/>
  </r>
  <r>
    <x v="36"/>
    <n v="2026"/>
    <x v="7"/>
    <x v="0"/>
    <s v="Preservativo Masculino"/>
    <s v="Performance"/>
    <x v="36"/>
    <n v="0"/>
  </r>
  <r>
    <x v="36"/>
    <n v="2026"/>
    <x v="8"/>
    <x v="0"/>
    <s v="Preservativo Masculino"/>
    <s v="Performance"/>
    <x v="36"/>
    <n v="0"/>
  </r>
  <r>
    <x v="36"/>
    <n v="2026"/>
    <x v="9"/>
    <x v="0"/>
    <s v="Preservativo Masculino"/>
    <s v="Performance"/>
    <x v="36"/>
    <n v="0"/>
  </r>
  <r>
    <x v="36"/>
    <n v="2026"/>
    <x v="10"/>
    <x v="0"/>
    <s v="Preservativo Masculino"/>
    <s v="Performance"/>
    <x v="36"/>
    <n v="0"/>
  </r>
  <r>
    <x v="36"/>
    <n v="2026"/>
    <x v="11"/>
    <x v="0"/>
    <s v="Preservativo Masculino"/>
    <s v="Performance"/>
    <x v="36"/>
    <n v="0"/>
  </r>
  <r>
    <x v="37"/>
    <n v="2026"/>
    <x v="0"/>
    <x v="0"/>
    <s v="Preservativo Masculino"/>
    <s v="Performance"/>
    <x v="37"/>
    <n v="700"/>
  </r>
  <r>
    <x v="37"/>
    <n v="2026"/>
    <x v="1"/>
    <x v="0"/>
    <s v="Preservativo Masculino"/>
    <s v="Performance"/>
    <x v="37"/>
    <n v="700"/>
  </r>
  <r>
    <x v="37"/>
    <n v="2026"/>
    <x v="2"/>
    <x v="0"/>
    <s v="Preservativo Masculino"/>
    <s v="Performance"/>
    <x v="37"/>
    <n v="910"/>
  </r>
  <r>
    <x v="37"/>
    <n v="2026"/>
    <x v="3"/>
    <x v="0"/>
    <s v="Preservativo Masculino"/>
    <s v="Performance"/>
    <x v="37"/>
    <n v="490"/>
  </r>
  <r>
    <x v="37"/>
    <n v="2026"/>
    <x v="4"/>
    <x v="0"/>
    <s v="Preservativo Masculino"/>
    <s v="Performance"/>
    <x v="37"/>
    <n v="700"/>
  </r>
  <r>
    <x v="37"/>
    <n v="2026"/>
    <x v="5"/>
    <x v="0"/>
    <s v="Preservativo Masculino"/>
    <s v="Performance"/>
    <x v="37"/>
    <n v="0"/>
  </r>
  <r>
    <x v="37"/>
    <n v="2026"/>
    <x v="6"/>
    <x v="0"/>
    <s v="Preservativo Masculino"/>
    <s v="Performance"/>
    <x v="37"/>
    <n v="0"/>
  </r>
  <r>
    <x v="37"/>
    <n v="2026"/>
    <x v="7"/>
    <x v="0"/>
    <s v="Preservativo Masculino"/>
    <s v="Performance"/>
    <x v="37"/>
    <n v="0"/>
  </r>
  <r>
    <x v="37"/>
    <n v="2026"/>
    <x v="8"/>
    <x v="0"/>
    <s v="Preservativo Masculino"/>
    <s v="Performance"/>
    <x v="37"/>
    <n v="0"/>
  </r>
  <r>
    <x v="37"/>
    <n v="2026"/>
    <x v="9"/>
    <x v="0"/>
    <s v="Preservativo Masculino"/>
    <s v="Performance"/>
    <x v="37"/>
    <n v="0"/>
  </r>
  <r>
    <x v="37"/>
    <n v="2026"/>
    <x v="10"/>
    <x v="0"/>
    <s v="Preservativo Masculino"/>
    <s v="Performance"/>
    <x v="37"/>
    <n v="0"/>
  </r>
  <r>
    <x v="37"/>
    <n v="2026"/>
    <x v="11"/>
    <x v="0"/>
    <s v="Preservativo Masculino"/>
    <s v="Performance"/>
    <x v="37"/>
    <n v="0"/>
  </r>
  <r>
    <x v="38"/>
    <n v="2026"/>
    <x v="0"/>
    <x v="0"/>
    <s v="Preservativo Masculino"/>
    <s v="Performance"/>
    <x v="38"/>
    <n v="364"/>
  </r>
  <r>
    <x v="38"/>
    <n v="2026"/>
    <x v="1"/>
    <x v="0"/>
    <s v="Preservativo Masculino"/>
    <s v="Performance"/>
    <x v="38"/>
    <n v="407"/>
  </r>
  <r>
    <x v="38"/>
    <n v="2026"/>
    <x v="2"/>
    <x v="0"/>
    <s v="Preservativo Masculino"/>
    <s v="Performance"/>
    <x v="38"/>
    <n v="337"/>
  </r>
  <r>
    <x v="38"/>
    <n v="2026"/>
    <x v="3"/>
    <x v="0"/>
    <s v="Preservativo Masculino"/>
    <s v="Performance"/>
    <x v="38"/>
    <n v="431"/>
  </r>
  <r>
    <x v="38"/>
    <n v="2026"/>
    <x v="4"/>
    <x v="0"/>
    <s v="Preservativo Masculino"/>
    <s v="Performance"/>
    <x v="38"/>
    <n v="392"/>
  </r>
  <r>
    <x v="38"/>
    <n v="2026"/>
    <x v="5"/>
    <x v="0"/>
    <s v="Preservativo Masculino"/>
    <s v="Performance"/>
    <x v="38"/>
    <n v="0"/>
  </r>
  <r>
    <x v="38"/>
    <n v="2026"/>
    <x v="6"/>
    <x v="0"/>
    <s v="Preservativo Masculino"/>
    <s v="Performance"/>
    <x v="38"/>
    <n v="0"/>
  </r>
  <r>
    <x v="38"/>
    <n v="2026"/>
    <x v="7"/>
    <x v="0"/>
    <s v="Preservativo Masculino"/>
    <s v="Performance"/>
    <x v="38"/>
    <n v="0"/>
  </r>
  <r>
    <x v="38"/>
    <n v="2026"/>
    <x v="8"/>
    <x v="0"/>
    <s v="Preservativo Masculino"/>
    <s v="Performance"/>
    <x v="38"/>
    <n v="0"/>
  </r>
  <r>
    <x v="38"/>
    <n v="2026"/>
    <x v="9"/>
    <x v="0"/>
    <s v="Preservativo Masculino"/>
    <s v="Performance"/>
    <x v="38"/>
    <n v="0"/>
  </r>
  <r>
    <x v="38"/>
    <n v="2026"/>
    <x v="10"/>
    <x v="0"/>
    <s v="Preservativo Masculino"/>
    <s v="Performance"/>
    <x v="38"/>
    <n v="0"/>
  </r>
  <r>
    <x v="38"/>
    <n v="2026"/>
    <x v="11"/>
    <x v="0"/>
    <s v="Preservativo Masculino"/>
    <s v="Performance"/>
    <x v="38"/>
    <n v="0"/>
  </r>
  <r>
    <x v="39"/>
    <n v="2026"/>
    <x v="0"/>
    <x v="0"/>
    <s v="Preservativo Masculino"/>
    <s v="Performance"/>
    <x v="39"/>
    <n v="714"/>
  </r>
  <r>
    <x v="39"/>
    <n v="2026"/>
    <x v="1"/>
    <x v="0"/>
    <s v="Preservativo Masculino"/>
    <s v="Performance"/>
    <x v="39"/>
    <n v="773"/>
  </r>
  <r>
    <x v="39"/>
    <n v="2026"/>
    <x v="2"/>
    <x v="0"/>
    <s v="Preservativo Masculino"/>
    <s v="Performance"/>
    <x v="39"/>
    <n v="751"/>
  </r>
  <r>
    <x v="39"/>
    <n v="2026"/>
    <x v="3"/>
    <x v="0"/>
    <s v="Preservativo Masculino"/>
    <s v="Performance"/>
    <x v="39"/>
    <n v="60"/>
  </r>
  <r>
    <x v="39"/>
    <n v="2026"/>
    <x v="4"/>
    <x v="0"/>
    <s v="Preservativo Masculino"/>
    <s v="Performance"/>
    <x v="39"/>
    <n v="528"/>
  </r>
  <r>
    <x v="39"/>
    <n v="2026"/>
    <x v="5"/>
    <x v="0"/>
    <s v="Preservativo Masculino"/>
    <s v="Performance"/>
    <x v="39"/>
    <n v="0"/>
  </r>
  <r>
    <x v="39"/>
    <n v="2026"/>
    <x v="6"/>
    <x v="0"/>
    <s v="Preservativo Masculino"/>
    <s v="Performance"/>
    <x v="39"/>
    <n v="0"/>
  </r>
  <r>
    <x v="39"/>
    <n v="2026"/>
    <x v="7"/>
    <x v="0"/>
    <s v="Preservativo Masculino"/>
    <s v="Performance"/>
    <x v="39"/>
    <n v="0"/>
  </r>
  <r>
    <x v="39"/>
    <n v="2026"/>
    <x v="8"/>
    <x v="0"/>
    <s v="Preservativo Masculino"/>
    <s v="Performance"/>
    <x v="39"/>
    <n v="0"/>
  </r>
  <r>
    <x v="39"/>
    <n v="2026"/>
    <x v="9"/>
    <x v="0"/>
    <s v="Preservativo Masculino"/>
    <s v="Performance"/>
    <x v="39"/>
    <n v="0"/>
  </r>
  <r>
    <x v="39"/>
    <n v="2026"/>
    <x v="10"/>
    <x v="0"/>
    <s v="Preservativo Masculino"/>
    <s v="Performance"/>
    <x v="39"/>
    <n v="0"/>
  </r>
  <r>
    <x v="39"/>
    <n v="2026"/>
    <x v="11"/>
    <x v="0"/>
    <s v="Preservativo Masculino"/>
    <s v="Performance"/>
    <x v="39"/>
    <n v="0"/>
  </r>
  <r>
    <x v="40"/>
    <n v="2026"/>
    <x v="0"/>
    <x v="0"/>
    <s v="Gel Lubrificante"/>
    <s v="Lub 100G"/>
    <x v="40"/>
    <n v="0"/>
  </r>
  <r>
    <x v="40"/>
    <n v="2026"/>
    <x v="1"/>
    <x v="0"/>
    <s v="Gel Lubrificante"/>
    <s v="Lub 100G"/>
    <x v="40"/>
    <n v="0"/>
  </r>
  <r>
    <x v="40"/>
    <n v="2026"/>
    <x v="2"/>
    <x v="0"/>
    <s v="Gel Lubrificante"/>
    <s v="Lub 100G"/>
    <x v="40"/>
    <n v="0"/>
  </r>
  <r>
    <x v="40"/>
    <n v="2026"/>
    <x v="3"/>
    <x v="0"/>
    <s v="Gel Lubrificante"/>
    <s v="Lub 100G"/>
    <x v="40"/>
    <n v="0"/>
  </r>
  <r>
    <x v="40"/>
    <n v="2026"/>
    <x v="4"/>
    <x v="0"/>
    <s v="Gel Lubrificante"/>
    <s v="Lub 100G"/>
    <x v="40"/>
    <n v="0"/>
  </r>
  <r>
    <x v="40"/>
    <n v="2026"/>
    <x v="5"/>
    <x v="0"/>
    <s v="Gel Lubrificante"/>
    <s v="Lub 100G"/>
    <x v="40"/>
    <n v="0"/>
  </r>
  <r>
    <x v="40"/>
    <n v="2026"/>
    <x v="6"/>
    <x v="0"/>
    <s v="Gel Lubrificante"/>
    <s v="Lub 100G"/>
    <x v="40"/>
    <n v="0"/>
  </r>
  <r>
    <x v="40"/>
    <n v="2026"/>
    <x v="7"/>
    <x v="0"/>
    <s v="Gel Lubrificante"/>
    <s v="Lub 100G"/>
    <x v="40"/>
    <n v="0"/>
  </r>
  <r>
    <x v="40"/>
    <n v="2026"/>
    <x v="8"/>
    <x v="0"/>
    <s v="Gel Lubrificante"/>
    <s v="Lub 100G"/>
    <x v="40"/>
    <n v="0"/>
  </r>
  <r>
    <x v="40"/>
    <n v="2026"/>
    <x v="9"/>
    <x v="0"/>
    <s v="Gel Lubrificante"/>
    <s v="Lub 100G"/>
    <x v="40"/>
    <n v="0"/>
  </r>
  <r>
    <x v="40"/>
    <n v="2026"/>
    <x v="10"/>
    <x v="0"/>
    <s v="Gel Lubrificante"/>
    <s v="Lub 100G"/>
    <x v="40"/>
    <n v="0"/>
  </r>
  <r>
    <x v="40"/>
    <n v="2026"/>
    <x v="11"/>
    <x v="0"/>
    <s v="Gel Lubrificante"/>
    <s v="Lub 100G"/>
    <x v="40"/>
    <n v="0"/>
  </r>
  <r>
    <x v="41"/>
    <n v="2026"/>
    <x v="0"/>
    <x v="0"/>
    <s v="Gel Lubrificante"/>
    <s v="Lub 100G"/>
    <x v="41"/>
    <n v="0"/>
  </r>
  <r>
    <x v="41"/>
    <n v="2026"/>
    <x v="1"/>
    <x v="0"/>
    <s v="Gel Lubrificante"/>
    <s v="Lub 100G"/>
    <x v="41"/>
    <n v="0"/>
  </r>
  <r>
    <x v="41"/>
    <n v="2026"/>
    <x v="2"/>
    <x v="0"/>
    <s v="Gel Lubrificante"/>
    <s v="Lub 100G"/>
    <x v="41"/>
    <n v="0"/>
  </r>
  <r>
    <x v="41"/>
    <n v="2026"/>
    <x v="3"/>
    <x v="0"/>
    <s v="Gel Lubrificante"/>
    <s v="Lub 100G"/>
    <x v="41"/>
    <n v="0"/>
  </r>
  <r>
    <x v="41"/>
    <n v="2026"/>
    <x v="4"/>
    <x v="0"/>
    <s v="Gel Lubrificante"/>
    <s v="Lub 100G"/>
    <x v="41"/>
    <n v="0"/>
  </r>
  <r>
    <x v="41"/>
    <n v="2026"/>
    <x v="5"/>
    <x v="0"/>
    <s v="Gel Lubrificante"/>
    <s v="Lub 100G"/>
    <x v="41"/>
    <n v="0"/>
  </r>
  <r>
    <x v="41"/>
    <n v="2026"/>
    <x v="6"/>
    <x v="0"/>
    <s v="Gel Lubrificante"/>
    <s v="Lub 100G"/>
    <x v="41"/>
    <n v="0"/>
  </r>
  <r>
    <x v="41"/>
    <n v="2026"/>
    <x v="7"/>
    <x v="0"/>
    <s v="Gel Lubrificante"/>
    <s v="Lub 100G"/>
    <x v="41"/>
    <n v="0"/>
  </r>
  <r>
    <x v="41"/>
    <n v="2026"/>
    <x v="8"/>
    <x v="0"/>
    <s v="Gel Lubrificante"/>
    <s v="Lub 100G"/>
    <x v="41"/>
    <n v="0"/>
  </r>
  <r>
    <x v="41"/>
    <n v="2026"/>
    <x v="9"/>
    <x v="0"/>
    <s v="Gel Lubrificante"/>
    <s v="Lub 100G"/>
    <x v="41"/>
    <n v="0"/>
  </r>
  <r>
    <x v="41"/>
    <n v="2026"/>
    <x v="10"/>
    <x v="0"/>
    <s v="Gel Lubrificante"/>
    <s v="Lub 100G"/>
    <x v="41"/>
    <n v="0"/>
  </r>
  <r>
    <x v="41"/>
    <n v="2026"/>
    <x v="11"/>
    <x v="0"/>
    <s v="Gel Lubrificante"/>
    <s v="Lub 100G"/>
    <x v="41"/>
    <n v="0"/>
  </r>
  <r>
    <x v="42"/>
    <n v="2026"/>
    <x v="0"/>
    <x v="0"/>
    <s v="Gel Lubrificante"/>
    <s v="Lub 100G"/>
    <x v="42"/>
    <n v="0"/>
  </r>
  <r>
    <x v="42"/>
    <n v="2026"/>
    <x v="1"/>
    <x v="0"/>
    <s v="Gel Lubrificante"/>
    <s v="Lub 100G"/>
    <x v="42"/>
    <n v="0"/>
  </r>
  <r>
    <x v="42"/>
    <n v="2026"/>
    <x v="2"/>
    <x v="0"/>
    <s v="Gel Lubrificante"/>
    <s v="Lub 100G"/>
    <x v="42"/>
    <n v="0"/>
  </r>
  <r>
    <x v="42"/>
    <n v="2026"/>
    <x v="3"/>
    <x v="0"/>
    <s v="Gel Lubrificante"/>
    <s v="Lub 100G"/>
    <x v="42"/>
    <n v="0"/>
  </r>
  <r>
    <x v="42"/>
    <n v="2026"/>
    <x v="4"/>
    <x v="0"/>
    <s v="Gel Lubrificante"/>
    <s v="Lub 100G"/>
    <x v="42"/>
    <n v="0"/>
  </r>
  <r>
    <x v="42"/>
    <n v="2026"/>
    <x v="5"/>
    <x v="0"/>
    <s v="Gel Lubrificante"/>
    <s v="Lub 100G"/>
    <x v="42"/>
    <n v="0"/>
  </r>
  <r>
    <x v="42"/>
    <n v="2026"/>
    <x v="6"/>
    <x v="0"/>
    <s v="Gel Lubrificante"/>
    <s v="Lub 100G"/>
    <x v="42"/>
    <n v="0"/>
  </r>
  <r>
    <x v="42"/>
    <n v="2026"/>
    <x v="7"/>
    <x v="0"/>
    <s v="Gel Lubrificante"/>
    <s v="Lub 100G"/>
    <x v="42"/>
    <n v="0"/>
  </r>
  <r>
    <x v="42"/>
    <n v="2026"/>
    <x v="8"/>
    <x v="0"/>
    <s v="Gel Lubrificante"/>
    <s v="Lub 100G"/>
    <x v="42"/>
    <n v="0"/>
  </r>
  <r>
    <x v="42"/>
    <n v="2026"/>
    <x v="9"/>
    <x v="0"/>
    <s v="Gel Lubrificante"/>
    <s v="Lub 100G"/>
    <x v="42"/>
    <n v="0"/>
  </r>
  <r>
    <x v="42"/>
    <n v="2026"/>
    <x v="10"/>
    <x v="0"/>
    <s v="Gel Lubrificante"/>
    <s v="Lub 100G"/>
    <x v="42"/>
    <n v="0"/>
  </r>
  <r>
    <x v="42"/>
    <n v="2026"/>
    <x v="11"/>
    <x v="0"/>
    <s v="Gel Lubrificante"/>
    <s v="Lub 100G"/>
    <x v="42"/>
    <n v="0"/>
  </r>
  <r>
    <x v="43"/>
    <n v="2026"/>
    <x v="0"/>
    <x v="0"/>
    <s v="Gel Lubrificante"/>
    <s v="Lub 100G"/>
    <x v="43"/>
    <n v="0"/>
  </r>
  <r>
    <x v="43"/>
    <n v="2026"/>
    <x v="1"/>
    <x v="0"/>
    <s v="Gel Lubrificante"/>
    <s v="Lub 100G"/>
    <x v="43"/>
    <n v="0"/>
  </r>
  <r>
    <x v="43"/>
    <n v="2026"/>
    <x v="2"/>
    <x v="0"/>
    <s v="Gel Lubrificante"/>
    <s v="Lub 100G"/>
    <x v="43"/>
    <n v="0"/>
  </r>
  <r>
    <x v="43"/>
    <n v="2026"/>
    <x v="3"/>
    <x v="0"/>
    <s v="Gel Lubrificante"/>
    <s v="Lub 100G"/>
    <x v="43"/>
    <n v="0"/>
  </r>
  <r>
    <x v="43"/>
    <n v="2026"/>
    <x v="4"/>
    <x v="0"/>
    <s v="Gel Lubrificante"/>
    <s v="Lub 100G"/>
    <x v="43"/>
    <n v="0"/>
  </r>
  <r>
    <x v="43"/>
    <n v="2026"/>
    <x v="5"/>
    <x v="0"/>
    <s v="Gel Lubrificante"/>
    <s v="Lub 100G"/>
    <x v="43"/>
    <n v="0"/>
  </r>
  <r>
    <x v="43"/>
    <n v="2026"/>
    <x v="6"/>
    <x v="0"/>
    <s v="Gel Lubrificante"/>
    <s v="Lub 100G"/>
    <x v="43"/>
    <n v="0"/>
  </r>
  <r>
    <x v="43"/>
    <n v="2026"/>
    <x v="7"/>
    <x v="0"/>
    <s v="Gel Lubrificante"/>
    <s v="Lub 100G"/>
    <x v="43"/>
    <n v="0"/>
  </r>
  <r>
    <x v="43"/>
    <n v="2026"/>
    <x v="8"/>
    <x v="0"/>
    <s v="Gel Lubrificante"/>
    <s v="Lub 100G"/>
    <x v="43"/>
    <n v="0"/>
  </r>
  <r>
    <x v="43"/>
    <n v="2026"/>
    <x v="9"/>
    <x v="0"/>
    <s v="Gel Lubrificante"/>
    <s v="Lub 100G"/>
    <x v="43"/>
    <n v="0"/>
  </r>
  <r>
    <x v="43"/>
    <n v="2026"/>
    <x v="10"/>
    <x v="0"/>
    <s v="Gel Lubrificante"/>
    <s v="Lub 100G"/>
    <x v="43"/>
    <n v="0"/>
  </r>
  <r>
    <x v="43"/>
    <n v="2026"/>
    <x v="11"/>
    <x v="0"/>
    <s v="Gel Lubrificante"/>
    <s v="Lub 100G"/>
    <x v="43"/>
    <n v="0"/>
  </r>
  <r>
    <x v="44"/>
    <n v="2026"/>
    <x v="0"/>
    <x v="0"/>
    <s v="Gel Lubrificante"/>
    <s v="Lub 60G"/>
    <x v="44"/>
    <n v="0"/>
  </r>
  <r>
    <x v="44"/>
    <n v="2026"/>
    <x v="1"/>
    <x v="0"/>
    <s v="Gel Lubrificante"/>
    <s v="Lub 60G"/>
    <x v="44"/>
    <n v="0"/>
  </r>
  <r>
    <x v="44"/>
    <n v="2026"/>
    <x v="2"/>
    <x v="0"/>
    <s v="Gel Lubrificante"/>
    <s v="Lub 60G"/>
    <x v="44"/>
    <n v="0"/>
  </r>
  <r>
    <x v="44"/>
    <n v="2026"/>
    <x v="3"/>
    <x v="0"/>
    <s v="Gel Lubrificante"/>
    <s v="Lub 60G"/>
    <x v="44"/>
    <n v="0"/>
  </r>
  <r>
    <x v="44"/>
    <n v="2026"/>
    <x v="4"/>
    <x v="0"/>
    <s v="Gel Lubrificante"/>
    <s v="Lub 60G"/>
    <x v="44"/>
    <n v="0"/>
  </r>
  <r>
    <x v="44"/>
    <n v="2026"/>
    <x v="5"/>
    <x v="0"/>
    <s v="Gel Lubrificante"/>
    <s v="Lub 60G"/>
    <x v="44"/>
    <n v="0"/>
  </r>
  <r>
    <x v="44"/>
    <n v="2026"/>
    <x v="6"/>
    <x v="0"/>
    <s v="Gel Lubrificante"/>
    <s v="Lub 60G"/>
    <x v="44"/>
    <n v="0"/>
  </r>
  <r>
    <x v="44"/>
    <n v="2026"/>
    <x v="7"/>
    <x v="0"/>
    <s v="Gel Lubrificante"/>
    <s v="Lub 60G"/>
    <x v="44"/>
    <n v="0"/>
  </r>
  <r>
    <x v="44"/>
    <n v="2026"/>
    <x v="8"/>
    <x v="0"/>
    <s v="Gel Lubrificante"/>
    <s v="Lub 60G"/>
    <x v="44"/>
    <n v="0"/>
  </r>
  <r>
    <x v="44"/>
    <n v="2026"/>
    <x v="9"/>
    <x v="0"/>
    <s v="Gel Lubrificante"/>
    <s v="Lub 60G"/>
    <x v="44"/>
    <n v="0"/>
  </r>
  <r>
    <x v="44"/>
    <n v="2026"/>
    <x v="10"/>
    <x v="0"/>
    <s v="Gel Lubrificante"/>
    <s v="Lub 60G"/>
    <x v="44"/>
    <n v="0"/>
  </r>
  <r>
    <x v="44"/>
    <n v="2026"/>
    <x v="11"/>
    <x v="0"/>
    <s v="Gel Lubrificante"/>
    <s v="Lub 60G"/>
    <x v="44"/>
    <n v="0"/>
  </r>
  <r>
    <x v="45"/>
    <n v="2026"/>
    <x v="0"/>
    <x v="0"/>
    <s v="Intima"/>
    <s v="Wipes &amp; Softcup"/>
    <x v="45"/>
    <n v="496"/>
  </r>
  <r>
    <x v="45"/>
    <n v="2026"/>
    <x v="1"/>
    <x v="0"/>
    <s v="Intima"/>
    <s v="Wipes &amp; Softcup"/>
    <x v="45"/>
    <n v="487"/>
  </r>
  <r>
    <x v="45"/>
    <n v="2026"/>
    <x v="2"/>
    <x v="0"/>
    <s v="Intima"/>
    <s v="Wipes &amp; Softcup"/>
    <x v="45"/>
    <n v="477"/>
  </r>
  <r>
    <x v="45"/>
    <n v="2026"/>
    <x v="3"/>
    <x v="0"/>
    <s v="Intima"/>
    <s v="Wipes &amp; Softcup"/>
    <x v="45"/>
    <n v="935"/>
  </r>
  <r>
    <x v="45"/>
    <n v="2026"/>
    <x v="4"/>
    <x v="0"/>
    <s v="Intima"/>
    <s v="Wipes &amp; Softcup"/>
    <x v="45"/>
    <n v="633"/>
  </r>
  <r>
    <x v="45"/>
    <n v="2026"/>
    <x v="5"/>
    <x v="0"/>
    <s v="Intima"/>
    <s v="Wipes &amp; Softcup"/>
    <x v="45"/>
    <n v="0"/>
  </r>
  <r>
    <x v="45"/>
    <n v="2026"/>
    <x v="6"/>
    <x v="0"/>
    <s v="Intima"/>
    <s v="Wipes &amp; Softcup"/>
    <x v="45"/>
    <n v="0"/>
  </r>
  <r>
    <x v="45"/>
    <n v="2026"/>
    <x v="7"/>
    <x v="0"/>
    <s v="Intima"/>
    <s v="Wipes &amp; Softcup"/>
    <x v="45"/>
    <n v="0"/>
  </r>
  <r>
    <x v="45"/>
    <n v="2026"/>
    <x v="8"/>
    <x v="0"/>
    <s v="Intima"/>
    <s v="Wipes &amp; Softcup"/>
    <x v="45"/>
    <n v="0"/>
  </r>
  <r>
    <x v="45"/>
    <n v="2026"/>
    <x v="9"/>
    <x v="0"/>
    <s v="Intima"/>
    <s v="Wipes &amp; Softcup"/>
    <x v="45"/>
    <n v="0"/>
  </r>
  <r>
    <x v="45"/>
    <n v="2026"/>
    <x v="10"/>
    <x v="0"/>
    <s v="Intima"/>
    <s v="Wipes &amp; Softcup"/>
    <x v="45"/>
    <n v="0"/>
  </r>
  <r>
    <x v="45"/>
    <n v="2026"/>
    <x v="11"/>
    <x v="0"/>
    <s v="Intima"/>
    <s v="Wipes &amp; Softcup"/>
    <x v="45"/>
    <n v="0"/>
  </r>
  <r>
    <x v="46"/>
    <n v="2026"/>
    <x v="0"/>
    <x v="0"/>
    <s v="Intima"/>
    <s v="Wipes &amp; Softcup"/>
    <x v="46"/>
    <n v="0"/>
  </r>
  <r>
    <x v="46"/>
    <n v="2026"/>
    <x v="1"/>
    <x v="0"/>
    <s v="Intima"/>
    <s v="Wipes &amp; Softcup"/>
    <x v="46"/>
    <n v="0"/>
  </r>
  <r>
    <x v="46"/>
    <n v="2026"/>
    <x v="2"/>
    <x v="0"/>
    <s v="Intima"/>
    <s v="Wipes &amp; Softcup"/>
    <x v="46"/>
    <n v="0"/>
  </r>
  <r>
    <x v="46"/>
    <n v="2026"/>
    <x v="3"/>
    <x v="0"/>
    <s v="Intima"/>
    <s v="Wipes &amp; Softcup"/>
    <x v="46"/>
    <n v="0"/>
  </r>
  <r>
    <x v="46"/>
    <n v="2026"/>
    <x v="4"/>
    <x v="0"/>
    <s v="Intima"/>
    <s v="Wipes &amp; Softcup"/>
    <x v="46"/>
    <n v="0"/>
  </r>
  <r>
    <x v="46"/>
    <n v="2026"/>
    <x v="5"/>
    <x v="0"/>
    <s v="Intima"/>
    <s v="Wipes &amp; Softcup"/>
    <x v="46"/>
    <n v="0"/>
  </r>
  <r>
    <x v="46"/>
    <n v="2026"/>
    <x v="6"/>
    <x v="0"/>
    <s v="Intima"/>
    <s v="Wipes &amp; Softcup"/>
    <x v="46"/>
    <n v="0"/>
  </r>
  <r>
    <x v="46"/>
    <n v="2026"/>
    <x v="7"/>
    <x v="0"/>
    <s v="Intima"/>
    <s v="Wipes &amp; Softcup"/>
    <x v="46"/>
    <n v="0"/>
  </r>
  <r>
    <x v="46"/>
    <n v="2026"/>
    <x v="8"/>
    <x v="0"/>
    <s v="Intima"/>
    <s v="Wipes &amp; Softcup"/>
    <x v="46"/>
    <n v="0"/>
  </r>
  <r>
    <x v="46"/>
    <n v="2026"/>
    <x v="9"/>
    <x v="0"/>
    <s v="Intima"/>
    <s v="Wipes &amp; Softcup"/>
    <x v="46"/>
    <n v="0"/>
  </r>
  <r>
    <x v="46"/>
    <n v="2026"/>
    <x v="10"/>
    <x v="0"/>
    <s v="Intima"/>
    <s v="Wipes &amp; Softcup"/>
    <x v="46"/>
    <n v="0"/>
  </r>
  <r>
    <x v="46"/>
    <n v="2026"/>
    <x v="11"/>
    <x v="0"/>
    <s v="Intima"/>
    <s v="Wipes &amp; Softcup"/>
    <x v="46"/>
    <n v="0"/>
  </r>
  <r>
    <x v="47"/>
    <n v="2026"/>
    <x v="0"/>
    <x v="0"/>
    <s v="RX"/>
    <s v="Aspirators"/>
    <x v="47"/>
    <n v="1188"/>
  </r>
  <r>
    <x v="47"/>
    <n v="2026"/>
    <x v="1"/>
    <x v="0"/>
    <s v="RX"/>
    <s v="Aspirators"/>
    <x v="47"/>
    <n v="764"/>
  </r>
  <r>
    <x v="47"/>
    <n v="2026"/>
    <x v="2"/>
    <x v="0"/>
    <s v="RX"/>
    <s v="Aspirators"/>
    <x v="47"/>
    <n v="1188"/>
  </r>
  <r>
    <x v="47"/>
    <n v="2026"/>
    <x v="3"/>
    <x v="0"/>
    <s v="RX"/>
    <s v="Aspirators"/>
    <x v="47"/>
    <n v="744"/>
  </r>
  <r>
    <x v="47"/>
    <n v="2026"/>
    <x v="4"/>
    <x v="0"/>
    <s v="RX"/>
    <s v="Aspirators"/>
    <x v="47"/>
    <n v="940"/>
  </r>
  <r>
    <x v="47"/>
    <n v="2026"/>
    <x v="5"/>
    <x v="0"/>
    <s v="RX"/>
    <s v="Aspirators"/>
    <x v="47"/>
    <n v="840"/>
  </r>
  <r>
    <x v="47"/>
    <n v="2026"/>
    <x v="6"/>
    <x v="0"/>
    <s v="RX"/>
    <s v="Aspirators"/>
    <x v="47"/>
    <n v="0"/>
  </r>
  <r>
    <x v="47"/>
    <n v="2026"/>
    <x v="7"/>
    <x v="0"/>
    <s v="RX"/>
    <s v="Aspirators"/>
    <x v="47"/>
    <n v="0"/>
  </r>
  <r>
    <x v="47"/>
    <n v="2026"/>
    <x v="8"/>
    <x v="0"/>
    <s v="RX"/>
    <s v="Aspirators"/>
    <x v="47"/>
    <n v="0"/>
  </r>
  <r>
    <x v="47"/>
    <n v="2026"/>
    <x v="9"/>
    <x v="0"/>
    <s v="RX"/>
    <s v="Aspirators"/>
    <x v="47"/>
    <n v="0"/>
  </r>
  <r>
    <x v="47"/>
    <n v="2026"/>
    <x v="10"/>
    <x v="0"/>
    <s v="RX"/>
    <s v="Aspirators"/>
    <x v="47"/>
    <n v="0"/>
  </r>
  <r>
    <x v="47"/>
    <n v="2026"/>
    <x v="11"/>
    <x v="0"/>
    <s v="RX"/>
    <s v="Aspirators"/>
    <x v="47"/>
    <n v="0"/>
  </r>
  <r>
    <x v="48"/>
    <n v="2026"/>
    <x v="0"/>
    <x v="0"/>
    <s v="RX"/>
    <s v="Aspirators"/>
    <x v="48"/>
    <n v="319"/>
  </r>
  <r>
    <x v="48"/>
    <n v="2026"/>
    <x v="1"/>
    <x v="0"/>
    <s v="RX"/>
    <s v="Aspirators"/>
    <x v="48"/>
    <n v="132"/>
  </r>
  <r>
    <x v="48"/>
    <n v="2026"/>
    <x v="2"/>
    <x v="0"/>
    <s v="RX"/>
    <s v="Aspirators"/>
    <x v="48"/>
    <n v="363"/>
  </r>
  <r>
    <x v="48"/>
    <n v="2026"/>
    <x v="3"/>
    <x v="0"/>
    <s v="RX"/>
    <s v="Aspirators"/>
    <x v="48"/>
    <n v="95"/>
  </r>
  <r>
    <x v="48"/>
    <n v="2026"/>
    <x v="4"/>
    <x v="0"/>
    <s v="RX"/>
    <s v="Aspirators"/>
    <x v="48"/>
    <n v="363"/>
  </r>
  <r>
    <x v="48"/>
    <n v="2026"/>
    <x v="5"/>
    <x v="0"/>
    <s v="RX"/>
    <s v="Aspirators"/>
    <x v="48"/>
    <n v="330"/>
  </r>
  <r>
    <x v="48"/>
    <n v="2026"/>
    <x v="6"/>
    <x v="0"/>
    <s v="RX"/>
    <s v="Aspirators"/>
    <x v="48"/>
    <n v="0"/>
  </r>
  <r>
    <x v="48"/>
    <n v="2026"/>
    <x v="7"/>
    <x v="0"/>
    <s v="RX"/>
    <s v="Aspirators"/>
    <x v="48"/>
    <n v="0"/>
  </r>
  <r>
    <x v="48"/>
    <n v="2026"/>
    <x v="8"/>
    <x v="0"/>
    <s v="RX"/>
    <s v="Aspirators"/>
    <x v="48"/>
    <n v="0"/>
  </r>
  <r>
    <x v="48"/>
    <n v="2026"/>
    <x v="9"/>
    <x v="0"/>
    <s v="RX"/>
    <s v="Aspirators"/>
    <x v="48"/>
    <n v="0"/>
  </r>
  <r>
    <x v="48"/>
    <n v="2026"/>
    <x v="10"/>
    <x v="0"/>
    <s v="RX"/>
    <s v="Aspirators"/>
    <x v="48"/>
    <n v="0"/>
  </r>
  <r>
    <x v="48"/>
    <n v="2026"/>
    <x v="11"/>
    <x v="0"/>
    <s v="RX"/>
    <s v="Aspirators"/>
    <x v="48"/>
    <n v="0"/>
  </r>
  <r>
    <x v="49"/>
    <n v="2026"/>
    <x v="0"/>
    <x v="0"/>
    <s v="RX"/>
    <s v="Cannulae"/>
    <x v="49"/>
    <n v="340"/>
  </r>
  <r>
    <x v="49"/>
    <n v="2026"/>
    <x v="1"/>
    <x v="0"/>
    <s v="RX"/>
    <s v="Cannulae"/>
    <x v="49"/>
    <n v="340"/>
  </r>
  <r>
    <x v="49"/>
    <n v="2026"/>
    <x v="2"/>
    <x v="0"/>
    <s v="RX"/>
    <s v="Cannulae"/>
    <x v="49"/>
    <n v="759.5"/>
  </r>
  <r>
    <x v="49"/>
    <n v="2026"/>
    <x v="3"/>
    <x v="0"/>
    <s v="RX"/>
    <s v="Cannulae"/>
    <x v="49"/>
    <n v="520"/>
  </r>
  <r>
    <x v="49"/>
    <n v="2026"/>
    <x v="4"/>
    <x v="0"/>
    <s v="RX"/>
    <s v="Cannulae"/>
    <x v="49"/>
    <n v="400"/>
  </r>
  <r>
    <x v="49"/>
    <n v="2026"/>
    <x v="5"/>
    <x v="0"/>
    <s v="RX"/>
    <s v="Cannulae"/>
    <x v="49"/>
    <n v="340"/>
  </r>
  <r>
    <x v="49"/>
    <n v="2026"/>
    <x v="6"/>
    <x v="0"/>
    <s v="RX"/>
    <s v="Cannulae"/>
    <x v="49"/>
    <n v="0"/>
  </r>
  <r>
    <x v="49"/>
    <n v="2026"/>
    <x v="7"/>
    <x v="0"/>
    <s v="RX"/>
    <s v="Cannulae"/>
    <x v="49"/>
    <n v="0"/>
  </r>
  <r>
    <x v="49"/>
    <n v="2026"/>
    <x v="8"/>
    <x v="0"/>
    <s v="RX"/>
    <s v="Cannulae"/>
    <x v="49"/>
    <n v="0"/>
  </r>
  <r>
    <x v="49"/>
    <n v="2026"/>
    <x v="9"/>
    <x v="0"/>
    <s v="RX"/>
    <s v="Cannulae"/>
    <x v="49"/>
    <n v="0"/>
  </r>
  <r>
    <x v="49"/>
    <n v="2026"/>
    <x v="10"/>
    <x v="0"/>
    <s v="RX"/>
    <s v="Cannulae"/>
    <x v="49"/>
    <n v="0"/>
  </r>
  <r>
    <x v="49"/>
    <n v="2026"/>
    <x v="11"/>
    <x v="0"/>
    <s v="RX"/>
    <s v="Cannulae"/>
    <x v="49"/>
    <n v="0"/>
  </r>
  <r>
    <x v="50"/>
    <n v="2026"/>
    <x v="0"/>
    <x v="0"/>
    <s v="RX"/>
    <s v="Cannulae"/>
    <x v="50"/>
    <n v="705"/>
  </r>
  <r>
    <x v="50"/>
    <n v="2026"/>
    <x v="1"/>
    <x v="0"/>
    <s v="RX"/>
    <s v="Cannulae"/>
    <x v="50"/>
    <n v="312"/>
  </r>
  <r>
    <x v="50"/>
    <n v="2026"/>
    <x v="2"/>
    <x v="0"/>
    <s v="RX"/>
    <s v="Cannulae"/>
    <x v="50"/>
    <n v="651"/>
  </r>
  <r>
    <x v="50"/>
    <n v="2026"/>
    <x v="3"/>
    <x v="0"/>
    <s v="RX"/>
    <s v="Cannulae"/>
    <x v="50"/>
    <n v="312"/>
  </r>
  <r>
    <x v="50"/>
    <n v="2026"/>
    <x v="4"/>
    <x v="0"/>
    <s v="RX"/>
    <s v="Cannulae"/>
    <x v="50"/>
    <n v="650"/>
  </r>
  <r>
    <x v="50"/>
    <n v="2026"/>
    <x v="5"/>
    <x v="0"/>
    <s v="RX"/>
    <s v="Cannulae"/>
    <x v="50"/>
    <n v="620"/>
  </r>
  <r>
    <x v="50"/>
    <n v="2026"/>
    <x v="6"/>
    <x v="0"/>
    <s v="RX"/>
    <s v="Cannulae"/>
    <x v="50"/>
    <n v="0"/>
  </r>
  <r>
    <x v="50"/>
    <n v="2026"/>
    <x v="7"/>
    <x v="0"/>
    <s v="RX"/>
    <s v="Cannulae"/>
    <x v="50"/>
    <n v="0"/>
  </r>
  <r>
    <x v="50"/>
    <n v="2026"/>
    <x v="8"/>
    <x v="0"/>
    <s v="RX"/>
    <s v="Cannulae"/>
    <x v="50"/>
    <n v="0"/>
  </r>
  <r>
    <x v="50"/>
    <n v="2026"/>
    <x v="9"/>
    <x v="0"/>
    <s v="RX"/>
    <s v="Cannulae"/>
    <x v="50"/>
    <n v="0"/>
  </r>
  <r>
    <x v="50"/>
    <n v="2026"/>
    <x v="10"/>
    <x v="0"/>
    <s v="RX"/>
    <s v="Cannulae"/>
    <x v="50"/>
    <n v="0"/>
  </r>
  <r>
    <x v="50"/>
    <n v="2026"/>
    <x v="11"/>
    <x v="0"/>
    <s v="RX"/>
    <s v="Cannulae"/>
    <x v="50"/>
    <n v="0"/>
  </r>
  <r>
    <x v="51"/>
    <n v="2026"/>
    <x v="0"/>
    <x v="0"/>
    <s v="RX"/>
    <s v="Cannulae"/>
    <x v="51"/>
    <n v="705"/>
  </r>
  <r>
    <x v="51"/>
    <n v="2026"/>
    <x v="1"/>
    <x v="0"/>
    <s v="RX"/>
    <s v="Cannulae"/>
    <x v="51"/>
    <n v="350"/>
  </r>
  <r>
    <x v="51"/>
    <n v="2026"/>
    <x v="2"/>
    <x v="0"/>
    <s v="RX"/>
    <s v="Cannulae"/>
    <x v="51"/>
    <n v="651"/>
  </r>
  <r>
    <x v="51"/>
    <n v="2026"/>
    <x v="3"/>
    <x v="0"/>
    <s v="RX"/>
    <s v="Cannulae"/>
    <x v="51"/>
    <n v="350"/>
  </r>
  <r>
    <x v="51"/>
    <n v="2026"/>
    <x v="4"/>
    <x v="0"/>
    <s v="RX"/>
    <s v="Cannulae"/>
    <x v="51"/>
    <n v="650"/>
  </r>
  <r>
    <x v="51"/>
    <n v="2026"/>
    <x v="5"/>
    <x v="0"/>
    <s v="RX"/>
    <s v="Cannulae"/>
    <x v="51"/>
    <n v="620"/>
  </r>
  <r>
    <x v="51"/>
    <n v="2026"/>
    <x v="6"/>
    <x v="0"/>
    <s v="RX"/>
    <s v="Cannulae"/>
    <x v="51"/>
    <n v="0"/>
  </r>
  <r>
    <x v="51"/>
    <n v="2026"/>
    <x v="7"/>
    <x v="0"/>
    <s v="RX"/>
    <s v="Cannulae"/>
    <x v="51"/>
    <n v="0"/>
  </r>
  <r>
    <x v="51"/>
    <n v="2026"/>
    <x v="8"/>
    <x v="0"/>
    <s v="RX"/>
    <s v="Cannulae"/>
    <x v="51"/>
    <n v="0"/>
  </r>
  <r>
    <x v="51"/>
    <n v="2026"/>
    <x v="9"/>
    <x v="0"/>
    <s v="RX"/>
    <s v="Cannulae"/>
    <x v="51"/>
    <n v="0"/>
  </r>
  <r>
    <x v="51"/>
    <n v="2026"/>
    <x v="10"/>
    <x v="0"/>
    <s v="RX"/>
    <s v="Cannulae"/>
    <x v="51"/>
    <n v="0"/>
  </r>
  <r>
    <x v="51"/>
    <n v="2026"/>
    <x v="11"/>
    <x v="0"/>
    <s v="RX"/>
    <s v="Cannulae"/>
    <x v="51"/>
    <n v="0"/>
  </r>
  <r>
    <x v="52"/>
    <n v="2026"/>
    <x v="0"/>
    <x v="0"/>
    <s v="RX"/>
    <s v="Cannulae"/>
    <x v="52"/>
    <n v="1526"/>
  </r>
  <r>
    <x v="52"/>
    <n v="2026"/>
    <x v="1"/>
    <x v="0"/>
    <s v="RX"/>
    <s v="Cannulae"/>
    <x v="52"/>
    <n v="1090"/>
  </r>
  <r>
    <x v="52"/>
    <n v="2026"/>
    <x v="2"/>
    <x v="0"/>
    <s v="RX"/>
    <s v="Cannulae"/>
    <x v="52"/>
    <n v="1308"/>
  </r>
  <r>
    <x v="52"/>
    <n v="2026"/>
    <x v="3"/>
    <x v="0"/>
    <s v="RX"/>
    <s v="Cannulae"/>
    <x v="52"/>
    <n v="870"/>
  </r>
  <r>
    <x v="52"/>
    <n v="2026"/>
    <x v="4"/>
    <x v="0"/>
    <s v="RX"/>
    <s v="Cannulae"/>
    <x v="52"/>
    <n v="1300"/>
  </r>
  <r>
    <x v="52"/>
    <n v="2026"/>
    <x v="5"/>
    <x v="0"/>
    <s v="RX"/>
    <s v="Cannulae"/>
    <x v="52"/>
    <n v="1340"/>
  </r>
  <r>
    <x v="52"/>
    <n v="2026"/>
    <x v="6"/>
    <x v="0"/>
    <s v="RX"/>
    <s v="Cannulae"/>
    <x v="52"/>
    <n v="0"/>
  </r>
  <r>
    <x v="52"/>
    <n v="2026"/>
    <x v="7"/>
    <x v="0"/>
    <s v="RX"/>
    <s v="Cannulae"/>
    <x v="52"/>
    <n v="0"/>
  </r>
  <r>
    <x v="52"/>
    <n v="2026"/>
    <x v="8"/>
    <x v="0"/>
    <s v="RX"/>
    <s v="Cannulae"/>
    <x v="52"/>
    <n v="0"/>
  </r>
  <r>
    <x v="52"/>
    <n v="2026"/>
    <x v="9"/>
    <x v="0"/>
    <s v="RX"/>
    <s v="Cannulae"/>
    <x v="52"/>
    <n v="0"/>
  </r>
  <r>
    <x v="52"/>
    <n v="2026"/>
    <x v="10"/>
    <x v="0"/>
    <s v="RX"/>
    <s v="Cannulae"/>
    <x v="52"/>
    <n v="0"/>
  </r>
  <r>
    <x v="52"/>
    <n v="2026"/>
    <x v="11"/>
    <x v="0"/>
    <s v="RX"/>
    <s v="Cannulae"/>
    <x v="52"/>
    <n v="0"/>
  </r>
  <r>
    <x v="53"/>
    <n v="2026"/>
    <x v="0"/>
    <x v="0"/>
    <s v="RX"/>
    <s v="Cannulae"/>
    <x v="53"/>
    <n v="1199"/>
  </r>
  <r>
    <x v="53"/>
    <n v="2026"/>
    <x v="1"/>
    <x v="0"/>
    <s v="RX"/>
    <s v="Cannulae"/>
    <x v="53"/>
    <n v="872"/>
  </r>
  <r>
    <x v="53"/>
    <n v="2026"/>
    <x v="2"/>
    <x v="0"/>
    <s v="RX"/>
    <s v="Cannulae"/>
    <x v="53"/>
    <n v="1090"/>
  </r>
  <r>
    <x v="53"/>
    <n v="2026"/>
    <x v="3"/>
    <x v="0"/>
    <s v="RX"/>
    <s v="Cannulae"/>
    <x v="53"/>
    <n v="860"/>
  </r>
  <r>
    <x v="53"/>
    <n v="2026"/>
    <x v="4"/>
    <x v="0"/>
    <s v="RX"/>
    <s v="Cannulae"/>
    <x v="53"/>
    <n v="1109"/>
  </r>
  <r>
    <x v="53"/>
    <n v="2026"/>
    <x v="5"/>
    <x v="0"/>
    <s v="RX"/>
    <s v="Cannulae"/>
    <x v="53"/>
    <n v="1009"/>
  </r>
  <r>
    <x v="53"/>
    <n v="2026"/>
    <x v="6"/>
    <x v="0"/>
    <s v="RX"/>
    <s v="Cannulae"/>
    <x v="53"/>
    <n v="0"/>
  </r>
  <r>
    <x v="53"/>
    <n v="2026"/>
    <x v="7"/>
    <x v="0"/>
    <s v="RX"/>
    <s v="Cannulae"/>
    <x v="53"/>
    <n v="0"/>
  </r>
  <r>
    <x v="53"/>
    <n v="2026"/>
    <x v="8"/>
    <x v="0"/>
    <s v="RX"/>
    <s v="Cannulae"/>
    <x v="53"/>
    <n v="0"/>
  </r>
  <r>
    <x v="53"/>
    <n v="2026"/>
    <x v="9"/>
    <x v="0"/>
    <s v="RX"/>
    <s v="Cannulae"/>
    <x v="53"/>
    <n v="0"/>
  </r>
  <r>
    <x v="53"/>
    <n v="2026"/>
    <x v="10"/>
    <x v="0"/>
    <s v="RX"/>
    <s v="Cannulae"/>
    <x v="53"/>
    <n v="0"/>
  </r>
  <r>
    <x v="53"/>
    <n v="2026"/>
    <x v="11"/>
    <x v="0"/>
    <s v="RX"/>
    <s v="Cannulae"/>
    <x v="53"/>
    <n v="0"/>
  </r>
  <r>
    <x v="54"/>
    <n v="2026"/>
    <x v="0"/>
    <x v="0"/>
    <s v="RX"/>
    <s v="Cannulae"/>
    <x v="54"/>
    <n v="872"/>
  </r>
  <r>
    <x v="54"/>
    <n v="2026"/>
    <x v="1"/>
    <x v="0"/>
    <s v="RX"/>
    <s v="Cannulae"/>
    <x v="54"/>
    <n v="654"/>
  </r>
  <r>
    <x v="54"/>
    <n v="2026"/>
    <x v="2"/>
    <x v="0"/>
    <s v="RX"/>
    <s v="Cannulae"/>
    <x v="54"/>
    <n v="872"/>
  </r>
  <r>
    <x v="54"/>
    <n v="2026"/>
    <x v="3"/>
    <x v="0"/>
    <s v="RX"/>
    <s v="Cannulae"/>
    <x v="54"/>
    <n v="412"/>
  </r>
  <r>
    <x v="54"/>
    <n v="2026"/>
    <x v="4"/>
    <x v="0"/>
    <s v="RX"/>
    <s v="Cannulae"/>
    <x v="54"/>
    <n v="870"/>
  </r>
  <r>
    <x v="54"/>
    <n v="2026"/>
    <x v="5"/>
    <x v="0"/>
    <s v="RX"/>
    <s v="Cannulae"/>
    <x v="54"/>
    <n v="790"/>
  </r>
  <r>
    <x v="54"/>
    <n v="2026"/>
    <x v="6"/>
    <x v="0"/>
    <s v="RX"/>
    <s v="Cannulae"/>
    <x v="54"/>
    <n v="0"/>
  </r>
  <r>
    <x v="54"/>
    <n v="2026"/>
    <x v="7"/>
    <x v="0"/>
    <s v="RX"/>
    <s v="Cannulae"/>
    <x v="54"/>
    <n v="0"/>
  </r>
  <r>
    <x v="54"/>
    <n v="2026"/>
    <x v="8"/>
    <x v="0"/>
    <s v="RX"/>
    <s v="Cannulae"/>
    <x v="54"/>
    <n v="0"/>
  </r>
  <r>
    <x v="54"/>
    <n v="2026"/>
    <x v="9"/>
    <x v="0"/>
    <s v="RX"/>
    <s v="Cannulae"/>
    <x v="54"/>
    <n v="0"/>
  </r>
  <r>
    <x v="54"/>
    <n v="2026"/>
    <x v="10"/>
    <x v="0"/>
    <s v="RX"/>
    <s v="Cannulae"/>
    <x v="54"/>
    <n v="0"/>
  </r>
  <r>
    <x v="54"/>
    <n v="2026"/>
    <x v="11"/>
    <x v="0"/>
    <s v="RX"/>
    <s v="Cannulae"/>
    <x v="54"/>
    <n v="0"/>
  </r>
  <r>
    <x v="55"/>
    <n v="2026"/>
    <x v="0"/>
    <x v="0"/>
    <s v="RX"/>
    <s v="Cannulae"/>
    <x v="55"/>
    <n v="651"/>
  </r>
  <r>
    <x v="55"/>
    <n v="2026"/>
    <x v="1"/>
    <x v="0"/>
    <s v="RX"/>
    <s v="Cannulae"/>
    <x v="55"/>
    <n v="434"/>
  </r>
  <r>
    <x v="55"/>
    <n v="2026"/>
    <x v="2"/>
    <x v="0"/>
    <s v="RX"/>
    <s v="Cannulae"/>
    <x v="55"/>
    <n v="651"/>
  </r>
  <r>
    <x v="55"/>
    <n v="2026"/>
    <x v="3"/>
    <x v="0"/>
    <s v="RX"/>
    <s v="Cannulae"/>
    <x v="55"/>
    <n v="390"/>
  </r>
  <r>
    <x v="55"/>
    <n v="2026"/>
    <x v="4"/>
    <x v="0"/>
    <s v="RX"/>
    <s v="Cannulae"/>
    <x v="55"/>
    <n v="652"/>
  </r>
  <r>
    <x v="55"/>
    <n v="2026"/>
    <x v="5"/>
    <x v="0"/>
    <s v="RX"/>
    <s v="Cannulae"/>
    <x v="55"/>
    <n v="780"/>
  </r>
  <r>
    <x v="55"/>
    <n v="2026"/>
    <x v="6"/>
    <x v="0"/>
    <s v="RX"/>
    <s v="Cannulae"/>
    <x v="55"/>
    <n v="0"/>
  </r>
  <r>
    <x v="55"/>
    <n v="2026"/>
    <x v="7"/>
    <x v="0"/>
    <s v="RX"/>
    <s v="Cannulae"/>
    <x v="55"/>
    <n v="0"/>
  </r>
  <r>
    <x v="55"/>
    <n v="2026"/>
    <x v="8"/>
    <x v="0"/>
    <s v="RX"/>
    <s v="Cannulae"/>
    <x v="55"/>
    <n v="0"/>
  </r>
  <r>
    <x v="55"/>
    <n v="2026"/>
    <x v="9"/>
    <x v="0"/>
    <s v="RX"/>
    <s v="Cannulae"/>
    <x v="55"/>
    <n v="0"/>
  </r>
  <r>
    <x v="55"/>
    <n v="2026"/>
    <x v="10"/>
    <x v="0"/>
    <s v="RX"/>
    <s v="Cannulae"/>
    <x v="55"/>
    <n v="0"/>
  </r>
  <r>
    <x v="55"/>
    <n v="2026"/>
    <x v="11"/>
    <x v="0"/>
    <s v="RX"/>
    <s v="Cannulae"/>
    <x v="55"/>
    <n v="0"/>
  </r>
  <r>
    <x v="56"/>
    <n v="2026"/>
    <x v="0"/>
    <x v="0"/>
    <s v="RX"/>
    <s v="Cannulae"/>
    <x v="56"/>
    <n v="380"/>
  </r>
  <r>
    <x v="56"/>
    <n v="2026"/>
    <x v="1"/>
    <x v="0"/>
    <s v="RX"/>
    <s v="Cannulae"/>
    <x v="56"/>
    <n v="217"/>
  </r>
  <r>
    <x v="56"/>
    <n v="2026"/>
    <x v="2"/>
    <x v="0"/>
    <s v="RX"/>
    <s v="Cannulae"/>
    <x v="56"/>
    <n v="380"/>
  </r>
  <r>
    <x v="56"/>
    <n v="2026"/>
    <x v="3"/>
    <x v="0"/>
    <s v="RX"/>
    <s v="Cannulae"/>
    <x v="56"/>
    <n v="121"/>
  </r>
  <r>
    <x v="56"/>
    <n v="2026"/>
    <x v="4"/>
    <x v="0"/>
    <s v="RX"/>
    <s v="Cannulae"/>
    <x v="56"/>
    <n v="385"/>
  </r>
  <r>
    <x v="56"/>
    <n v="2026"/>
    <x v="5"/>
    <x v="0"/>
    <s v="RX"/>
    <s v="Cannulae"/>
    <x v="56"/>
    <n v="375"/>
  </r>
  <r>
    <x v="56"/>
    <n v="2026"/>
    <x v="6"/>
    <x v="0"/>
    <s v="RX"/>
    <s v="Cannulae"/>
    <x v="56"/>
    <n v="0"/>
  </r>
  <r>
    <x v="56"/>
    <n v="2026"/>
    <x v="7"/>
    <x v="0"/>
    <s v="RX"/>
    <s v="Cannulae"/>
    <x v="56"/>
    <n v="0"/>
  </r>
  <r>
    <x v="56"/>
    <n v="2026"/>
    <x v="8"/>
    <x v="0"/>
    <s v="RX"/>
    <s v="Cannulae"/>
    <x v="56"/>
    <n v="0"/>
  </r>
  <r>
    <x v="56"/>
    <n v="2026"/>
    <x v="9"/>
    <x v="0"/>
    <s v="RX"/>
    <s v="Cannulae"/>
    <x v="56"/>
    <n v="0"/>
  </r>
  <r>
    <x v="56"/>
    <n v="2026"/>
    <x v="10"/>
    <x v="0"/>
    <s v="RX"/>
    <s v="Cannulae"/>
    <x v="56"/>
    <n v="0"/>
  </r>
  <r>
    <x v="56"/>
    <n v="2026"/>
    <x v="11"/>
    <x v="0"/>
    <s v="RX"/>
    <s v="Cannulae"/>
    <x v="56"/>
    <n v="0"/>
  </r>
  <r>
    <x v="57"/>
    <n v="2026"/>
    <x v="0"/>
    <x v="0"/>
    <s v="RX"/>
    <s v="Dilators"/>
    <x v="57"/>
    <n v="4838"/>
  </r>
  <r>
    <x v="57"/>
    <n v="2026"/>
    <x v="1"/>
    <x v="0"/>
    <s v="RX"/>
    <s v="Dilators"/>
    <x v="57"/>
    <n v="3215"/>
  </r>
  <r>
    <x v="57"/>
    <n v="2026"/>
    <x v="2"/>
    <x v="0"/>
    <s v="RX"/>
    <s v="Dilators"/>
    <x v="57"/>
    <n v="5268"/>
  </r>
  <r>
    <x v="57"/>
    <n v="2026"/>
    <x v="3"/>
    <x v="0"/>
    <s v="RX"/>
    <s v="Dilators"/>
    <x v="57"/>
    <n v="3200"/>
  </r>
  <r>
    <x v="57"/>
    <n v="2026"/>
    <x v="4"/>
    <x v="0"/>
    <s v="RX"/>
    <s v="Dilators"/>
    <x v="57"/>
    <n v="4900"/>
  </r>
  <r>
    <x v="57"/>
    <n v="2026"/>
    <x v="5"/>
    <x v="0"/>
    <s v="RX"/>
    <s v="Dilators"/>
    <x v="57"/>
    <n v="4500"/>
  </r>
  <r>
    <x v="57"/>
    <n v="2026"/>
    <x v="6"/>
    <x v="0"/>
    <s v="RX"/>
    <s v="Dilators"/>
    <x v="57"/>
    <n v="0"/>
  </r>
  <r>
    <x v="57"/>
    <n v="2026"/>
    <x v="7"/>
    <x v="0"/>
    <s v="RX"/>
    <s v="Dilators"/>
    <x v="57"/>
    <n v="0"/>
  </r>
  <r>
    <x v="57"/>
    <n v="2026"/>
    <x v="8"/>
    <x v="0"/>
    <s v="RX"/>
    <s v="Dilators"/>
    <x v="57"/>
    <n v="0"/>
  </r>
  <r>
    <x v="57"/>
    <n v="2026"/>
    <x v="9"/>
    <x v="0"/>
    <s v="RX"/>
    <s v="Dilators"/>
    <x v="57"/>
    <n v="0"/>
  </r>
  <r>
    <x v="57"/>
    <n v="2026"/>
    <x v="10"/>
    <x v="0"/>
    <s v="RX"/>
    <s v="Dilators"/>
    <x v="57"/>
    <n v="0"/>
  </r>
  <r>
    <x v="57"/>
    <n v="2026"/>
    <x v="11"/>
    <x v="0"/>
    <s v="RX"/>
    <s v="Dilators"/>
    <x v="57"/>
    <n v="0"/>
  </r>
  <r>
    <x v="58"/>
    <n v="2026"/>
    <x v="0"/>
    <x v="0"/>
    <s v="RX"/>
    <s v="IUDs Cu &amp; IUS &amp; IUB"/>
    <x v="58"/>
    <n v="376"/>
  </r>
  <r>
    <x v="58"/>
    <n v="2026"/>
    <x v="1"/>
    <x v="0"/>
    <s v="RX"/>
    <s v="IUDs Cu &amp; IUS &amp; IUB"/>
    <x v="58"/>
    <n v="215"/>
  </r>
  <r>
    <x v="58"/>
    <n v="2026"/>
    <x v="2"/>
    <x v="0"/>
    <s v="RX"/>
    <s v="IUDs Cu &amp; IUS &amp; IUB"/>
    <x v="58"/>
    <n v="376"/>
  </r>
  <r>
    <x v="58"/>
    <n v="2026"/>
    <x v="3"/>
    <x v="0"/>
    <s v="RX"/>
    <s v="IUDs Cu &amp; IUS &amp; IUB"/>
    <x v="58"/>
    <n v="190"/>
  </r>
  <r>
    <x v="58"/>
    <n v="2026"/>
    <x v="4"/>
    <x v="0"/>
    <s v="RX"/>
    <s v="IUDs Cu &amp; IUS &amp; IUB"/>
    <x v="58"/>
    <n v="380"/>
  </r>
  <r>
    <x v="58"/>
    <n v="2026"/>
    <x v="5"/>
    <x v="0"/>
    <s v="RX"/>
    <s v="IUDs Cu &amp; IUS &amp; IUB"/>
    <x v="58"/>
    <n v="300"/>
  </r>
  <r>
    <x v="58"/>
    <n v="2026"/>
    <x v="6"/>
    <x v="0"/>
    <s v="RX"/>
    <s v="IUDs Cu &amp; IUS &amp; IUB"/>
    <x v="58"/>
    <n v="0"/>
  </r>
  <r>
    <x v="58"/>
    <n v="2026"/>
    <x v="7"/>
    <x v="0"/>
    <s v="RX"/>
    <s v="IUDs Cu &amp; IUS &amp; IUB"/>
    <x v="58"/>
    <n v="0"/>
  </r>
  <r>
    <x v="58"/>
    <n v="2026"/>
    <x v="8"/>
    <x v="0"/>
    <s v="RX"/>
    <s v="IUDs Cu &amp; IUS &amp; IUB"/>
    <x v="58"/>
    <n v="0"/>
  </r>
  <r>
    <x v="58"/>
    <n v="2026"/>
    <x v="9"/>
    <x v="0"/>
    <s v="RX"/>
    <s v="IUDs Cu &amp; IUS &amp; IUB"/>
    <x v="58"/>
    <n v="0"/>
  </r>
  <r>
    <x v="58"/>
    <n v="2026"/>
    <x v="10"/>
    <x v="0"/>
    <s v="RX"/>
    <s v="IUDs Cu &amp; IUS &amp; IUB"/>
    <x v="58"/>
    <n v="0"/>
  </r>
  <r>
    <x v="58"/>
    <n v="2026"/>
    <x v="11"/>
    <x v="0"/>
    <s v="RX"/>
    <s v="IUDs Cu &amp; IUS &amp; IUB"/>
    <x v="58"/>
    <n v="0"/>
  </r>
  <r>
    <x v="59"/>
    <n v="2026"/>
    <x v="0"/>
    <x v="0"/>
    <s v="RX"/>
    <s v="IUDs Cu &amp; IUS &amp; IUB"/>
    <x v="59"/>
    <n v="482"/>
  </r>
  <r>
    <x v="59"/>
    <n v="2026"/>
    <x v="1"/>
    <x v="0"/>
    <s v="RX"/>
    <s v="IUDs Cu &amp; IUS &amp; IUB"/>
    <x v="59"/>
    <n v="310"/>
  </r>
  <r>
    <x v="59"/>
    <n v="2026"/>
    <x v="2"/>
    <x v="0"/>
    <s v="RX"/>
    <s v="IUDs Cu &amp; IUS &amp; IUB"/>
    <x v="59"/>
    <n v="449"/>
  </r>
  <r>
    <x v="59"/>
    <n v="2026"/>
    <x v="3"/>
    <x v="0"/>
    <s v="RX"/>
    <s v="IUDs Cu &amp; IUS &amp; IUB"/>
    <x v="59"/>
    <n v="112"/>
  </r>
  <r>
    <x v="59"/>
    <n v="2026"/>
    <x v="4"/>
    <x v="0"/>
    <s v="RX"/>
    <s v="IUDs Cu &amp; IUS &amp; IUB"/>
    <x v="59"/>
    <n v="440"/>
  </r>
  <r>
    <x v="59"/>
    <n v="2026"/>
    <x v="5"/>
    <x v="0"/>
    <s v="RX"/>
    <s v="IUDs Cu &amp; IUS &amp; IUB"/>
    <x v="59"/>
    <n v="430"/>
  </r>
  <r>
    <x v="59"/>
    <n v="2026"/>
    <x v="6"/>
    <x v="0"/>
    <s v="RX"/>
    <s v="IUDs Cu &amp; IUS &amp; IUB"/>
    <x v="59"/>
    <n v="0"/>
  </r>
  <r>
    <x v="59"/>
    <n v="2026"/>
    <x v="7"/>
    <x v="0"/>
    <s v="RX"/>
    <s v="IUDs Cu &amp; IUS &amp; IUB"/>
    <x v="59"/>
    <n v="0"/>
  </r>
  <r>
    <x v="59"/>
    <n v="2026"/>
    <x v="8"/>
    <x v="0"/>
    <s v="RX"/>
    <s v="IUDs Cu &amp; IUS &amp; IUB"/>
    <x v="59"/>
    <n v="0"/>
  </r>
  <r>
    <x v="59"/>
    <n v="2026"/>
    <x v="9"/>
    <x v="0"/>
    <s v="RX"/>
    <s v="IUDs Cu &amp; IUS &amp; IUB"/>
    <x v="59"/>
    <n v="0"/>
  </r>
  <r>
    <x v="59"/>
    <n v="2026"/>
    <x v="10"/>
    <x v="0"/>
    <s v="RX"/>
    <s v="IUDs Cu &amp; IUS &amp; IUB"/>
    <x v="59"/>
    <n v="0"/>
  </r>
  <r>
    <x v="59"/>
    <n v="2026"/>
    <x v="11"/>
    <x v="0"/>
    <s v="RX"/>
    <s v="IUDs Cu &amp; IUS &amp; IUB"/>
    <x v="59"/>
    <n v="0"/>
  </r>
  <r>
    <x v="60"/>
    <n v="2026"/>
    <x v="0"/>
    <x v="0"/>
    <s v="RX"/>
    <s v="IUDs Cu &amp; IUS &amp; IUB"/>
    <x v="60"/>
    <n v="3286"/>
  </r>
  <r>
    <x v="60"/>
    <n v="2026"/>
    <x v="1"/>
    <x v="0"/>
    <s v="RX"/>
    <s v="IUDs Cu &amp; IUS &amp; IUB"/>
    <x v="60"/>
    <n v="1590"/>
  </r>
  <r>
    <x v="60"/>
    <n v="2026"/>
    <x v="2"/>
    <x v="0"/>
    <s v="RX"/>
    <s v="IUDs Cu &amp; IUS &amp; IUB"/>
    <x v="60"/>
    <n v="3127"/>
  </r>
  <r>
    <x v="60"/>
    <n v="2026"/>
    <x v="3"/>
    <x v="0"/>
    <s v="RX"/>
    <s v="IUDs Cu &amp; IUS &amp; IUB"/>
    <x v="60"/>
    <n v="1212"/>
  </r>
  <r>
    <x v="60"/>
    <n v="2026"/>
    <x v="4"/>
    <x v="0"/>
    <s v="RX"/>
    <s v="IUDs Cu &amp; IUS &amp; IUB"/>
    <x v="60"/>
    <n v="3130"/>
  </r>
  <r>
    <x v="60"/>
    <n v="2026"/>
    <x v="5"/>
    <x v="0"/>
    <s v="RX"/>
    <s v="IUDs Cu &amp; IUS &amp; IUB"/>
    <x v="60"/>
    <n v="2910"/>
  </r>
  <r>
    <x v="60"/>
    <n v="2026"/>
    <x v="6"/>
    <x v="0"/>
    <s v="RX"/>
    <s v="IUDs Cu &amp; IUS &amp; IUB"/>
    <x v="60"/>
    <n v="0"/>
  </r>
  <r>
    <x v="60"/>
    <n v="2026"/>
    <x v="7"/>
    <x v="0"/>
    <s v="RX"/>
    <s v="IUDs Cu &amp; IUS &amp; IUB"/>
    <x v="60"/>
    <n v="0"/>
  </r>
  <r>
    <x v="60"/>
    <n v="2026"/>
    <x v="8"/>
    <x v="0"/>
    <s v="RX"/>
    <s v="IUDs Cu &amp; IUS &amp; IUB"/>
    <x v="60"/>
    <n v="0"/>
  </r>
  <r>
    <x v="60"/>
    <n v="2026"/>
    <x v="9"/>
    <x v="0"/>
    <s v="RX"/>
    <s v="IUDs Cu &amp; IUS &amp; IUB"/>
    <x v="60"/>
    <n v="0"/>
  </r>
  <r>
    <x v="60"/>
    <n v="2026"/>
    <x v="10"/>
    <x v="0"/>
    <s v="RX"/>
    <s v="IUDs Cu &amp; IUS &amp; IUB"/>
    <x v="60"/>
    <n v="0"/>
  </r>
  <r>
    <x v="60"/>
    <n v="2026"/>
    <x v="11"/>
    <x v="0"/>
    <s v="RX"/>
    <s v="IUDs Cu &amp; IUS &amp; IUB"/>
    <x v="60"/>
    <n v="0"/>
  </r>
  <r>
    <x v="61"/>
    <n v="2026"/>
    <x v="0"/>
    <x v="0"/>
    <s v="RX"/>
    <s v="IUDs Cu &amp; IUS &amp; IUB"/>
    <x v="61"/>
    <n v="1120"/>
  </r>
  <r>
    <x v="61"/>
    <n v="2026"/>
    <x v="1"/>
    <x v="0"/>
    <s v="RX"/>
    <s v="IUDs Cu &amp; IUS &amp; IUB"/>
    <x v="61"/>
    <n v="1272"/>
  </r>
  <r>
    <x v="61"/>
    <n v="2026"/>
    <x v="2"/>
    <x v="0"/>
    <s v="RX"/>
    <s v="IUDs Cu &amp; IUS &amp; IUB"/>
    <x v="61"/>
    <n v="1484"/>
  </r>
  <r>
    <x v="61"/>
    <n v="2026"/>
    <x v="3"/>
    <x v="0"/>
    <s v="RX"/>
    <s v="IUDs Cu &amp; IUS &amp; IUB"/>
    <x v="61"/>
    <n v="1123"/>
  </r>
  <r>
    <x v="61"/>
    <n v="2026"/>
    <x v="4"/>
    <x v="0"/>
    <s v="RX"/>
    <s v="IUDs Cu &amp; IUS &amp; IUB"/>
    <x v="61"/>
    <n v="1230"/>
  </r>
  <r>
    <x v="61"/>
    <n v="2026"/>
    <x v="5"/>
    <x v="0"/>
    <s v="RX"/>
    <s v="IUDs Cu &amp; IUS &amp; IUB"/>
    <x v="61"/>
    <n v="1240"/>
  </r>
  <r>
    <x v="61"/>
    <n v="2026"/>
    <x v="6"/>
    <x v="0"/>
    <s v="RX"/>
    <s v="IUDs Cu &amp; IUS &amp; IUB"/>
    <x v="61"/>
    <n v="0"/>
  </r>
  <r>
    <x v="61"/>
    <n v="2026"/>
    <x v="7"/>
    <x v="0"/>
    <s v="RX"/>
    <s v="IUDs Cu &amp; IUS &amp; IUB"/>
    <x v="61"/>
    <n v="0"/>
  </r>
  <r>
    <x v="61"/>
    <n v="2026"/>
    <x v="8"/>
    <x v="0"/>
    <s v="RX"/>
    <s v="IUDs Cu &amp; IUS &amp; IUB"/>
    <x v="61"/>
    <n v="0"/>
  </r>
  <r>
    <x v="61"/>
    <n v="2026"/>
    <x v="9"/>
    <x v="0"/>
    <s v="RX"/>
    <s v="IUDs Cu &amp; IUS &amp; IUB"/>
    <x v="61"/>
    <n v="0"/>
  </r>
  <r>
    <x v="61"/>
    <n v="2026"/>
    <x v="10"/>
    <x v="0"/>
    <s v="RX"/>
    <s v="IUDs Cu &amp; IUS &amp; IUB"/>
    <x v="61"/>
    <n v="0"/>
  </r>
  <r>
    <x v="61"/>
    <n v="2026"/>
    <x v="11"/>
    <x v="0"/>
    <s v="RX"/>
    <s v="IUDs Cu &amp; IUS &amp; IUB"/>
    <x v="61"/>
    <n v="0"/>
  </r>
  <r>
    <x v="62"/>
    <n v="2026"/>
    <x v="0"/>
    <x v="0"/>
    <s v="RX"/>
    <s v="IUDs Cu &amp; IUS &amp; IUB"/>
    <x v="62"/>
    <n v="107"/>
  </r>
  <r>
    <x v="62"/>
    <n v="2026"/>
    <x v="1"/>
    <x v="0"/>
    <s v="RX"/>
    <s v="IUDs Cu &amp; IUS &amp; IUB"/>
    <x v="62"/>
    <n v="128"/>
  </r>
  <r>
    <x v="62"/>
    <n v="2026"/>
    <x v="2"/>
    <x v="0"/>
    <s v="RX"/>
    <s v="IUDs Cu &amp; IUS &amp; IUB"/>
    <x v="62"/>
    <n v="280"/>
  </r>
  <r>
    <x v="62"/>
    <n v="2026"/>
    <x v="3"/>
    <x v="0"/>
    <s v="RX"/>
    <s v="IUDs Cu &amp; IUS &amp; IUB"/>
    <x v="62"/>
    <n v="120"/>
  </r>
  <r>
    <x v="62"/>
    <n v="2026"/>
    <x v="4"/>
    <x v="0"/>
    <s v="RX"/>
    <s v="IUDs Cu &amp; IUS &amp; IUB"/>
    <x v="62"/>
    <n v="210"/>
  </r>
  <r>
    <x v="62"/>
    <n v="2026"/>
    <x v="5"/>
    <x v="0"/>
    <s v="RX"/>
    <s v="IUDs Cu &amp; IUS &amp; IUB"/>
    <x v="62"/>
    <n v="330"/>
  </r>
  <r>
    <x v="62"/>
    <n v="2026"/>
    <x v="6"/>
    <x v="0"/>
    <s v="RX"/>
    <s v="IUDs Cu &amp; IUS &amp; IUB"/>
    <x v="62"/>
    <n v="0"/>
  </r>
  <r>
    <x v="62"/>
    <n v="2026"/>
    <x v="7"/>
    <x v="0"/>
    <s v="RX"/>
    <s v="IUDs Cu &amp; IUS &amp; IUB"/>
    <x v="62"/>
    <n v="0"/>
  </r>
  <r>
    <x v="62"/>
    <n v="2026"/>
    <x v="8"/>
    <x v="0"/>
    <s v="RX"/>
    <s v="IUDs Cu &amp; IUS &amp; IUB"/>
    <x v="62"/>
    <n v="0"/>
  </r>
  <r>
    <x v="62"/>
    <n v="2026"/>
    <x v="9"/>
    <x v="0"/>
    <s v="RX"/>
    <s v="IUDs Cu &amp; IUS &amp; IUB"/>
    <x v="62"/>
    <n v="0"/>
  </r>
  <r>
    <x v="62"/>
    <n v="2026"/>
    <x v="10"/>
    <x v="0"/>
    <s v="RX"/>
    <s v="IUDs Cu &amp; IUS &amp; IUB"/>
    <x v="62"/>
    <n v="0"/>
  </r>
  <r>
    <x v="62"/>
    <n v="2026"/>
    <x v="11"/>
    <x v="0"/>
    <s v="RX"/>
    <s v="IUDs Cu &amp; IUS &amp; IUB"/>
    <x v="62"/>
    <n v="0"/>
  </r>
  <r>
    <x v="63"/>
    <n v="2026"/>
    <x v="0"/>
    <x v="0"/>
    <s v="RX"/>
    <s v="IUDs Cu &amp; IUS &amp; IUB"/>
    <x v="63"/>
    <n v="64"/>
  </r>
  <r>
    <x v="63"/>
    <n v="2026"/>
    <x v="1"/>
    <x v="0"/>
    <s v="RX"/>
    <s v="IUDs Cu &amp; IUS &amp; IUB"/>
    <x v="63"/>
    <n v="64"/>
  </r>
  <r>
    <x v="63"/>
    <n v="2026"/>
    <x v="2"/>
    <x v="0"/>
    <s v="RX"/>
    <s v="IUDs Cu &amp; IUS &amp; IUB"/>
    <x v="63"/>
    <n v="180"/>
  </r>
  <r>
    <x v="63"/>
    <n v="2026"/>
    <x v="3"/>
    <x v="0"/>
    <s v="RX"/>
    <s v="IUDs Cu &amp; IUS &amp; IUB"/>
    <x v="63"/>
    <n v="30"/>
  </r>
  <r>
    <x v="63"/>
    <n v="2026"/>
    <x v="4"/>
    <x v="0"/>
    <s v="RX"/>
    <s v="IUDs Cu &amp; IUS &amp; IUB"/>
    <x v="63"/>
    <n v="70"/>
  </r>
  <r>
    <x v="63"/>
    <n v="2026"/>
    <x v="5"/>
    <x v="0"/>
    <s v="RX"/>
    <s v="IUDs Cu &amp; IUS &amp; IUB"/>
    <x v="63"/>
    <n v="80"/>
  </r>
  <r>
    <x v="63"/>
    <n v="2026"/>
    <x v="6"/>
    <x v="0"/>
    <s v="RX"/>
    <s v="IUDs Cu &amp; IUS &amp; IUB"/>
    <x v="63"/>
    <n v="0"/>
  </r>
  <r>
    <x v="63"/>
    <n v="2026"/>
    <x v="7"/>
    <x v="0"/>
    <s v="RX"/>
    <s v="IUDs Cu &amp; IUS &amp; IUB"/>
    <x v="63"/>
    <n v="0"/>
  </r>
  <r>
    <x v="63"/>
    <n v="2026"/>
    <x v="8"/>
    <x v="0"/>
    <s v="RX"/>
    <s v="IUDs Cu &amp; IUS &amp; IUB"/>
    <x v="63"/>
    <n v="0"/>
  </r>
  <r>
    <x v="63"/>
    <n v="2026"/>
    <x v="9"/>
    <x v="0"/>
    <s v="RX"/>
    <s v="IUDs Cu &amp; IUS &amp; IUB"/>
    <x v="63"/>
    <n v="0"/>
  </r>
  <r>
    <x v="63"/>
    <n v="2026"/>
    <x v="10"/>
    <x v="0"/>
    <s v="RX"/>
    <s v="IUDs Cu &amp; IUS &amp; IUB"/>
    <x v="63"/>
    <n v="0"/>
  </r>
  <r>
    <x v="63"/>
    <n v="2026"/>
    <x v="11"/>
    <x v="0"/>
    <s v="RX"/>
    <s v="IUDs Cu &amp; IUS &amp; IUB"/>
    <x v="63"/>
    <n v="0"/>
  </r>
  <r>
    <x v="64"/>
    <n v="2026"/>
    <x v="0"/>
    <x v="0"/>
    <s v="RX"/>
    <s v="Hysterometer"/>
    <x v="64"/>
    <n v="6000"/>
  </r>
  <r>
    <x v="64"/>
    <n v="2026"/>
    <x v="1"/>
    <x v="0"/>
    <s v="RX"/>
    <s v="Hysterometer"/>
    <x v="64"/>
    <n v="1600"/>
  </r>
  <r>
    <x v="64"/>
    <n v="2026"/>
    <x v="2"/>
    <x v="0"/>
    <s v="RX"/>
    <s v="Hysterometer"/>
    <x v="64"/>
    <n v="8072"/>
  </r>
  <r>
    <x v="64"/>
    <n v="2026"/>
    <x v="3"/>
    <x v="0"/>
    <s v="RX"/>
    <s v="Hysterometer"/>
    <x v="64"/>
    <n v="1200"/>
  </r>
  <r>
    <x v="64"/>
    <n v="2026"/>
    <x v="4"/>
    <x v="0"/>
    <s v="RX"/>
    <s v="Hysterometer"/>
    <x v="64"/>
    <n v="1200"/>
  </r>
  <r>
    <x v="64"/>
    <n v="2026"/>
    <x v="5"/>
    <x v="0"/>
    <s v="RX"/>
    <s v="Hysterometer"/>
    <x v="64"/>
    <n v="2000"/>
  </r>
  <r>
    <x v="64"/>
    <n v="2026"/>
    <x v="6"/>
    <x v="0"/>
    <s v="RX"/>
    <s v="Hysterometer"/>
    <x v="64"/>
    <n v="0"/>
  </r>
  <r>
    <x v="64"/>
    <n v="2026"/>
    <x v="7"/>
    <x v="0"/>
    <s v="RX"/>
    <s v="Hysterometer"/>
    <x v="64"/>
    <n v="0"/>
  </r>
  <r>
    <x v="64"/>
    <n v="2026"/>
    <x v="8"/>
    <x v="0"/>
    <s v="RX"/>
    <s v="Hysterometer"/>
    <x v="64"/>
    <n v="0"/>
  </r>
  <r>
    <x v="64"/>
    <n v="2026"/>
    <x v="9"/>
    <x v="0"/>
    <s v="RX"/>
    <s v="Hysterometer"/>
    <x v="64"/>
    <n v="0"/>
  </r>
  <r>
    <x v="64"/>
    <n v="2026"/>
    <x v="10"/>
    <x v="0"/>
    <s v="RX"/>
    <s v="Hysterometer"/>
    <x v="64"/>
    <n v="0"/>
  </r>
  <r>
    <x v="64"/>
    <n v="2026"/>
    <x v="11"/>
    <x v="0"/>
    <s v="RX"/>
    <s v="Hysterometer"/>
    <x v="64"/>
    <n v="0"/>
  </r>
  <r>
    <x v="65"/>
    <n v="2026"/>
    <x v="0"/>
    <x v="0"/>
    <s v="RX"/>
    <s v="Injetable"/>
    <x v="65"/>
    <n v="500"/>
  </r>
  <r>
    <x v="65"/>
    <n v="2026"/>
    <x v="1"/>
    <x v="0"/>
    <s v="RX"/>
    <s v="Injetable"/>
    <x v="65"/>
    <n v="500"/>
  </r>
  <r>
    <x v="65"/>
    <n v="2026"/>
    <x v="2"/>
    <x v="0"/>
    <s v="RX"/>
    <s v="Injetable"/>
    <x v="65"/>
    <n v="1000"/>
  </r>
  <r>
    <x v="65"/>
    <n v="2026"/>
    <x v="3"/>
    <x v="0"/>
    <s v="RX"/>
    <s v="Injetable"/>
    <x v="65"/>
    <n v="1000"/>
  </r>
  <r>
    <x v="65"/>
    <n v="2026"/>
    <x v="4"/>
    <x v="0"/>
    <s v="RX"/>
    <s v="Injetable"/>
    <x v="65"/>
    <n v="1000"/>
  </r>
  <r>
    <x v="65"/>
    <n v="2026"/>
    <x v="5"/>
    <x v="0"/>
    <s v="RX"/>
    <s v="Injetable"/>
    <x v="65"/>
    <n v="1000"/>
  </r>
  <r>
    <x v="65"/>
    <n v="2026"/>
    <x v="6"/>
    <x v="0"/>
    <s v="RX"/>
    <s v="Injetable"/>
    <x v="65"/>
    <n v="0"/>
  </r>
  <r>
    <x v="65"/>
    <n v="2026"/>
    <x v="7"/>
    <x v="0"/>
    <s v="RX"/>
    <s v="Injetable"/>
    <x v="65"/>
    <n v="0"/>
  </r>
  <r>
    <x v="65"/>
    <n v="2026"/>
    <x v="8"/>
    <x v="0"/>
    <s v="RX"/>
    <s v="Injetable"/>
    <x v="65"/>
    <n v="0"/>
  </r>
  <r>
    <x v="65"/>
    <n v="2026"/>
    <x v="9"/>
    <x v="0"/>
    <s v="RX"/>
    <s v="Injetable"/>
    <x v="65"/>
    <n v="0"/>
  </r>
  <r>
    <x v="65"/>
    <n v="2026"/>
    <x v="10"/>
    <x v="0"/>
    <s v="RX"/>
    <s v="Injetable"/>
    <x v="65"/>
    <n v="0"/>
  </r>
  <r>
    <x v="65"/>
    <n v="2026"/>
    <x v="11"/>
    <x v="0"/>
    <s v="RX"/>
    <s v="Injetable"/>
    <x v="65"/>
    <n v="0"/>
  </r>
  <r>
    <x v="66"/>
    <n v="2026"/>
    <x v="0"/>
    <x v="0"/>
    <s v="RX"/>
    <s v="EC"/>
    <x v="66"/>
    <n v="60000"/>
  </r>
  <r>
    <x v="66"/>
    <n v="2026"/>
    <x v="1"/>
    <x v="0"/>
    <s v="RX"/>
    <s v="EC"/>
    <x v="66"/>
    <n v="60000"/>
  </r>
  <r>
    <x v="66"/>
    <n v="2026"/>
    <x v="2"/>
    <x v="0"/>
    <s v="RX"/>
    <s v="EC"/>
    <x v="66"/>
    <n v="496000"/>
  </r>
  <r>
    <x v="66"/>
    <n v="2026"/>
    <x v="3"/>
    <x v="0"/>
    <s v="RX"/>
    <s v="EC"/>
    <x v="66"/>
    <n v="124000"/>
  </r>
  <r>
    <x v="66"/>
    <n v="2026"/>
    <x v="4"/>
    <x v="0"/>
    <s v="RX"/>
    <s v="EC"/>
    <x v="66"/>
    <n v="360000"/>
  </r>
  <r>
    <x v="66"/>
    <n v="2026"/>
    <x v="5"/>
    <x v="0"/>
    <s v="RX"/>
    <s v="EC"/>
    <x v="66"/>
    <n v="124000"/>
  </r>
  <r>
    <x v="66"/>
    <n v="2026"/>
    <x v="6"/>
    <x v="0"/>
    <s v="RX"/>
    <s v="EC"/>
    <x v="66"/>
    <n v="0"/>
  </r>
  <r>
    <x v="66"/>
    <n v="2026"/>
    <x v="7"/>
    <x v="0"/>
    <s v="RX"/>
    <s v="EC"/>
    <x v="66"/>
    <n v="0"/>
  </r>
  <r>
    <x v="66"/>
    <n v="2026"/>
    <x v="8"/>
    <x v="0"/>
    <s v="RX"/>
    <s v="EC"/>
    <x v="66"/>
    <n v="0"/>
  </r>
  <r>
    <x v="66"/>
    <n v="2026"/>
    <x v="9"/>
    <x v="0"/>
    <s v="RX"/>
    <s v="EC"/>
    <x v="66"/>
    <n v="0"/>
  </r>
  <r>
    <x v="66"/>
    <n v="2026"/>
    <x v="10"/>
    <x v="0"/>
    <s v="RX"/>
    <s v="EC"/>
    <x v="66"/>
    <n v="0"/>
  </r>
  <r>
    <x v="66"/>
    <n v="2026"/>
    <x v="11"/>
    <x v="0"/>
    <s v="RX"/>
    <s v="EC"/>
    <x v="66"/>
    <n v="0"/>
  </r>
  <r>
    <x v="0"/>
    <n v="2026"/>
    <x v="0"/>
    <x v="1"/>
    <s v="Preservativo Masculino"/>
    <s v="Básico"/>
    <x v="0"/>
    <n v="11693"/>
  </r>
  <r>
    <x v="0"/>
    <n v="2026"/>
    <x v="1"/>
    <x v="1"/>
    <s v="Preservativo Masculino"/>
    <s v="Básico"/>
    <x v="0"/>
    <n v="6420"/>
  </r>
  <r>
    <x v="0"/>
    <n v="2026"/>
    <x v="2"/>
    <x v="1"/>
    <s v="Preservativo Masculino"/>
    <s v="Básico"/>
    <x v="0"/>
    <n v="14865"/>
  </r>
  <r>
    <x v="0"/>
    <n v="2026"/>
    <x v="3"/>
    <x v="1"/>
    <s v="Preservativo Masculino"/>
    <s v="Básico"/>
    <x v="0"/>
    <n v="10838.27706"/>
  </r>
  <r>
    <x v="0"/>
    <n v="2026"/>
    <x v="4"/>
    <x v="1"/>
    <s v="Preservativo Masculino"/>
    <s v="Básico"/>
    <x v="0"/>
    <n v="1042.7689800000003"/>
  </r>
  <r>
    <x v="0"/>
    <n v="2026"/>
    <x v="5"/>
    <x v="1"/>
    <s v="Preservativo Masculino"/>
    <s v="Básico"/>
    <x v="0"/>
    <n v="19338.423839999999"/>
  </r>
  <r>
    <x v="0"/>
    <n v="2026"/>
    <x v="6"/>
    <x v="1"/>
    <s v="Preservativo Masculino"/>
    <s v="Básico"/>
    <x v="0"/>
    <n v="30468.65652"/>
  </r>
  <r>
    <x v="0"/>
    <n v="2026"/>
    <x v="7"/>
    <x v="1"/>
    <s v="Preservativo Masculino"/>
    <s v="Básico"/>
    <x v="0"/>
    <n v="33153.040200000003"/>
  </r>
  <r>
    <x v="0"/>
    <n v="2026"/>
    <x v="8"/>
    <x v="1"/>
    <s v="Preservativo Masculino"/>
    <s v="Básico"/>
    <x v="0"/>
    <n v="31153.040199999999"/>
  </r>
  <r>
    <x v="0"/>
    <n v="2026"/>
    <x v="9"/>
    <x v="1"/>
    <s v="Preservativo Masculino"/>
    <s v="Básico"/>
    <x v="0"/>
    <n v="38153.040200000003"/>
  </r>
  <r>
    <x v="0"/>
    <n v="2026"/>
    <x v="10"/>
    <x v="1"/>
    <s v="Preservativo Masculino"/>
    <s v="Básico"/>
    <x v="0"/>
    <n v="43353.040200000003"/>
  </r>
  <r>
    <x v="0"/>
    <n v="2026"/>
    <x v="11"/>
    <x v="1"/>
    <s v="Preservativo Masculino"/>
    <s v="Básico"/>
    <x v="0"/>
    <n v="42553.040200000003"/>
  </r>
  <r>
    <x v="1"/>
    <n v="2026"/>
    <x v="0"/>
    <x v="1"/>
    <s v="Preservativo Masculino"/>
    <s v="Básico"/>
    <x v="1"/>
    <n v="3669.96"/>
  </r>
  <r>
    <x v="1"/>
    <n v="2026"/>
    <x v="1"/>
    <x v="1"/>
    <s v="Preservativo Masculino"/>
    <s v="Básico"/>
    <x v="1"/>
    <n v="3940"/>
  </r>
  <r>
    <x v="1"/>
    <n v="2026"/>
    <x v="2"/>
    <x v="1"/>
    <s v="Preservativo Masculino"/>
    <s v="Básico"/>
    <x v="1"/>
    <n v="39906"/>
  </r>
  <r>
    <x v="1"/>
    <n v="2026"/>
    <x v="3"/>
    <x v="1"/>
    <s v="Preservativo Masculino"/>
    <s v="Básico"/>
    <x v="1"/>
    <n v="33012"/>
  </r>
  <r>
    <x v="1"/>
    <n v="2026"/>
    <x v="4"/>
    <x v="1"/>
    <s v="Preservativo Masculino"/>
    <s v="Básico"/>
    <x v="1"/>
    <n v="20834"/>
  </r>
  <r>
    <x v="1"/>
    <n v="2026"/>
    <x v="5"/>
    <x v="1"/>
    <s v="Preservativo Masculino"/>
    <s v="Básico"/>
    <x v="1"/>
    <n v="24415"/>
  </r>
  <r>
    <x v="1"/>
    <n v="2026"/>
    <x v="6"/>
    <x v="1"/>
    <s v="Preservativo Masculino"/>
    <s v="Básico"/>
    <x v="1"/>
    <n v="27652"/>
  </r>
  <r>
    <x v="1"/>
    <n v="2026"/>
    <x v="7"/>
    <x v="1"/>
    <s v="Preservativo Masculino"/>
    <s v="Básico"/>
    <x v="1"/>
    <n v="35379"/>
  </r>
  <r>
    <x v="1"/>
    <n v="2026"/>
    <x v="8"/>
    <x v="1"/>
    <s v="Preservativo Masculino"/>
    <s v="Básico"/>
    <x v="1"/>
    <n v="61621"/>
  </r>
  <r>
    <x v="1"/>
    <n v="2026"/>
    <x v="9"/>
    <x v="1"/>
    <s v="Preservativo Masculino"/>
    <s v="Básico"/>
    <x v="1"/>
    <n v="75847"/>
  </r>
  <r>
    <x v="1"/>
    <n v="2026"/>
    <x v="10"/>
    <x v="1"/>
    <s v="Preservativo Masculino"/>
    <s v="Básico"/>
    <x v="1"/>
    <n v="49847"/>
  </r>
  <r>
    <x v="1"/>
    <n v="2026"/>
    <x v="11"/>
    <x v="1"/>
    <s v="Preservativo Masculino"/>
    <s v="Básico"/>
    <x v="1"/>
    <n v="44847"/>
  </r>
  <r>
    <x v="2"/>
    <n v="2026"/>
    <x v="0"/>
    <x v="1"/>
    <s v="Preservativo Masculino"/>
    <s v="Básico"/>
    <x v="2"/>
    <n v="0"/>
  </r>
  <r>
    <x v="2"/>
    <n v="2026"/>
    <x v="1"/>
    <x v="1"/>
    <s v="Preservativo Masculino"/>
    <s v="Básico"/>
    <x v="2"/>
    <n v="1943"/>
  </r>
  <r>
    <x v="2"/>
    <n v="2026"/>
    <x v="2"/>
    <x v="1"/>
    <s v="Preservativo Masculino"/>
    <s v="Básico"/>
    <x v="2"/>
    <n v="27923"/>
  </r>
  <r>
    <x v="2"/>
    <n v="2026"/>
    <x v="3"/>
    <x v="1"/>
    <s v="Preservativo Masculino"/>
    <s v="Básico"/>
    <x v="2"/>
    <n v="28992"/>
  </r>
  <r>
    <x v="2"/>
    <n v="2026"/>
    <x v="4"/>
    <x v="1"/>
    <s v="Preservativo Masculino"/>
    <s v="Básico"/>
    <x v="2"/>
    <n v="17219"/>
  </r>
  <r>
    <x v="2"/>
    <n v="2026"/>
    <x v="5"/>
    <x v="1"/>
    <s v="Preservativo Masculino"/>
    <s v="Básico"/>
    <x v="2"/>
    <n v="12734"/>
  </r>
  <r>
    <x v="2"/>
    <n v="2026"/>
    <x v="6"/>
    <x v="1"/>
    <s v="Preservativo Masculino"/>
    <s v="Básico"/>
    <x v="2"/>
    <n v="8003"/>
  </r>
  <r>
    <x v="2"/>
    <n v="2026"/>
    <x v="7"/>
    <x v="1"/>
    <s v="Preservativo Masculino"/>
    <s v="Básico"/>
    <x v="2"/>
    <n v="16379"/>
  </r>
  <r>
    <x v="2"/>
    <n v="2026"/>
    <x v="8"/>
    <x v="1"/>
    <s v="Preservativo Masculino"/>
    <s v="Básico"/>
    <x v="2"/>
    <n v="16413"/>
  </r>
  <r>
    <x v="2"/>
    <n v="2026"/>
    <x v="9"/>
    <x v="1"/>
    <s v="Preservativo Masculino"/>
    <s v="Básico"/>
    <x v="2"/>
    <n v="32198"/>
  </r>
  <r>
    <x v="2"/>
    <n v="2026"/>
    <x v="10"/>
    <x v="1"/>
    <s v="Preservativo Masculino"/>
    <s v="Básico"/>
    <x v="2"/>
    <n v="17598"/>
  </r>
  <r>
    <x v="2"/>
    <n v="2026"/>
    <x v="11"/>
    <x v="1"/>
    <s v="Preservativo Masculino"/>
    <s v="Básico"/>
    <x v="2"/>
    <n v="14998"/>
  </r>
  <r>
    <x v="3"/>
    <n v="2026"/>
    <x v="0"/>
    <x v="1"/>
    <s v="Preservativo Masculino"/>
    <s v="Cores e Sabores"/>
    <x v="3"/>
    <n v="2983.75"/>
  </r>
  <r>
    <x v="3"/>
    <n v="2026"/>
    <x v="1"/>
    <x v="1"/>
    <s v="Preservativo Masculino"/>
    <s v="Cores e Sabores"/>
    <x v="3"/>
    <n v="4614"/>
  </r>
  <r>
    <x v="3"/>
    <n v="2026"/>
    <x v="2"/>
    <x v="1"/>
    <s v="Preservativo Masculino"/>
    <s v="Cores e Sabores"/>
    <x v="3"/>
    <n v="10456"/>
  </r>
  <r>
    <x v="3"/>
    <n v="2026"/>
    <x v="3"/>
    <x v="1"/>
    <s v="Preservativo Masculino"/>
    <s v="Cores e Sabores"/>
    <x v="3"/>
    <n v="11364"/>
  </r>
  <r>
    <x v="3"/>
    <n v="2026"/>
    <x v="4"/>
    <x v="1"/>
    <s v="Preservativo Masculino"/>
    <s v="Cores e Sabores"/>
    <x v="3"/>
    <n v="2317"/>
  </r>
  <r>
    <x v="3"/>
    <n v="2026"/>
    <x v="5"/>
    <x v="1"/>
    <s v="Preservativo Masculino"/>
    <s v="Cores e Sabores"/>
    <x v="3"/>
    <n v="5697"/>
  </r>
  <r>
    <x v="3"/>
    <n v="2026"/>
    <x v="6"/>
    <x v="1"/>
    <s v="Preservativo Masculino"/>
    <s v="Cores e Sabores"/>
    <x v="3"/>
    <n v="5706"/>
  </r>
  <r>
    <x v="3"/>
    <n v="2026"/>
    <x v="7"/>
    <x v="1"/>
    <s v="Preservativo Masculino"/>
    <s v="Cores e Sabores"/>
    <x v="3"/>
    <n v="16699"/>
  </r>
  <r>
    <x v="3"/>
    <n v="2026"/>
    <x v="8"/>
    <x v="1"/>
    <s v="Preservativo Masculino"/>
    <s v="Cores e Sabores"/>
    <x v="3"/>
    <n v="16279"/>
  </r>
  <r>
    <x v="3"/>
    <n v="2026"/>
    <x v="9"/>
    <x v="1"/>
    <s v="Preservativo Masculino"/>
    <s v="Cores e Sabores"/>
    <x v="3"/>
    <n v="24225"/>
  </r>
  <r>
    <x v="3"/>
    <n v="2026"/>
    <x v="10"/>
    <x v="1"/>
    <s v="Preservativo Masculino"/>
    <s v="Cores e Sabores"/>
    <x v="3"/>
    <n v="22225"/>
  </r>
  <r>
    <x v="3"/>
    <n v="2026"/>
    <x v="11"/>
    <x v="1"/>
    <s v="Preservativo Masculino"/>
    <s v="Cores e Sabores"/>
    <x v="3"/>
    <n v="11225"/>
  </r>
  <r>
    <x v="4"/>
    <n v="2026"/>
    <x v="0"/>
    <x v="1"/>
    <s v="Preservativo Masculino"/>
    <s v="Cores e Sabores"/>
    <x v="4"/>
    <n v="1463"/>
  </r>
  <r>
    <x v="4"/>
    <n v="2026"/>
    <x v="1"/>
    <x v="1"/>
    <s v="Preservativo Masculino"/>
    <s v="Cores e Sabores"/>
    <x v="4"/>
    <n v="2153"/>
  </r>
  <r>
    <x v="4"/>
    <n v="2026"/>
    <x v="2"/>
    <x v="1"/>
    <s v="Preservativo Masculino"/>
    <s v="Cores e Sabores"/>
    <x v="4"/>
    <n v="8968"/>
  </r>
  <r>
    <x v="4"/>
    <n v="2026"/>
    <x v="3"/>
    <x v="1"/>
    <s v="Preservativo Masculino"/>
    <s v="Cores e Sabores"/>
    <x v="4"/>
    <n v="8138.76"/>
  </r>
  <r>
    <x v="4"/>
    <n v="2026"/>
    <x v="4"/>
    <x v="1"/>
    <s v="Preservativo Masculino"/>
    <s v="Cores e Sabores"/>
    <x v="4"/>
    <n v="4899.8540000000003"/>
  </r>
  <r>
    <x v="4"/>
    <n v="2026"/>
    <x v="5"/>
    <x v="1"/>
    <s v="Preservativo Masculino"/>
    <s v="Cores e Sabores"/>
    <x v="4"/>
    <n v="7471.2840000000006"/>
  </r>
  <r>
    <x v="4"/>
    <n v="2026"/>
    <x v="6"/>
    <x v="1"/>
    <s v="Preservativo Masculino"/>
    <s v="Cores e Sabores"/>
    <x v="4"/>
    <n v="7650.8830000000007"/>
  </r>
  <r>
    <x v="4"/>
    <n v="2026"/>
    <x v="7"/>
    <x v="1"/>
    <s v="Preservativo Masculino"/>
    <s v="Cores e Sabores"/>
    <x v="4"/>
    <n v="8155.103000000001"/>
  </r>
  <r>
    <x v="4"/>
    <n v="2026"/>
    <x v="8"/>
    <x v="1"/>
    <s v="Preservativo Masculino"/>
    <s v="Cores e Sabores"/>
    <x v="4"/>
    <n v="8517.2330000000002"/>
  </r>
  <r>
    <x v="4"/>
    <n v="2026"/>
    <x v="9"/>
    <x v="1"/>
    <s v="Preservativo Masculino"/>
    <s v="Cores e Sabores"/>
    <x v="4"/>
    <n v="12866.227999999999"/>
  </r>
  <r>
    <x v="4"/>
    <n v="2026"/>
    <x v="10"/>
    <x v="1"/>
    <s v="Preservativo Masculino"/>
    <s v="Cores e Sabores"/>
    <x v="4"/>
    <n v="6788.4539999999997"/>
  </r>
  <r>
    <x v="4"/>
    <n v="2026"/>
    <x v="11"/>
    <x v="1"/>
    <s v="Preservativo Masculino"/>
    <s v="Cores e Sabores"/>
    <x v="4"/>
    <n v="9042.9140000000007"/>
  </r>
  <r>
    <x v="5"/>
    <n v="2026"/>
    <x v="0"/>
    <x v="1"/>
    <s v="Preservativo Masculino"/>
    <s v="Cores e Sabores"/>
    <x v="5"/>
    <n v="3006"/>
  </r>
  <r>
    <x v="5"/>
    <n v="2026"/>
    <x v="1"/>
    <x v="1"/>
    <s v="Preservativo Masculino"/>
    <s v="Cores e Sabores"/>
    <x v="5"/>
    <n v="2241"/>
  </r>
  <r>
    <x v="5"/>
    <n v="2026"/>
    <x v="2"/>
    <x v="1"/>
    <s v="Preservativo Masculino"/>
    <s v="Cores e Sabores"/>
    <x v="5"/>
    <n v="3777"/>
  </r>
  <r>
    <x v="5"/>
    <n v="2026"/>
    <x v="3"/>
    <x v="1"/>
    <s v="Preservativo Masculino"/>
    <s v="Cores e Sabores"/>
    <x v="5"/>
    <n v="4224"/>
  </r>
  <r>
    <x v="5"/>
    <n v="2026"/>
    <x v="4"/>
    <x v="1"/>
    <s v="Preservativo Masculino"/>
    <s v="Cores e Sabores"/>
    <x v="5"/>
    <n v="0"/>
  </r>
  <r>
    <x v="5"/>
    <n v="2026"/>
    <x v="5"/>
    <x v="1"/>
    <s v="Preservativo Masculino"/>
    <s v="Cores e Sabores"/>
    <x v="5"/>
    <n v="0"/>
  </r>
  <r>
    <x v="5"/>
    <n v="2026"/>
    <x v="6"/>
    <x v="1"/>
    <s v="Preservativo Masculino"/>
    <s v="Cores e Sabores"/>
    <x v="5"/>
    <n v="0"/>
  </r>
  <r>
    <x v="5"/>
    <n v="2026"/>
    <x v="7"/>
    <x v="1"/>
    <s v="Preservativo Masculino"/>
    <s v="Cores e Sabores"/>
    <x v="5"/>
    <n v="15488"/>
  </r>
  <r>
    <x v="5"/>
    <n v="2026"/>
    <x v="8"/>
    <x v="1"/>
    <s v="Preservativo Masculino"/>
    <s v="Cores e Sabores"/>
    <x v="5"/>
    <n v="11117"/>
  </r>
  <r>
    <x v="5"/>
    <n v="2026"/>
    <x v="9"/>
    <x v="1"/>
    <s v="Preservativo Masculino"/>
    <s v="Cores e Sabores"/>
    <x v="5"/>
    <n v="18576"/>
  </r>
  <r>
    <x v="5"/>
    <n v="2026"/>
    <x v="10"/>
    <x v="1"/>
    <s v="Preservativo Masculino"/>
    <s v="Cores e Sabores"/>
    <x v="5"/>
    <n v="9576"/>
  </r>
  <r>
    <x v="5"/>
    <n v="2026"/>
    <x v="11"/>
    <x v="1"/>
    <s v="Preservativo Masculino"/>
    <s v="Cores e Sabores"/>
    <x v="5"/>
    <n v="18576"/>
  </r>
  <r>
    <x v="6"/>
    <n v="2026"/>
    <x v="0"/>
    <x v="1"/>
    <s v="Preservativo Masculino"/>
    <s v="Cores e Sabores"/>
    <x v="6"/>
    <n v="1080"/>
  </r>
  <r>
    <x v="6"/>
    <n v="2026"/>
    <x v="1"/>
    <x v="1"/>
    <s v="Preservativo Masculino"/>
    <s v="Cores e Sabores"/>
    <x v="6"/>
    <n v="662"/>
  </r>
  <r>
    <x v="6"/>
    <n v="2026"/>
    <x v="2"/>
    <x v="1"/>
    <s v="Preservativo Masculino"/>
    <s v="Cores e Sabores"/>
    <x v="6"/>
    <n v="6645"/>
  </r>
  <r>
    <x v="6"/>
    <n v="2026"/>
    <x v="3"/>
    <x v="1"/>
    <s v="Preservativo Masculino"/>
    <s v="Cores e Sabores"/>
    <x v="6"/>
    <n v="9924.6939999999995"/>
  </r>
  <r>
    <x v="6"/>
    <n v="2026"/>
    <x v="4"/>
    <x v="1"/>
    <s v="Preservativo Masculino"/>
    <s v="Cores e Sabores"/>
    <x v="6"/>
    <n v="5327.9349999999995"/>
  </r>
  <r>
    <x v="6"/>
    <n v="2026"/>
    <x v="5"/>
    <x v="1"/>
    <s v="Preservativo Masculino"/>
    <s v="Cores e Sabores"/>
    <x v="6"/>
    <n v="4757.3889999999992"/>
  </r>
  <r>
    <x v="6"/>
    <n v="2026"/>
    <x v="6"/>
    <x v="1"/>
    <s v="Preservativo Masculino"/>
    <s v="Cores e Sabores"/>
    <x v="6"/>
    <n v="4105.9609999999993"/>
  </r>
  <r>
    <x v="6"/>
    <n v="2026"/>
    <x v="7"/>
    <x v="1"/>
    <s v="Preservativo Masculino"/>
    <s v="Cores e Sabores"/>
    <x v="6"/>
    <n v="3552.9029999999993"/>
  </r>
  <r>
    <x v="6"/>
    <n v="2026"/>
    <x v="8"/>
    <x v="1"/>
    <s v="Preservativo Masculino"/>
    <s v="Cores e Sabores"/>
    <x v="6"/>
    <n v="2905.8469999999993"/>
  </r>
  <r>
    <x v="6"/>
    <n v="2026"/>
    <x v="9"/>
    <x v="1"/>
    <s v="Preservativo Masculino"/>
    <s v="Cores e Sabores"/>
    <x v="6"/>
    <n v="2254.4189999999994"/>
  </r>
  <r>
    <x v="6"/>
    <n v="2026"/>
    <x v="10"/>
    <x v="1"/>
    <s v="Preservativo Masculino"/>
    <s v="Cores e Sabores"/>
    <x v="6"/>
    <n v="5768.0149999999994"/>
  </r>
  <r>
    <x v="6"/>
    <n v="2026"/>
    <x v="11"/>
    <x v="1"/>
    <s v="Preservativo Masculino"/>
    <s v="Cores e Sabores"/>
    <x v="6"/>
    <n v="2973.96"/>
  </r>
  <r>
    <x v="7"/>
    <n v="2026"/>
    <x v="0"/>
    <x v="1"/>
    <s v="Preservativo Masculino"/>
    <s v="Cores e Sabores"/>
    <x v="7"/>
    <n v="1437"/>
  </r>
  <r>
    <x v="7"/>
    <n v="2026"/>
    <x v="1"/>
    <x v="1"/>
    <s v="Preservativo Masculino"/>
    <s v="Cores e Sabores"/>
    <x v="7"/>
    <n v="3346"/>
  </r>
  <r>
    <x v="7"/>
    <n v="2026"/>
    <x v="2"/>
    <x v="1"/>
    <s v="Preservativo Masculino"/>
    <s v="Cores e Sabores"/>
    <x v="7"/>
    <n v="10478"/>
  </r>
  <r>
    <x v="7"/>
    <n v="2026"/>
    <x v="3"/>
    <x v="1"/>
    <s v="Preservativo Masculino"/>
    <s v="Cores e Sabores"/>
    <x v="7"/>
    <n v="9569.4320000000007"/>
  </r>
  <r>
    <x v="7"/>
    <n v="2026"/>
    <x v="4"/>
    <x v="1"/>
    <s v="Preservativo Masculino"/>
    <s v="Cores e Sabores"/>
    <x v="7"/>
    <n v="5119.0209999999997"/>
  </r>
  <r>
    <x v="7"/>
    <n v="2026"/>
    <x v="5"/>
    <x v="1"/>
    <s v="Preservativo Masculino"/>
    <s v="Cores e Sabores"/>
    <x v="7"/>
    <n v="3089.3199999999997"/>
  </r>
  <r>
    <x v="7"/>
    <n v="2026"/>
    <x v="6"/>
    <x v="1"/>
    <s v="Preservativo Masculino"/>
    <s v="Cores e Sabores"/>
    <x v="7"/>
    <n v="643.18599999999969"/>
  </r>
  <r>
    <x v="7"/>
    <n v="2026"/>
    <x v="7"/>
    <x v="1"/>
    <s v="Preservativo Masculino"/>
    <s v="Cores e Sabores"/>
    <x v="7"/>
    <n v="10595.996999999999"/>
  </r>
  <r>
    <x v="7"/>
    <n v="2026"/>
    <x v="8"/>
    <x v="1"/>
    <s v="Preservativo Masculino"/>
    <s v="Cores e Sabores"/>
    <x v="7"/>
    <n v="14441.694"/>
  </r>
  <r>
    <x v="7"/>
    <n v="2026"/>
    <x v="9"/>
    <x v="1"/>
    <s v="Preservativo Masculino"/>
    <s v="Cores e Sabores"/>
    <x v="7"/>
    <n v="5880.7950000000001"/>
  </r>
  <r>
    <x v="7"/>
    <n v="2026"/>
    <x v="10"/>
    <x v="1"/>
    <s v="Preservativo Masculino"/>
    <s v="Cores e Sabores"/>
    <x v="7"/>
    <n v="14880.795"/>
  </r>
  <r>
    <x v="7"/>
    <n v="2026"/>
    <x v="11"/>
    <x v="1"/>
    <s v="Preservativo Masculino"/>
    <s v="Cores e Sabores"/>
    <x v="7"/>
    <n v="11880.795"/>
  </r>
  <r>
    <x v="8"/>
    <n v="2026"/>
    <x v="0"/>
    <x v="1"/>
    <s v="Preservativo Masculino"/>
    <s v="Cores e Sabores"/>
    <x v="8"/>
    <n v="1094"/>
  </r>
  <r>
    <x v="8"/>
    <n v="2026"/>
    <x v="1"/>
    <x v="1"/>
    <s v="Preservativo Masculino"/>
    <s v="Cores e Sabores"/>
    <x v="8"/>
    <n v="1379"/>
  </r>
  <r>
    <x v="8"/>
    <n v="2026"/>
    <x v="2"/>
    <x v="1"/>
    <s v="Preservativo Masculino"/>
    <s v="Cores e Sabores"/>
    <x v="8"/>
    <n v="1287"/>
  </r>
  <r>
    <x v="8"/>
    <n v="2026"/>
    <x v="3"/>
    <x v="1"/>
    <s v="Preservativo Masculino"/>
    <s v="Cores e Sabores"/>
    <x v="8"/>
    <n v="0"/>
  </r>
  <r>
    <x v="8"/>
    <n v="2026"/>
    <x v="4"/>
    <x v="1"/>
    <s v="Preservativo Masculino"/>
    <s v="Cores e Sabores"/>
    <x v="8"/>
    <n v="0"/>
  </r>
  <r>
    <x v="8"/>
    <n v="2026"/>
    <x v="5"/>
    <x v="1"/>
    <s v="Preservativo Masculino"/>
    <s v="Cores e Sabores"/>
    <x v="8"/>
    <n v="0"/>
  </r>
  <r>
    <x v="8"/>
    <n v="2026"/>
    <x v="6"/>
    <x v="1"/>
    <s v="Preservativo Masculino"/>
    <s v="Cores e Sabores"/>
    <x v="8"/>
    <n v="0"/>
  </r>
  <r>
    <x v="8"/>
    <n v="2026"/>
    <x v="7"/>
    <x v="1"/>
    <s v="Preservativo Masculino"/>
    <s v="Cores e Sabores"/>
    <x v="8"/>
    <n v="5182"/>
  </r>
  <r>
    <x v="8"/>
    <n v="2026"/>
    <x v="8"/>
    <x v="1"/>
    <s v="Preservativo Masculino"/>
    <s v="Cores e Sabores"/>
    <x v="8"/>
    <n v="7355"/>
  </r>
  <r>
    <x v="8"/>
    <n v="2026"/>
    <x v="9"/>
    <x v="1"/>
    <s v="Preservativo Masculino"/>
    <s v="Cores e Sabores"/>
    <x v="8"/>
    <n v="9731"/>
  </r>
  <r>
    <x v="8"/>
    <n v="2026"/>
    <x v="10"/>
    <x v="1"/>
    <s v="Preservativo Masculino"/>
    <s v="Cores e Sabores"/>
    <x v="8"/>
    <n v="5231"/>
  </r>
  <r>
    <x v="8"/>
    <n v="2026"/>
    <x v="11"/>
    <x v="1"/>
    <s v="Preservativo Masculino"/>
    <s v="Cores e Sabores"/>
    <x v="8"/>
    <n v="9731"/>
  </r>
  <r>
    <x v="9"/>
    <n v="2026"/>
    <x v="0"/>
    <x v="1"/>
    <s v="Preservativo Masculino"/>
    <s v="Cores e Sabores"/>
    <x v="9"/>
    <n v="1418"/>
  </r>
  <r>
    <x v="9"/>
    <n v="2026"/>
    <x v="1"/>
    <x v="1"/>
    <s v="Preservativo Masculino"/>
    <s v="Cores e Sabores"/>
    <x v="9"/>
    <n v="1956"/>
  </r>
  <r>
    <x v="9"/>
    <n v="2026"/>
    <x v="2"/>
    <x v="1"/>
    <s v="Preservativo Masculino"/>
    <s v="Cores e Sabores"/>
    <x v="9"/>
    <n v="1183"/>
  </r>
  <r>
    <x v="9"/>
    <n v="2026"/>
    <x v="3"/>
    <x v="1"/>
    <s v="Preservativo Masculino"/>
    <s v="Cores e Sabores"/>
    <x v="9"/>
    <n v="0"/>
  </r>
  <r>
    <x v="9"/>
    <n v="2026"/>
    <x v="4"/>
    <x v="1"/>
    <s v="Preservativo Masculino"/>
    <s v="Cores e Sabores"/>
    <x v="9"/>
    <n v="11053.462"/>
  </r>
  <r>
    <x v="9"/>
    <n v="2026"/>
    <x v="5"/>
    <x v="1"/>
    <s v="Preservativo Masculino"/>
    <s v="Cores e Sabores"/>
    <x v="9"/>
    <n v="3659.8869999999997"/>
  </r>
  <r>
    <x v="9"/>
    <n v="2026"/>
    <x v="6"/>
    <x v="1"/>
    <s v="Preservativo Masculino"/>
    <s v="Cores e Sabores"/>
    <x v="9"/>
    <n v="7901.25"/>
  </r>
  <r>
    <x v="9"/>
    <n v="2026"/>
    <x v="7"/>
    <x v="1"/>
    <s v="Preservativo Masculino"/>
    <s v="Cores e Sabores"/>
    <x v="9"/>
    <n v="15680.369000000001"/>
  </r>
  <r>
    <x v="9"/>
    <n v="2026"/>
    <x v="8"/>
    <x v="1"/>
    <s v="Preservativo Masculino"/>
    <s v="Cores e Sabores"/>
    <x v="9"/>
    <n v="8256.19"/>
  </r>
  <r>
    <x v="9"/>
    <n v="2026"/>
    <x v="9"/>
    <x v="1"/>
    <s v="Preservativo Masculino"/>
    <s v="Cores e Sabores"/>
    <x v="9"/>
    <n v="6546.7380000000003"/>
  </r>
  <r>
    <x v="9"/>
    <n v="2026"/>
    <x v="10"/>
    <x v="1"/>
    <s v="Preservativo Masculino"/>
    <s v="Cores e Sabores"/>
    <x v="9"/>
    <n v="4883.192"/>
  </r>
  <r>
    <x v="9"/>
    <n v="2026"/>
    <x v="11"/>
    <x v="1"/>
    <s v="Preservativo Masculino"/>
    <s v="Cores e Sabores"/>
    <x v="9"/>
    <n v="9476.5010000000002"/>
  </r>
  <r>
    <x v="10"/>
    <n v="2026"/>
    <x v="0"/>
    <x v="1"/>
    <s v="Preservativo Masculino"/>
    <s v="Cores e Sabores"/>
    <x v="10"/>
    <n v="559"/>
  </r>
  <r>
    <x v="10"/>
    <n v="2026"/>
    <x v="1"/>
    <x v="1"/>
    <s v="Preservativo Masculino"/>
    <s v="Cores e Sabores"/>
    <x v="10"/>
    <n v="821"/>
  </r>
  <r>
    <x v="10"/>
    <n v="2026"/>
    <x v="2"/>
    <x v="1"/>
    <s v="Preservativo Masculino"/>
    <s v="Cores e Sabores"/>
    <x v="10"/>
    <n v="2597"/>
  </r>
  <r>
    <x v="10"/>
    <n v="2026"/>
    <x v="3"/>
    <x v="1"/>
    <s v="Preservativo Masculino"/>
    <s v="Cores e Sabores"/>
    <x v="10"/>
    <n v="1672.3220000000001"/>
  </r>
  <r>
    <x v="10"/>
    <n v="2026"/>
    <x v="4"/>
    <x v="1"/>
    <s v="Preservativo Masculino"/>
    <s v="Cores e Sabores"/>
    <x v="10"/>
    <n v="1338.9570000000001"/>
  </r>
  <r>
    <x v="10"/>
    <n v="2026"/>
    <x v="5"/>
    <x v="1"/>
    <s v="Preservativo Masculino"/>
    <s v="Cores e Sabores"/>
    <x v="10"/>
    <n v="837.2700000000001"/>
  </r>
  <r>
    <x v="10"/>
    <n v="2026"/>
    <x v="6"/>
    <x v="1"/>
    <s v="Preservativo Masculino"/>
    <s v="Cores e Sabores"/>
    <x v="10"/>
    <n v="221.91100000000006"/>
  </r>
  <r>
    <x v="10"/>
    <n v="2026"/>
    <x v="7"/>
    <x v="1"/>
    <s v="Preservativo Masculino"/>
    <s v="Cores e Sabores"/>
    <x v="10"/>
    <n v="5690.7129999999997"/>
  </r>
  <r>
    <x v="10"/>
    <n v="2026"/>
    <x v="8"/>
    <x v="1"/>
    <s v="Preservativo Masculino"/>
    <s v="Cores e Sabores"/>
    <x v="10"/>
    <n v="2127.8180000000002"/>
  </r>
  <r>
    <x v="10"/>
    <n v="2026"/>
    <x v="9"/>
    <x v="1"/>
    <s v="Preservativo Masculino"/>
    <s v="Cores e Sabores"/>
    <x v="10"/>
    <n v="7416.2750000000005"/>
  </r>
  <r>
    <x v="10"/>
    <n v="2026"/>
    <x v="10"/>
    <x v="1"/>
    <s v="Preservativo Masculino"/>
    <s v="Cores e Sabores"/>
    <x v="10"/>
    <n v="3596.5250000000005"/>
  </r>
  <r>
    <x v="10"/>
    <n v="2026"/>
    <x v="11"/>
    <x v="1"/>
    <s v="Preservativo Masculino"/>
    <s v="Cores e Sabores"/>
    <x v="10"/>
    <n v="2975.7010000000005"/>
  </r>
  <r>
    <x v="11"/>
    <n v="2026"/>
    <x v="0"/>
    <x v="1"/>
    <s v="Preservativo Masculino"/>
    <s v="Cores e Sabores"/>
    <x v="11"/>
    <n v="2"/>
  </r>
  <r>
    <x v="11"/>
    <n v="2026"/>
    <x v="1"/>
    <x v="1"/>
    <s v="Preservativo Masculino"/>
    <s v="Cores e Sabores"/>
    <x v="11"/>
    <n v="2227"/>
  </r>
  <r>
    <x v="11"/>
    <n v="2026"/>
    <x v="2"/>
    <x v="1"/>
    <s v="Preservativo Masculino"/>
    <s v="Cores e Sabores"/>
    <x v="11"/>
    <n v="770"/>
  </r>
  <r>
    <x v="11"/>
    <n v="2026"/>
    <x v="3"/>
    <x v="1"/>
    <s v="Preservativo Masculino"/>
    <s v="Cores e Sabores"/>
    <x v="11"/>
    <n v="0"/>
  </r>
  <r>
    <x v="11"/>
    <n v="2026"/>
    <x v="4"/>
    <x v="1"/>
    <s v="Preservativo Masculino"/>
    <s v="Cores e Sabores"/>
    <x v="11"/>
    <n v="5597.7759999999998"/>
  </r>
  <r>
    <x v="11"/>
    <n v="2026"/>
    <x v="5"/>
    <x v="1"/>
    <s v="Preservativo Masculino"/>
    <s v="Cores e Sabores"/>
    <x v="11"/>
    <n v="1996.6259999999997"/>
  </r>
  <r>
    <x v="11"/>
    <n v="2026"/>
    <x v="6"/>
    <x v="1"/>
    <s v="Preservativo Masculino"/>
    <s v="Cores e Sabores"/>
    <x v="11"/>
    <n v="1296.0129999999997"/>
  </r>
  <r>
    <x v="11"/>
    <n v="2026"/>
    <x v="7"/>
    <x v="1"/>
    <s v="Preservativo Masculino"/>
    <s v="Cores e Sabores"/>
    <x v="11"/>
    <n v="705.79299999999967"/>
  </r>
  <r>
    <x v="11"/>
    <n v="2026"/>
    <x v="8"/>
    <x v="1"/>
    <s v="Preservativo Masculino"/>
    <s v="Cores e Sabores"/>
    <x v="11"/>
    <n v="6035.7839999999997"/>
  </r>
  <r>
    <x v="11"/>
    <n v="2026"/>
    <x v="9"/>
    <x v="1"/>
    <s v="Preservativo Masculino"/>
    <s v="Cores e Sabores"/>
    <x v="11"/>
    <n v="2233.5219999999999"/>
  </r>
  <r>
    <x v="11"/>
    <n v="2026"/>
    <x v="10"/>
    <x v="1"/>
    <s v="Preservativo Masculino"/>
    <s v="Cores e Sabores"/>
    <x v="11"/>
    <n v="1401.7489999999998"/>
  </r>
  <r>
    <x v="11"/>
    <n v="2026"/>
    <x v="11"/>
    <x v="1"/>
    <s v="Preservativo Masculino"/>
    <s v="Cores e Sabores"/>
    <x v="11"/>
    <n v="6621.3469999999998"/>
  </r>
  <r>
    <x v="12"/>
    <n v="2026"/>
    <x v="0"/>
    <x v="1"/>
    <s v="Preservativo Masculino"/>
    <s v="Cores e Sabores"/>
    <x v="12"/>
    <n v="1950"/>
  </r>
  <r>
    <x v="12"/>
    <n v="2026"/>
    <x v="1"/>
    <x v="1"/>
    <s v="Preservativo Masculino"/>
    <s v="Cores e Sabores"/>
    <x v="12"/>
    <n v="1883"/>
  </r>
  <r>
    <x v="12"/>
    <n v="2026"/>
    <x v="2"/>
    <x v="1"/>
    <s v="Preservativo Masculino"/>
    <s v="Cores e Sabores"/>
    <x v="12"/>
    <n v="2151"/>
  </r>
  <r>
    <x v="12"/>
    <n v="2026"/>
    <x v="3"/>
    <x v="1"/>
    <s v="Preservativo Masculino"/>
    <s v="Cores e Sabores"/>
    <x v="12"/>
    <n v="946.5139999999999"/>
  </r>
  <r>
    <x v="12"/>
    <n v="2026"/>
    <x v="4"/>
    <x v="1"/>
    <s v="Preservativo Masculino"/>
    <s v="Cores e Sabores"/>
    <x v="12"/>
    <n v="456.84999999999991"/>
  </r>
  <r>
    <x v="12"/>
    <n v="2026"/>
    <x v="5"/>
    <x v="1"/>
    <s v="Preservativo Masculino"/>
    <s v="Cores e Sabores"/>
    <x v="12"/>
    <n v="0"/>
  </r>
  <r>
    <x v="12"/>
    <n v="2026"/>
    <x v="6"/>
    <x v="1"/>
    <s v="Preservativo Masculino"/>
    <s v="Cores e Sabores"/>
    <x v="12"/>
    <n v="5121.2280000000001"/>
  </r>
  <r>
    <x v="12"/>
    <n v="2026"/>
    <x v="7"/>
    <x v="1"/>
    <s v="Preservativo Masculino"/>
    <s v="Cores e Sabores"/>
    <x v="12"/>
    <n v="1469.8000000000002"/>
  </r>
  <r>
    <x v="12"/>
    <n v="2026"/>
    <x v="8"/>
    <x v="1"/>
    <s v="Preservativo Masculino"/>
    <s v="Cores e Sabores"/>
    <x v="12"/>
    <n v="611.79500000000019"/>
  </r>
  <r>
    <x v="12"/>
    <n v="2026"/>
    <x v="9"/>
    <x v="1"/>
    <s v="Preservativo Masculino"/>
    <s v="Cores e Sabores"/>
    <x v="12"/>
    <n v="11741.767"/>
  </r>
  <r>
    <x v="12"/>
    <n v="2026"/>
    <x v="10"/>
    <x v="1"/>
    <s v="Preservativo Masculino"/>
    <s v="Cores e Sabores"/>
    <x v="12"/>
    <n v="4941.7669999999998"/>
  </r>
  <r>
    <x v="12"/>
    <n v="2026"/>
    <x v="11"/>
    <x v="1"/>
    <s v="Preservativo Masculino"/>
    <s v="Cores e Sabores"/>
    <x v="12"/>
    <n v="4141.7669999999998"/>
  </r>
  <r>
    <x v="13"/>
    <n v="2026"/>
    <x v="0"/>
    <x v="1"/>
    <s v="Preservativo Masculino"/>
    <s v="Cores e Sabores"/>
    <x v="13"/>
    <n v="823"/>
  </r>
  <r>
    <x v="13"/>
    <n v="2026"/>
    <x v="1"/>
    <x v="1"/>
    <s v="Preservativo Masculino"/>
    <s v="Cores e Sabores"/>
    <x v="13"/>
    <n v="1107"/>
  </r>
  <r>
    <x v="13"/>
    <n v="2026"/>
    <x v="2"/>
    <x v="1"/>
    <s v="Preservativo Masculino"/>
    <s v="Cores e Sabores"/>
    <x v="13"/>
    <n v="6123"/>
  </r>
  <r>
    <x v="13"/>
    <n v="2026"/>
    <x v="3"/>
    <x v="1"/>
    <s v="Preservativo Masculino"/>
    <s v="Cores e Sabores"/>
    <x v="13"/>
    <n v="5964"/>
  </r>
  <r>
    <x v="13"/>
    <n v="2026"/>
    <x v="4"/>
    <x v="1"/>
    <s v="Preservativo Masculino"/>
    <s v="Cores e Sabores"/>
    <x v="13"/>
    <n v="3935"/>
  </r>
  <r>
    <x v="13"/>
    <n v="2026"/>
    <x v="5"/>
    <x v="1"/>
    <s v="Preservativo Masculino"/>
    <s v="Cores e Sabores"/>
    <x v="13"/>
    <n v="2906"/>
  </r>
  <r>
    <x v="13"/>
    <n v="2026"/>
    <x v="6"/>
    <x v="1"/>
    <s v="Preservativo Masculino"/>
    <s v="Cores e Sabores"/>
    <x v="13"/>
    <n v="1105"/>
  </r>
  <r>
    <x v="13"/>
    <n v="2026"/>
    <x v="7"/>
    <x v="1"/>
    <s v="Preservativo Masculino"/>
    <s v="Cores e Sabores"/>
    <x v="13"/>
    <n v="0"/>
  </r>
  <r>
    <x v="13"/>
    <n v="2026"/>
    <x v="8"/>
    <x v="1"/>
    <s v="Preservativo Masculino"/>
    <s v="Cores e Sabores"/>
    <x v="13"/>
    <n v="9820"/>
  </r>
  <r>
    <x v="13"/>
    <n v="2026"/>
    <x v="9"/>
    <x v="1"/>
    <s v="Preservativo Masculino"/>
    <s v="Cores e Sabores"/>
    <x v="13"/>
    <n v="13953"/>
  </r>
  <r>
    <x v="13"/>
    <n v="2026"/>
    <x v="10"/>
    <x v="1"/>
    <s v="Preservativo Masculino"/>
    <s v="Cores e Sabores"/>
    <x v="13"/>
    <n v="7523"/>
  </r>
  <r>
    <x v="13"/>
    <n v="2026"/>
    <x v="11"/>
    <x v="1"/>
    <s v="Preservativo Masculino"/>
    <s v="Cores e Sabores"/>
    <x v="13"/>
    <n v="6373"/>
  </r>
  <r>
    <x v="14"/>
    <n v="2026"/>
    <x v="0"/>
    <x v="1"/>
    <s v="Preservativo Masculino"/>
    <s v="Cores e Sabores"/>
    <x v="14"/>
    <n v="739"/>
  </r>
  <r>
    <x v="14"/>
    <n v="2026"/>
    <x v="1"/>
    <x v="1"/>
    <s v="Preservativo Masculino"/>
    <s v="Cores e Sabores"/>
    <x v="14"/>
    <n v="599"/>
  </r>
  <r>
    <x v="14"/>
    <n v="2026"/>
    <x v="2"/>
    <x v="1"/>
    <s v="Preservativo Masculino"/>
    <s v="Cores e Sabores"/>
    <x v="14"/>
    <n v="50"/>
  </r>
  <r>
    <x v="14"/>
    <n v="2026"/>
    <x v="3"/>
    <x v="1"/>
    <s v="Preservativo Masculino"/>
    <s v="Cores e Sabores"/>
    <x v="14"/>
    <n v="0"/>
  </r>
  <r>
    <x v="14"/>
    <n v="2026"/>
    <x v="4"/>
    <x v="1"/>
    <s v="Preservativo Masculino"/>
    <s v="Cores e Sabores"/>
    <x v="14"/>
    <n v="0"/>
  </r>
  <r>
    <x v="14"/>
    <n v="2026"/>
    <x v="5"/>
    <x v="1"/>
    <s v="Preservativo Masculino"/>
    <s v="Cores e Sabores"/>
    <x v="14"/>
    <n v="4987"/>
  </r>
  <r>
    <x v="14"/>
    <n v="2026"/>
    <x v="6"/>
    <x v="1"/>
    <s v="Preservativo Masculino"/>
    <s v="Cores e Sabores"/>
    <x v="14"/>
    <n v="1768"/>
  </r>
  <r>
    <x v="14"/>
    <n v="2026"/>
    <x v="7"/>
    <x v="1"/>
    <s v="Preservativo Masculino"/>
    <s v="Cores e Sabores"/>
    <x v="14"/>
    <n v="7290"/>
  </r>
  <r>
    <x v="14"/>
    <n v="2026"/>
    <x v="8"/>
    <x v="1"/>
    <s v="Preservativo Masculino"/>
    <s v="Cores e Sabores"/>
    <x v="14"/>
    <n v="4116"/>
  </r>
  <r>
    <x v="14"/>
    <n v="2026"/>
    <x v="9"/>
    <x v="1"/>
    <s v="Preservativo Masculino"/>
    <s v="Cores e Sabores"/>
    <x v="14"/>
    <n v="3733"/>
  </r>
  <r>
    <x v="14"/>
    <n v="2026"/>
    <x v="10"/>
    <x v="1"/>
    <s v="Preservativo Masculino"/>
    <s v="Cores e Sabores"/>
    <x v="14"/>
    <n v="3183"/>
  </r>
  <r>
    <x v="14"/>
    <n v="2026"/>
    <x v="11"/>
    <x v="1"/>
    <s v="Preservativo Masculino"/>
    <s v="Cores e Sabores"/>
    <x v="14"/>
    <n v="2633"/>
  </r>
  <r>
    <x v="15"/>
    <n v="2026"/>
    <x v="0"/>
    <x v="1"/>
    <s v="Preservativo Masculino"/>
    <s v="Performance"/>
    <x v="15"/>
    <n v="4416.96"/>
  </r>
  <r>
    <x v="15"/>
    <n v="2026"/>
    <x v="1"/>
    <x v="1"/>
    <s v="Preservativo Masculino"/>
    <s v="Performance"/>
    <x v="15"/>
    <n v="5700"/>
  </r>
  <r>
    <x v="15"/>
    <n v="2026"/>
    <x v="2"/>
    <x v="1"/>
    <s v="Preservativo Masculino"/>
    <s v="Performance"/>
    <x v="15"/>
    <n v="25900"/>
  </r>
  <r>
    <x v="15"/>
    <n v="2026"/>
    <x v="3"/>
    <x v="1"/>
    <s v="Preservativo Masculino"/>
    <s v="Performance"/>
    <x v="15"/>
    <n v="24226.565000000002"/>
  </r>
  <r>
    <x v="15"/>
    <n v="2026"/>
    <x v="4"/>
    <x v="1"/>
    <s v="Preservativo Masculino"/>
    <s v="Performance"/>
    <x v="15"/>
    <n v="14419.128000000002"/>
  </r>
  <r>
    <x v="15"/>
    <n v="2026"/>
    <x v="5"/>
    <x v="1"/>
    <s v="Preservativo Masculino"/>
    <s v="Performance"/>
    <x v="15"/>
    <n v="22803.427000000003"/>
  </r>
  <r>
    <x v="15"/>
    <n v="2026"/>
    <x v="6"/>
    <x v="1"/>
    <s v="Preservativo Masculino"/>
    <s v="Performance"/>
    <x v="15"/>
    <n v="27424.180000000004"/>
  </r>
  <r>
    <x v="15"/>
    <n v="2026"/>
    <x v="7"/>
    <x v="1"/>
    <s v="Preservativo Masculino"/>
    <s v="Performance"/>
    <x v="15"/>
    <n v="26942.861000000004"/>
  </r>
  <r>
    <x v="15"/>
    <n v="2026"/>
    <x v="8"/>
    <x v="1"/>
    <s v="Preservativo Masculino"/>
    <s v="Performance"/>
    <x v="15"/>
    <n v="28262.060000000005"/>
  </r>
  <r>
    <x v="15"/>
    <n v="2026"/>
    <x v="9"/>
    <x v="1"/>
    <s v="Preservativo Masculino"/>
    <s v="Performance"/>
    <x v="15"/>
    <n v="29493.819000000003"/>
  </r>
  <r>
    <x v="15"/>
    <n v="2026"/>
    <x v="10"/>
    <x v="1"/>
    <s v="Preservativo Masculino"/>
    <s v="Performance"/>
    <x v="15"/>
    <n v="25705.828000000001"/>
  </r>
  <r>
    <x v="15"/>
    <n v="2026"/>
    <x v="11"/>
    <x v="1"/>
    <s v="Preservativo Masculino"/>
    <s v="Performance"/>
    <x v="15"/>
    <n v="28611.317000000003"/>
  </r>
  <r>
    <x v="16"/>
    <n v="2026"/>
    <x v="0"/>
    <x v="1"/>
    <s v="Preservativo Masculino"/>
    <s v="Performance"/>
    <x v="16"/>
    <n v="2007.98"/>
  </r>
  <r>
    <x v="16"/>
    <n v="2026"/>
    <x v="1"/>
    <x v="1"/>
    <s v="Preservativo Masculino"/>
    <s v="Performance"/>
    <x v="16"/>
    <n v="2145"/>
  </r>
  <r>
    <x v="16"/>
    <n v="2026"/>
    <x v="2"/>
    <x v="1"/>
    <s v="Preservativo Masculino"/>
    <s v="Performance"/>
    <x v="16"/>
    <n v="6865"/>
  </r>
  <r>
    <x v="16"/>
    <n v="2026"/>
    <x v="3"/>
    <x v="1"/>
    <s v="Preservativo Masculino"/>
    <s v="Performance"/>
    <x v="16"/>
    <n v="7046"/>
  </r>
  <r>
    <x v="16"/>
    <n v="2026"/>
    <x v="4"/>
    <x v="1"/>
    <s v="Preservativo Masculino"/>
    <s v="Performance"/>
    <x v="16"/>
    <n v="2082"/>
  </r>
  <r>
    <x v="16"/>
    <n v="2026"/>
    <x v="5"/>
    <x v="1"/>
    <s v="Preservativo Masculino"/>
    <s v="Performance"/>
    <x v="16"/>
    <n v="7046"/>
  </r>
  <r>
    <x v="16"/>
    <n v="2026"/>
    <x v="6"/>
    <x v="1"/>
    <s v="Preservativo Masculino"/>
    <s v="Performance"/>
    <x v="16"/>
    <n v="9641"/>
  </r>
  <r>
    <x v="16"/>
    <n v="2026"/>
    <x v="7"/>
    <x v="1"/>
    <s v="Preservativo Masculino"/>
    <s v="Performance"/>
    <x v="16"/>
    <n v="14346"/>
  </r>
  <r>
    <x v="16"/>
    <n v="2026"/>
    <x v="8"/>
    <x v="1"/>
    <s v="Preservativo Masculino"/>
    <s v="Performance"/>
    <x v="16"/>
    <n v="18009"/>
  </r>
  <r>
    <x v="16"/>
    <n v="2026"/>
    <x v="9"/>
    <x v="1"/>
    <s v="Preservativo Masculino"/>
    <s v="Performance"/>
    <x v="16"/>
    <n v="8876"/>
  </r>
  <r>
    <x v="16"/>
    <n v="2026"/>
    <x v="10"/>
    <x v="1"/>
    <s v="Preservativo Masculino"/>
    <s v="Performance"/>
    <x v="16"/>
    <n v="6876"/>
  </r>
  <r>
    <x v="16"/>
    <n v="2026"/>
    <x v="11"/>
    <x v="1"/>
    <s v="Preservativo Masculino"/>
    <s v="Performance"/>
    <x v="16"/>
    <n v="10876"/>
  </r>
  <r>
    <x v="17"/>
    <n v="2026"/>
    <x v="0"/>
    <x v="1"/>
    <s v="Preservativo Masculino"/>
    <s v="Performance"/>
    <x v="17"/>
    <n v="1168"/>
  </r>
  <r>
    <x v="17"/>
    <n v="2026"/>
    <x v="1"/>
    <x v="1"/>
    <s v="Preservativo Masculino"/>
    <s v="Performance"/>
    <x v="17"/>
    <n v="2351"/>
  </r>
  <r>
    <x v="17"/>
    <n v="2026"/>
    <x v="2"/>
    <x v="1"/>
    <s v="Preservativo Masculino"/>
    <s v="Performance"/>
    <x v="17"/>
    <n v="12040"/>
  </r>
  <r>
    <x v="17"/>
    <n v="2026"/>
    <x v="3"/>
    <x v="1"/>
    <s v="Preservativo Masculino"/>
    <s v="Performance"/>
    <x v="17"/>
    <n v="8759.9069999999992"/>
  </r>
  <r>
    <x v="17"/>
    <n v="2026"/>
    <x v="4"/>
    <x v="1"/>
    <s v="Preservativo Masculino"/>
    <s v="Performance"/>
    <x v="17"/>
    <n v="13504.05"/>
  </r>
  <r>
    <x v="17"/>
    <n v="2026"/>
    <x v="5"/>
    <x v="1"/>
    <s v="Preservativo Masculino"/>
    <s v="Performance"/>
    <x v="17"/>
    <n v="8716.994999999999"/>
  </r>
  <r>
    <x v="17"/>
    <n v="2026"/>
    <x v="6"/>
    <x v="1"/>
    <s v="Preservativo Masculino"/>
    <s v="Performance"/>
    <x v="17"/>
    <n v="6798.7799999999988"/>
  </r>
  <r>
    <x v="17"/>
    <n v="2026"/>
    <x v="7"/>
    <x v="1"/>
    <s v="Preservativo Masculino"/>
    <s v="Performance"/>
    <x v="17"/>
    <n v="5027.0269999999991"/>
  </r>
  <r>
    <x v="17"/>
    <n v="2026"/>
    <x v="8"/>
    <x v="1"/>
    <s v="Preservativo Masculino"/>
    <s v="Performance"/>
    <x v="17"/>
    <n v="9257.4599999999991"/>
  </r>
  <r>
    <x v="17"/>
    <n v="2026"/>
    <x v="9"/>
    <x v="1"/>
    <s v="Preservativo Masculino"/>
    <s v="Performance"/>
    <x v="17"/>
    <n v="10135.947"/>
  </r>
  <r>
    <x v="17"/>
    <n v="2026"/>
    <x v="10"/>
    <x v="1"/>
    <s v="Preservativo Masculino"/>
    <s v="Performance"/>
    <x v="17"/>
    <n v="11222.103999999999"/>
  </r>
  <r>
    <x v="17"/>
    <n v="2026"/>
    <x v="11"/>
    <x v="1"/>
    <s v="Preservativo Masculino"/>
    <s v="Performance"/>
    <x v="17"/>
    <n v="6228.4719999999998"/>
  </r>
  <r>
    <x v="18"/>
    <n v="2026"/>
    <x v="0"/>
    <x v="1"/>
    <s v="Preservativo Masculino"/>
    <s v="Performance"/>
    <x v="18"/>
    <n v="1073"/>
  </r>
  <r>
    <x v="18"/>
    <n v="2026"/>
    <x v="1"/>
    <x v="1"/>
    <s v="Preservativo Masculino"/>
    <s v="Performance"/>
    <x v="18"/>
    <n v="1654"/>
  </r>
  <r>
    <x v="18"/>
    <n v="2026"/>
    <x v="2"/>
    <x v="1"/>
    <s v="Preservativo Masculino"/>
    <s v="Performance"/>
    <x v="18"/>
    <n v="5288"/>
  </r>
  <r>
    <x v="18"/>
    <n v="2026"/>
    <x v="3"/>
    <x v="1"/>
    <s v="Preservativo Masculino"/>
    <s v="Performance"/>
    <x v="18"/>
    <n v="6560"/>
  </r>
  <r>
    <x v="18"/>
    <n v="2026"/>
    <x v="4"/>
    <x v="1"/>
    <s v="Preservativo Masculino"/>
    <s v="Performance"/>
    <x v="18"/>
    <n v="2832"/>
  </r>
  <r>
    <x v="18"/>
    <n v="2026"/>
    <x v="5"/>
    <x v="1"/>
    <s v="Preservativo Masculino"/>
    <s v="Performance"/>
    <x v="18"/>
    <n v="2106"/>
  </r>
  <r>
    <x v="18"/>
    <n v="2026"/>
    <x v="6"/>
    <x v="1"/>
    <s v="Preservativo Masculino"/>
    <s v="Performance"/>
    <x v="18"/>
    <n v="859"/>
  </r>
  <r>
    <x v="18"/>
    <n v="2026"/>
    <x v="7"/>
    <x v="1"/>
    <s v="Preservativo Masculino"/>
    <s v="Performance"/>
    <x v="18"/>
    <n v="4080"/>
  </r>
  <r>
    <x v="18"/>
    <n v="2026"/>
    <x v="8"/>
    <x v="1"/>
    <s v="Preservativo Masculino"/>
    <s v="Performance"/>
    <x v="18"/>
    <n v="8571"/>
  </r>
  <r>
    <x v="18"/>
    <n v="2026"/>
    <x v="9"/>
    <x v="1"/>
    <s v="Preservativo Masculino"/>
    <s v="Performance"/>
    <x v="18"/>
    <n v="3211"/>
  </r>
  <r>
    <x v="18"/>
    <n v="2026"/>
    <x v="10"/>
    <x v="1"/>
    <s v="Preservativo Masculino"/>
    <s v="Performance"/>
    <x v="18"/>
    <n v="14611"/>
  </r>
  <r>
    <x v="18"/>
    <n v="2026"/>
    <x v="11"/>
    <x v="1"/>
    <s v="Preservativo Masculino"/>
    <s v="Performance"/>
    <x v="18"/>
    <n v="6211"/>
  </r>
  <r>
    <x v="19"/>
    <n v="2026"/>
    <x v="0"/>
    <x v="1"/>
    <s v="Preservativo Masculino"/>
    <s v="Performance"/>
    <x v="19"/>
    <n v="2346.96"/>
  </r>
  <r>
    <x v="19"/>
    <n v="2026"/>
    <x v="1"/>
    <x v="1"/>
    <s v="Preservativo Masculino"/>
    <s v="Performance"/>
    <x v="19"/>
    <n v="2550"/>
  </r>
  <r>
    <x v="19"/>
    <n v="2026"/>
    <x v="2"/>
    <x v="1"/>
    <s v="Preservativo Masculino"/>
    <s v="Performance"/>
    <x v="19"/>
    <n v="8223"/>
  </r>
  <r>
    <x v="19"/>
    <n v="2026"/>
    <x v="3"/>
    <x v="1"/>
    <s v="Preservativo Masculino"/>
    <s v="Performance"/>
    <x v="19"/>
    <n v="7756"/>
  </r>
  <r>
    <x v="19"/>
    <n v="2026"/>
    <x v="4"/>
    <x v="1"/>
    <s v="Preservativo Masculino"/>
    <s v="Performance"/>
    <x v="19"/>
    <n v="8306"/>
  </r>
  <r>
    <x v="19"/>
    <n v="2026"/>
    <x v="5"/>
    <x v="1"/>
    <s v="Preservativo Masculino"/>
    <s v="Performance"/>
    <x v="19"/>
    <n v="8264"/>
  </r>
  <r>
    <x v="19"/>
    <n v="2026"/>
    <x v="6"/>
    <x v="1"/>
    <s v="Preservativo Masculino"/>
    <s v="Performance"/>
    <x v="19"/>
    <n v="5358"/>
  </r>
  <r>
    <x v="19"/>
    <n v="2026"/>
    <x v="7"/>
    <x v="1"/>
    <s v="Preservativo Masculino"/>
    <s v="Performance"/>
    <x v="19"/>
    <n v="13528"/>
  </r>
  <r>
    <x v="19"/>
    <n v="2026"/>
    <x v="8"/>
    <x v="1"/>
    <s v="Preservativo Masculino"/>
    <s v="Performance"/>
    <x v="19"/>
    <n v="18403"/>
  </r>
  <r>
    <x v="19"/>
    <n v="2026"/>
    <x v="9"/>
    <x v="1"/>
    <s v="Preservativo Masculino"/>
    <s v="Performance"/>
    <x v="19"/>
    <n v="18624"/>
  </r>
  <r>
    <x v="19"/>
    <n v="2026"/>
    <x v="10"/>
    <x v="1"/>
    <s v="Preservativo Masculino"/>
    <s v="Performance"/>
    <x v="19"/>
    <n v="11824"/>
  </r>
  <r>
    <x v="19"/>
    <n v="2026"/>
    <x v="11"/>
    <x v="1"/>
    <s v="Preservativo Masculino"/>
    <s v="Performance"/>
    <x v="19"/>
    <n v="9224"/>
  </r>
  <r>
    <x v="20"/>
    <n v="2026"/>
    <x v="0"/>
    <x v="1"/>
    <s v="Preservativo Masculino"/>
    <s v="Performance"/>
    <x v="20"/>
    <n v="2015"/>
  </r>
  <r>
    <x v="20"/>
    <n v="2026"/>
    <x v="1"/>
    <x v="1"/>
    <s v="Preservativo Masculino"/>
    <s v="Performance"/>
    <x v="20"/>
    <n v="2974"/>
  </r>
  <r>
    <x v="20"/>
    <n v="2026"/>
    <x v="2"/>
    <x v="1"/>
    <s v="Preservativo Masculino"/>
    <s v="Performance"/>
    <x v="20"/>
    <n v="11903"/>
  </r>
  <r>
    <x v="20"/>
    <n v="2026"/>
    <x v="3"/>
    <x v="1"/>
    <s v="Preservativo Masculino"/>
    <s v="Performance"/>
    <x v="20"/>
    <n v="14646.628000000001"/>
  </r>
  <r>
    <x v="20"/>
    <n v="2026"/>
    <x v="4"/>
    <x v="1"/>
    <s v="Preservativo Masculino"/>
    <s v="Performance"/>
    <x v="20"/>
    <n v="5559.2279999999992"/>
  </r>
  <r>
    <x v="20"/>
    <n v="2026"/>
    <x v="5"/>
    <x v="1"/>
    <s v="Preservativo Masculino"/>
    <s v="Performance"/>
    <x v="20"/>
    <n v="13890.370999999999"/>
  </r>
  <r>
    <x v="20"/>
    <n v="2026"/>
    <x v="6"/>
    <x v="1"/>
    <s v="Preservativo Masculino"/>
    <s v="Performance"/>
    <x v="20"/>
    <n v="12535.646999999999"/>
  </r>
  <r>
    <x v="20"/>
    <n v="2026"/>
    <x v="7"/>
    <x v="1"/>
    <s v="Preservativo Masculino"/>
    <s v="Performance"/>
    <x v="20"/>
    <n v="12242.724999999999"/>
  </r>
  <r>
    <x v="20"/>
    <n v="2026"/>
    <x v="8"/>
    <x v="1"/>
    <s v="Preservativo Masculino"/>
    <s v="Performance"/>
    <x v="20"/>
    <n v="17226.504999999997"/>
  </r>
  <r>
    <x v="20"/>
    <n v="2026"/>
    <x v="9"/>
    <x v="1"/>
    <s v="Preservativo Masculino"/>
    <s v="Performance"/>
    <x v="20"/>
    <n v="16153.775"/>
  </r>
  <r>
    <x v="20"/>
    <n v="2026"/>
    <x v="10"/>
    <x v="1"/>
    <s v="Preservativo Masculino"/>
    <s v="Performance"/>
    <x v="20"/>
    <n v="9993.7749999999996"/>
  </r>
  <r>
    <x v="20"/>
    <n v="2026"/>
    <x v="11"/>
    <x v="1"/>
    <s v="Preservativo Masculino"/>
    <s v="Performance"/>
    <x v="20"/>
    <n v="7393.7749999999996"/>
  </r>
  <r>
    <x v="21"/>
    <n v="2026"/>
    <x v="0"/>
    <x v="1"/>
    <s v="Preservativo Masculino"/>
    <s v="Performance"/>
    <x v="21"/>
    <n v="507"/>
  </r>
  <r>
    <x v="21"/>
    <n v="2026"/>
    <x v="1"/>
    <x v="1"/>
    <s v="Preservativo Masculino"/>
    <s v="Performance"/>
    <x v="21"/>
    <n v="490"/>
  </r>
  <r>
    <x v="21"/>
    <n v="2026"/>
    <x v="2"/>
    <x v="1"/>
    <s v="Preservativo Masculino"/>
    <s v="Performance"/>
    <x v="21"/>
    <n v="2129"/>
  </r>
  <r>
    <x v="21"/>
    <n v="2026"/>
    <x v="3"/>
    <x v="1"/>
    <s v="Preservativo Masculino"/>
    <s v="Performance"/>
    <x v="21"/>
    <n v="1638.2429999999999"/>
  </r>
  <r>
    <x v="21"/>
    <n v="2026"/>
    <x v="4"/>
    <x v="1"/>
    <s v="Preservativo Masculino"/>
    <s v="Performance"/>
    <x v="21"/>
    <n v="1446.9679999999998"/>
  </r>
  <r>
    <x v="21"/>
    <n v="2026"/>
    <x v="5"/>
    <x v="1"/>
    <s v="Preservativo Masculino"/>
    <s v="Performance"/>
    <x v="21"/>
    <n v="5531.0910000000003"/>
  </r>
  <r>
    <x v="21"/>
    <n v="2026"/>
    <x v="6"/>
    <x v="1"/>
    <s v="Preservativo Masculino"/>
    <s v="Performance"/>
    <x v="21"/>
    <n v="2993.3539999999998"/>
  </r>
  <r>
    <x v="21"/>
    <n v="2026"/>
    <x v="7"/>
    <x v="1"/>
    <s v="Preservativo Masculino"/>
    <s v="Performance"/>
    <x v="21"/>
    <n v="2681.8489999999997"/>
  </r>
  <r>
    <x v="21"/>
    <n v="2026"/>
    <x v="8"/>
    <x v="1"/>
    <s v="Preservativo Masculino"/>
    <s v="Performance"/>
    <x v="21"/>
    <n v="2359.4139999999998"/>
  </r>
  <r>
    <x v="21"/>
    <n v="2026"/>
    <x v="9"/>
    <x v="1"/>
    <s v="Preservativo Masculino"/>
    <s v="Performance"/>
    <x v="21"/>
    <n v="1988.8869999999997"/>
  </r>
  <r>
    <x v="21"/>
    <n v="2026"/>
    <x v="10"/>
    <x v="1"/>
    <s v="Preservativo Masculino"/>
    <s v="Performance"/>
    <x v="21"/>
    <n v="1616.1739999999998"/>
  </r>
  <r>
    <x v="21"/>
    <n v="2026"/>
    <x v="11"/>
    <x v="1"/>
    <s v="Preservativo Masculino"/>
    <s v="Performance"/>
    <x v="21"/>
    <n v="1247.8329999999996"/>
  </r>
  <r>
    <x v="22"/>
    <n v="2026"/>
    <x v="0"/>
    <x v="1"/>
    <s v="Preservativo Masculino"/>
    <s v="Cores e Sabores"/>
    <x v="22"/>
    <n v="419"/>
  </r>
  <r>
    <x v="22"/>
    <n v="2026"/>
    <x v="1"/>
    <x v="1"/>
    <s v="Preservativo Masculino"/>
    <s v="Cores e Sabores"/>
    <x v="22"/>
    <n v="276"/>
  </r>
  <r>
    <x v="22"/>
    <n v="2026"/>
    <x v="2"/>
    <x v="1"/>
    <s v="Preservativo Masculino"/>
    <s v="Cores e Sabores"/>
    <x v="22"/>
    <n v="3697"/>
  </r>
  <r>
    <x v="22"/>
    <n v="2026"/>
    <x v="3"/>
    <x v="1"/>
    <s v="Preservativo Masculino"/>
    <s v="Cores e Sabores"/>
    <x v="22"/>
    <n v="5307.8729999999996"/>
  </r>
  <r>
    <x v="22"/>
    <n v="2026"/>
    <x v="4"/>
    <x v="1"/>
    <s v="Preservativo Masculino"/>
    <s v="Cores e Sabores"/>
    <x v="22"/>
    <n v="2865.2269999999999"/>
  </r>
  <r>
    <x v="22"/>
    <n v="2026"/>
    <x v="5"/>
    <x v="1"/>
    <s v="Preservativo Masculino"/>
    <s v="Cores e Sabores"/>
    <x v="22"/>
    <n v="2551.5360000000001"/>
  </r>
  <r>
    <x v="22"/>
    <n v="2026"/>
    <x v="6"/>
    <x v="1"/>
    <s v="Preservativo Masculino"/>
    <s v="Cores e Sabores"/>
    <x v="22"/>
    <n v="2163.5210000000002"/>
  </r>
  <r>
    <x v="22"/>
    <n v="2026"/>
    <x v="7"/>
    <x v="1"/>
    <s v="Preservativo Masculino"/>
    <s v="Cores e Sabores"/>
    <x v="22"/>
    <n v="1841.0860000000002"/>
  </r>
  <r>
    <x v="22"/>
    <n v="2026"/>
    <x v="8"/>
    <x v="1"/>
    <s v="Preservativo Masculino"/>
    <s v="Cores e Sabores"/>
    <x v="22"/>
    <n v="1456.3500000000004"/>
  </r>
  <r>
    <x v="22"/>
    <n v="2026"/>
    <x v="9"/>
    <x v="1"/>
    <s v="Preservativo Masculino"/>
    <s v="Cores e Sabores"/>
    <x v="22"/>
    <n v="7033.3590000000004"/>
  </r>
  <r>
    <x v="22"/>
    <n v="2026"/>
    <x v="10"/>
    <x v="1"/>
    <s v="Preservativo Masculino"/>
    <s v="Cores e Sabores"/>
    <x v="22"/>
    <n v="3497.7890000000002"/>
  </r>
  <r>
    <x v="22"/>
    <n v="2026"/>
    <x v="11"/>
    <x v="1"/>
    <s v="Preservativo Masculino"/>
    <s v="Cores e Sabores"/>
    <x v="22"/>
    <n v="3084.6350000000002"/>
  </r>
  <r>
    <x v="23"/>
    <n v="2026"/>
    <x v="0"/>
    <x v="1"/>
    <s v="Preservativo Masculino"/>
    <s v="Performance"/>
    <x v="23"/>
    <n v="444"/>
  </r>
  <r>
    <x v="23"/>
    <n v="2026"/>
    <x v="1"/>
    <x v="1"/>
    <s v="Preservativo Masculino"/>
    <s v="Performance"/>
    <x v="23"/>
    <n v="190"/>
  </r>
  <r>
    <x v="23"/>
    <n v="2026"/>
    <x v="2"/>
    <x v="1"/>
    <s v="Preservativo Masculino"/>
    <s v="Performance"/>
    <x v="23"/>
    <n v="3358"/>
  </r>
  <r>
    <x v="23"/>
    <n v="2026"/>
    <x v="3"/>
    <x v="1"/>
    <s v="Preservativo Masculino"/>
    <s v="Performance"/>
    <x v="23"/>
    <n v="5107.7029999999995"/>
  </r>
  <r>
    <x v="23"/>
    <n v="2026"/>
    <x v="4"/>
    <x v="1"/>
    <s v="Preservativo Masculino"/>
    <s v="Performance"/>
    <x v="23"/>
    <n v="3011.5189999999998"/>
  </r>
  <r>
    <x v="23"/>
    <n v="2026"/>
    <x v="5"/>
    <x v="1"/>
    <s v="Preservativo Masculino"/>
    <s v="Performance"/>
    <x v="23"/>
    <n v="2877.08"/>
  </r>
  <r>
    <x v="23"/>
    <n v="2026"/>
    <x v="6"/>
    <x v="1"/>
    <s v="Preservativo Masculino"/>
    <s v="Performance"/>
    <x v="23"/>
    <n v="2702.2"/>
  </r>
  <r>
    <x v="23"/>
    <n v="2026"/>
    <x v="7"/>
    <x v="1"/>
    <s v="Preservativo Masculino"/>
    <s v="Performance"/>
    <x v="23"/>
    <n v="2538.25"/>
  </r>
  <r>
    <x v="23"/>
    <n v="2026"/>
    <x v="8"/>
    <x v="1"/>
    <s v="Preservativo Masculino"/>
    <s v="Performance"/>
    <x v="23"/>
    <n v="2362.277"/>
  </r>
  <r>
    <x v="23"/>
    <n v="2026"/>
    <x v="9"/>
    <x v="1"/>
    <s v="Preservativo Masculino"/>
    <s v="Performance"/>
    <x v="23"/>
    <n v="2166.63"/>
  </r>
  <r>
    <x v="23"/>
    <n v="2026"/>
    <x v="10"/>
    <x v="1"/>
    <s v="Preservativo Masculino"/>
    <s v="Performance"/>
    <x v="23"/>
    <n v="1879.171"/>
  </r>
  <r>
    <x v="23"/>
    <n v="2026"/>
    <x v="11"/>
    <x v="1"/>
    <s v="Preservativo Masculino"/>
    <s v="Performance"/>
    <x v="23"/>
    <n v="1694.454"/>
  </r>
  <r>
    <x v="24"/>
    <n v="2026"/>
    <x v="0"/>
    <x v="1"/>
    <s v="Preservativo Masculino"/>
    <s v="Performance"/>
    <x v="24"/>
    <n v="658"/>
  </r>
  <r>
    <x v="24"/>
    <n v="2026"/>
    <x v="1"/>
    <x v="1"/>
    <s v="Preservativo Masculino"/>
    <s v="Performance"/>
    <x v="24"/>
    <n v="409"/>
  </r>
  <r>
    <x v="24"/>
    <n v="2026"/>
    <x v="2"/>
    <x v="1"/>
    <s v="Preservativo Masculino"/>
    <s v="Performance"/>
    <x v="24"/>
    <n v="0"/>
  </r>
  <r>
    <x v="24"/>
    <n v="2026"/>
    <x v="3"/>
    <x v="1"/>
    <s v="Preservativo Masculino"/>
    <s v="Performance"/>
    <x v="24"/>
    <n v="0"/>
  </r>
  <r>
    <x v="24"/>
    <n v="2026"/>
    <x v="4"/>
    <x v="1"/>
    <s v="Preservativo Masculino"/>
    <s v="Performance"/>
    <x v="24"/>
    <n v="0"/>
  </r>
  <r>
    <x v="24"/>
    <n v="2026"/>
    <x v="5"/>
    <x v="1"/>
    <s v="Preservativo Masculino"/>
    <s v="Performance"/>
    <x v="24"/>
    <n v="5887"/>
  </r>
  <r>
    <x v="24"/>
    <n v="2026"/>
    <x v="6"/>
    <x v="1"/>
    <s v="Preservativo Masculino"/>
    <s v="Performance"/>
    <x v="24"/>
    <n v="2731"/>
  </r>
  <r>
    <x v="24"/>
    <n v="2026"/>
    <x v="7"/>
    <x v="1"/>
    <s v="Preservativo Masculino"/>
    <s v="Performance"/>
    <x v="24"/>
    <n v="1758"/>
  </r>
  <r>
    <x v="24"/>
    <n v="2026"/>
    <x v="8"/>
    <x v="1"/>
    <s v="Preservativo Masculino"/>
    <s v="Performance"/>
    <x v="24"/>
    <n v="1569"/>
  </r>
  <r>
    <x v="24"/>
    <n v="2026"/>
    <x v="9"/>
    <x v="1"/>
    <s v="Preservativo Masculino"/>
    <s v="Performance"/>
    <x v="24"/>
    <n v="1472"/>
  </r>
  <r>
    <x v="24"/>
    <n v="2026"/>
    <x v="10"/>
    <x v="1"/>
    <s v="Preservativo Masculino"/>
    <s v="Performance"/>
    <x v="24"/>
    <n v="6922"/>
  </r>
  <r>
    <x v="24"/>
    <n v="2026"/>
    <x v="11"/>
    <x v="1"/>
    <s v="Preservativo Masculino"/>
    <s v="Performance"/>
    <x v="24"/>
    <n v="3372"/>
  </r>
  <r>
    <x v="25"/>
    <n v="2026"/>
    <x v="0"/>
    <x v="1"/>
    <s v="Preservativo Masculino"/>
    <s v="Performance"/>
    <x v="25"/>
    <n v="287.75"/>
  </r>
  <r>
    <x v="25"/>
    <n v="2026"/>
    <x v="1"/>
    <x v="1"/>
    <s v="Preservativo Masculino"/>
    <s v="Performance"/>
    <x v="25"/>
    <n v="221"/>
  </r>
  <r>
    <x v="25"/>
    <n v="2026"/>
    <x v="2"/>
    <x v="1"/>
    <s v="Preservativo Masculino"/>
    <s v="Performance"/>
    <x v="25"/>
    <n v="1837"/>
  </r>
  <r>
    <x v="25"/>
    <n v="2026"/>
    <x v="3"/>
    <x v="1"/>
    <s v="Preservativo Masculino"/>
    <s v="Performance"/>
    <x v="25"/>
    <n v="1588.8890000000001"/>
  </r>
  <r>
    <x v="25"/>
    <n v="2026"/>
    <x v="4"/>
    <x v="1"/>
    <s v="Preservativo Masculino"/>
    <s v="Performance"/>
    <x v="25"/>
    <n v="1526.5880000000002"/>
  </r>
  <r>
    <x v="25"/>
    <n v="2026"/>
    <x v="5"/>
    <x v="1"/>
    <s v="Preservativo Masculino"/>
    <s v="Performance"/>
    <x v="25"/>
    <n v="1395.4280000000001"/>
  </r>
  <r>
    <x v="25"/>
    <n v="2026"/>
    <x v="6"/>
    <x v="1"/>
    <s v="Preservativo Masculino"/>
    <s v="Performance"/>
    <x v="25"/>
    <n v="1218.3620000000001"/>
  </r>
  <r>
    <x v="25"/>
    <n v="2026"/>
    <x v="7"/>
    <x v="1"/>
    <s v="Preservativo Masculino"/>
    <s v="Performance"/>
    <x v="25"/>
    <n v="1053.319"/>
  </r>
  <r>
    <x v="25"/>
    <n v="2026"/>
    <x v="8"/>
    <x v="1"/>
    <s v="Preservativo Masculino"/>
    <s v="Performance"/>
    <x v="25"/>
    <n v="888.27599999999995"/>
  </r>
  <r>
    <x v="25"/>
    <n v="2026"/>
    <x v="9"/>
    <x v="1"/>
    <s v="Preservativo Masculino"/>
    <s v="Performance"/>
    <x v="25"/>
    <n v="695.9079999999999"/>
  </r>
  <r>
    <x v="25"/>
    <n v="2026"/>
    <x v="10"/>
    <x v="1"/>
    <s v="Preservativo Masculino"/>
    <s v="Performance"/>
    <x v="25"/>
    <n v="502.44699999999989"/>
  </r>
  <r>
    <x v="25"/>
    <n v="2026"/>
    <x v="11"/>
    <x v="1"/>
    <s v="Preservativo Masculino"/>
    <s v="Performance"/>
    <x v="25"/>
    <n v="321.0089999999999"/>
  </r>
  <r>
    <x v="26"/>
    <n v="2026"/>
    <x v="0"/>
    <x v="1"/>
    <s v="Preservativo Masculino"/>
    <s v="Low Price "/>
    <x v="26"/>
    <n v="452"/>
  </r>
  <r>
    <x v="26"/>
    <n v="2026"/>
    <x v="1"/>
    <x v="1"/>
    <s v="Preservativo Masculino"/>
    <s v="Low Price "/>
    <x v="26"/>
    <n v="2663"/>
  </r>
  <r>
    <x v="26"/>
    <n v="2026"/>
    <x v="2"/>
    <x v="1"/>
    <s v="Preservativo Masculino"/>
    <s v="Low Price "/>
    <x v="26"/>
    <n v="3001"/>
  </r>
  <r>
    <x v="26"/>
    <n v="2026"/>
    <x v="3"/>
    <x v="1"/>
    <s v="Preservativo Masculino"/>
    <s v="Low Price "/>
    <x v="26"/>
    <n v="4187.7129999999997"/>
  </r>
  <r>
    <x v="26"/>
    <n v="2026"/>
    <x v="4"/>
    <x v="1"/>
    <s v="Preservativo Masculino"/>
    <s v="Low Price "/>
    <x v="26"/>
    <n v="6548.308"/>
  </r>
  <r>
    <x v="26"/>
    <n v="2026"/>
    <x v="5"/>
    <x v="1"/>
    <s v="Preservativo Masculino"/>
    <s v="Low Price "/>
    <x v="26"/>
    <n v="2833.4859999999999"/>
  </r>
  <r>
    <x v="26"/>
    <n v="2026"/>
    <x v="6"/>
    <x v="1"/>
    <s v="Preservativo Masculino"/>
    <s v="Low Price "/>
    <x v="26"/>
    <n v="1591.838"/>
  </r>
  <r>
    <x v="26"/>
    <n v="2026"/>
    <x v="7"/>
    <x v="1"/>
    <s v="Preservativo Masculino"/>
    <s v="Low Price "/>
    <x v="26"/>
    <n v="1075.942"/>
  </r>
  <r>
    <x v="26"/>
    <n v="2026"/>
    <x v="8"/>
    <x v="1"/>
    <s v="Preservativo Masculino"/>
    <s v="Low Price "/>
    <x v="26"/>
    <n v="6414.6769999999997"/>
  </r>
  <r>
    <x v="26"/>
    <n v="2026"/>
    <x v="9"/>
    <x v="1"/>
    <s v="Preservativo Masculino"/>
    <s v="Low Price "/>
    <x v="26"/>
    <n v="2091.0540000000001"/>
  </r>
  <r>
    <x v="26"/>
    <n v="2026"/>
    <x v="10"/>
    <x v="1"/>
    <s v="Preservativo Masculino"/>
    <s v="Low Price "/>
    <x v="26"/>
    <n v="24141.054"/>
  </r>
  <r>
    <x v="26"/>
    <n v="2026"/>
    <x v="11"/>
    <x v="1"/>
    <s v="Preservativo Masculino"/>
    <s v="Low Price "/>
    <x v="26"/>
    <n v="16191.054"/>
  </r>
  <r>
    <x v="27"/>
    <n v="2026"/>
    <x v="0"/>
    <x v="1"/>
    <s v="Preservativo Masculino"/>
    <s v="Low Price "/>
    <x v="27"/>
    <n v="246"/>
  </r>
  <r>
    <x v="27"/>
    <n v="2026"/>
    <x v="1"/>
    <x v="1"/>
    <s v="Preservativo Masculino"/>
    <s v="Low Price "/>
    <x v="27"/>
    <n v="682"/>
  </r>
  <r>
    <x v="27"/>
    <n v="2026"/>
    <x v="2"/>
    <x v="1"/>
    <s v="Preservativo Masculino"/>
    <s v="Low Price "/>
    <x v="27"/>
    <n v="2092"/>
  </r>
  <r>
    <x v="27"/>
    <n v="2026"/>
    <x v="3"/>
    <x v="1"/>
    <s v="Preservativo Masculino"/>
    <s v="Low Price "/>
    <x v="27"/>
    <n v="664"/>
  </r>
  <r>
    <x v="27"/>
    <n v="2026"/>
    <x v="4"/>
    <x v="1"/>
    <s v="Preservativo Masculino"/>
    <s v="Low Price "/>
    <x v="27"/>
    <n v="0"/>
  </r>
  <r>
    <x v="27"/>
    <n v="2026"/>
    <x v="5"/>
    <x v="1"/>
    <s v="Preservativo Masculino"/>
    <s v="Low Price "/>
    <x v="27"/>
    <n v="0"/>
  </r>
  <r>
    <x v="27"/>
    <n v="2026"/>
    <x v="6"/>
    <x v="1"/>
    <s v="Preservativo Masculino"/>
    <s v="Low Price "/>
    <x v="27"/>
    <n v="0"/>
  </r>
  <r>
    <x v="27"/>
    <n v="2026"/>
    <x v="7"/>
    <x v="1"/>
    <s v="Preservativo Masculino"/>
    <s v="Low Price "/>
    <x v="27"/>
    <n v="4894"/>
  </r>
  <r>
    <x v="27"/>
    <n v="2026"/>
    <x v="8"/>
    <x v="1"/>
    <s v="Preservativo Masculino"/>
    <s v="Low Price "/>
    <x v="27"/>
    <n v="7626"/>
  </r>
  <r>
    <x v="27"/>
    <n v="2026"/>
    <x v="9"/>
    <x v="1"/>
    <s v="Preservativo Masculino"/>
    <s v="Low Price "/>
    <x v="27"/>
    <n v="4148"/>
  </r>
  <r>
    <x v="27"/>
    <n v="2026"/>
    <x v="10"/>
    <x v="1"/>
    <s v="Preservativo Masculino"/>
    <s v="Low Price "/>
    <x v="27"/>
    <n v="15248"/>
  </r>
  <r>
    <x v="27"/>
    <n v="2026"/>
    <x v="11"/>
    <x v="1"/>
    <s v="Preservativo Masculino"/>
    <s v="Low Price "/>
    <x v="27"/>
    <n v="14348"/>
  </r>
  <r>
    <x v="28"/>
    <n v="2026"/>
    <x v="0"/>
    <x v="1"/>
    <s v="Preservativo Masculino"/>
    <s v="Low Price "/>
    <x v="28"/>
    <n v="379"/>
  </r>
  <r>
    <x v="28"/>
    <n v="2026"/>
    <x v="1"/>
    <x v="1"/>
    <s v="Preservativo Masculino"/>
    <s v="Low Price "/>
    <x v="28"/>
    <n v="1166"/>
  </r>
  <r>
    <x v="28"/>
    <n v="2026"/>
    <x v="2"/>
    <x v="1"/>
    <s v="Preservativo Masculino"/>
    <s v="Low Price "/>
    <x v="28"/>
    <n v="3684"/>
  </r>
  <r>
    <x v="28"/>
    <n v="2026"/>
    <x v="3"/>
    <x v="1"/>
    <s v="Preservativo Masculino"/>
    <s v="Low Price "/>
    <x v="28"/>
    <n v="5255.4490000000005"/>
  </r>
  <r>
    <x v="28"/>
    <n v="2026"/>
    <x v="4"/>
    <x v="1"/>
    <s v="Preservativo Masculino"/>
    <s v="Low Price "/>
    <x v="28"/>
    <n v="1623.6950000000002"/>
  </r>
  <r>
    <x v="28"/>
    <n v="2026"/>
    <x v="5"/>
    <x v="1"/>
    <s v="Preservativo Masculino"/>
    <s v="Low Price "/>
    <x v="28"/>
    <n v="901.22200000000021"/>
  </r>
  <r>
    <x v="28"/>
    <n v="2026"/>
    <x v="6"/>
    <x v="1"/>
    <s v="Preservativo Masculino"/>
    <s v="Low Price "/>
    <x v="28"/>
    <n v="0"/>
  </r>
  <r>
    <x v="28"/>
    <n v="2026"/>
    <x v="7"/>
    <x v="1"/>
    <s v="Preservativo Masculino"/>
    <s v="Low Price "/>
    <x v="28"/>
    <n v="0"/>
  </r>
  <r>
    <x v="28"/>
    <n v="2026"/>
    <x v="8"/>
    <x v="1"/>
    <s v="Preservativo Masculino"/>
    <s v="Low Price "/>
    <x v="28"/>
    <n v="11291.736000000001"/>
  </r>
  <r>
    <x v="28"/>
    <n v="2026"/>
    <x v="9"/>
    <x v="1"/>
    <s v="Preservativo Masculino"/>
    <s v="Low Price "/>
    <x v="28"/>
    <n v="4082.8779999999997"/>
  </r>
  <r>
    <x v="28"/>
    <n v="2026"/>
    <x v="10"/>
    <x v="1"/>
    <s v="Preservativo Masculino"/>
    <s v="Low Price "/>
    <x v="28"/>
    <n v="19832.878000000001"/>
  </r>
  <r>
    <x v="28"/>
    <n v="2026"/>
    <x v="11"/>
    <x v="1"/>
    <s v="Preservativo Masculino"/>
    <s v="Low Price "/>
    <x v="28"/>
    <n v="20582.878000000001"/>
  </r>
  <r>
    <x v="29"/>
    <n v="2026"/>
    <x v="0"/>
    <x v="1"/>
    <s v="Preservativo Masculino"/>
    <s v="Low Price "/>
    <x v="29"/>
    <n v="621"/>
  </r>
  <r>
    <x v="29"/>
    <n v="2026"/>
    <x v="1"/>
    <x v="1"/>
    <s v="Preservativo Masculino"/>
    <s v="Low Price "/>
    <x v="29"/>
    <n v="1045"/>
  </r>
  <r>
    <x v="29"/>
    <n v="2026"/>
    <x v="2"/>
    <x v="1"/>
    <s v="Preservativo Masculino"/>
    <s v="Low Price "/>
    <x v="29"/>
    <n v="1458"/>
  </r>
  <r>
    <x v="29"/>
    <n v="2026"/>
    <x v="3"/>
    <x v="1"/>
    <s v="Preservativo Masculino"/>
    <s v="Low Price "/>
    <x v="29"/>
    <n v="0"/>
  </r>
  <r>
    <x v="29"/>
    <n v="2026"/>
    <x v="4"/>
    <x v="1"/>
    <s v="Preservativo Masculino"/>
    <s v="Low Price "/>
    <x v="29"/>
    <n v="0"/>
  </r>
  <r>
    <x v="29"/>
    <n v="2026"/>
    <x v="5"/>
    <x v="1"/>
    <s v="Preservativo Masculino"/>
    <s v="Low Price "/>
    <x v="29"/>
    <n v="0"/>
  </r>
  <r>
    <x v="29"/>
    <n v="2026"/>
    <x v="6"/>
    <x v="1"/>
    <s v="Preservativo Masculino"/>
    <s v="Low Price "/>
    <x v="29"/>
    <n v="4908"/>
  </r>
  <r>
    <x v="29"/>
    <n v="2026"/>
    <x v="7"/>
    <x v="1"/>
    <s v="Preservativo Masculino"/>
    <s v="Low Price "/>
    <x v="29"/>
    <n v="13083"/>
  </r>
  <r>
    <x v="29"/>
    <n v="2026"/>
    <x v="8"/>
    <x v="1"/>
    <s v="Preservativo Masculino"/>
    <s v="Low Price "/>
    <x v="29"/>
    <n v="6644"/>
  </r>
  <r>
    <x v="29"/>
    <n v="2026"/>
    <x v="9"/>
    <x v="1"/>
    <s v="Preservativo Masculino"/>
    <s v="Low Price "/>
    <x v="29"/>
    <n v="5848"/>
  </r>
  <r>
    <x v="29"/>
    <n v="2026"/>
    <x v="10"/>
    <x v="1"/>
    <s v="Preservativo Masculino"/>
    <s v="Low Price "/>
    <x v="29"/>
    <n v="22348"/>
  </r>
  <r>
    <x v="29"/>
    <n v="2026"/>
    <x v="11"/>
    <x v="1"/>
    <s v="Preservativo Masculino"/>
    <s v="Low Price "/>
    <x v="29"/>
    <n v="23848"/>
  </r>
  <r>
    <x v="30"/>
    <n v="2026"/>
    <x v="0"/>
    <x v="1"/>
    <s v="Preservativo Masculino"/>
    <s v="Básico"/>
    <x v="30"/>
    <n v="1162"/>
  </r>
  <r>
    <x v="30"/>
    <n v="2026"/>
    <x v="1"/>
    <x v="1"/>
    <s v="Preservativo Masculino"/>
    <s v="Básico"/>
    <x v="30"/>
    <n v="3291"/>
  </r>
  <r>
    <x v="30"/>
    <n v="2026"/>
    <x v="2"/>
    <x v="1"/>
    <s v="Preservativo Masculino"/>
    <s v="Básico"/>
    <x v="30"/>
    <n v="22280"/>
  </r>
  <r>
    <x v="30"/>
    <n v="2026"/>
    <x v="3"/>
    <x v="1"/>
    <s v="Preservativo Masculino"/>
    <s v="Básico"/>
    <x v="30"/>
    <n v="12851.94994"/>
  </r>
  <r>
    <x v="30"/>
    <n v="2026"/>
    <x v="4"/>
    <x v="1"/>
    <s v="Preservativo Masculino"/>
    <s v="Básico"/>
    <x v="30"/>
    <n v="8381.42202"/>
  </r>
  <r>
    <x v="30"/>
    <n v="2026"/>
    <x v="5"/>
    <x v="1"/>
    <s v="Preservativo Masculino"/>
    <s v="Básico"/>
    <x v="30"/>
    <n v="6772.5041600000004"/>
  </r>
  <r>
    <x v="30"/>
    <n v="2026"/>
    <x v="6"/>
    <x v="1"/>
    <s v="Preservativo Masculino"/>
    <s v="Básico"/>
    <x v="30"/>
    <n v="4834.8774800000001"/>
  </r>
  <r>
    <x v="30"/>
    <n v="2026"/>
    <x v="7"/>
    <x v="1"/>
    <s v="Preservativo Masculino"/>
    <s v="Básico"/>
    <x v="30"/>
    <n v="3053.5498000000002"/>
  </r>
  <r>
    <x v="30"/>
    <n v="2026"/>
    <x v="8"/>
    <x v="1"/>
    <s v="Preservativo Masculino"/>
    <s v="Básico"/>
    <x v="30"/>
    <n v="28531.615740000001"/>
  </r>
  <r>
    <x v="30"/>
    <n v="2026"/>
    <x v="9"/>
    <x v="1"/>
    <s v="Preservativo Masculino"/>
    <s v="Básico"/>
    <x v="30"/>
    <n v="12972.58812"/>
  </r>
  <r>
    <x v="30"/>
    <n v="2026"/>
    <x v="10"/>
    <x v="1"/>
    <s v="Preservativo Masculino"/>
    <s v="Básico"/>
    <x v="30"/>
    <n v="22972.58812"/>
  </r>
  <r>
    <x v="30"/>
    <n v="2026"/>
    <x v="11"/>
    <x v="1"/>
    <s v="Preservativo Masculino"/>
    <s v="Básico"/>
    <x v="30"/>
    <n v="12572.58812"/>
  </r>
  <r>
    <x v="31"/>
    <n v="2026"/>
    <x v="0"/>
    <x v="1"/>
    <s v="Preservativo Masculino"/>
    <s v="Básico"/>
    <x v="31"/>
    <n v="3153"/>
  </r>
  <r>
    <x v="31"/>
    <n v="2026"/>
    <x v="1"/>
    <x v="1"/>
    <s v="Preservativo Masculino"/>
    <s v="Básico"/>
    <x v="31"/>
    <n v="6342"/>
  </r>
  <r>
    <x v="31"/>
    <n v="2026"/>
    <x v="2"/>
    <x v="1"/>
    <s v="Preservativo Masculino"/>
    <s v="Básico"/>
    <x v="31"/>
    <n v="57377"/>
  </r>
  <r>
    <x v="31"/>
    <n v="2026"/>
    <x v="3"/>
    <x v="1"/>
    <s v="Preservativo Masculino"/>
    <s v="Básico"/>
    <x v="31"/>
    <n v="29742.835160000002"/>
  </r>
  <r>
    <x v="31"/>
    <n v="2026"/>
    <x v="4"/>
    <x v="1"/>
    <s v="Preservativo Masculino"/>
    <s v="Básico"/>
    <x v="31"/>
    <n v="33420.176960000004"/>
  </r>
  <r>
    <x v="31"/>
    <n v="2026"/>
    <x v="5"/>
    <x v="1"/>
    <s v="Preservativo Masculino"/>
    <s v="Básico"/>
    <x v="31"/>
    <n v="43498.868460000005"/>
  </r>
  <r>
    <x v="31"/>
    <n v="2026"/>
    <x v="6"/>
    <x v="1"/>
    <s v="Preservativo Masculino"/>
    <s v="Básico"/>
    <x v="31"/>
    <n v="27372.488440000005"/>
  </r>
  <r>
    <x v="31"/>
    <n v="2026"/>
    <x v="7"/>
    <x v="1"/>
    <s v="Preservativo Masculino"/>
    <s v="Básico"/>
    <x v="31"/>
    <n v="21486.355540000004"/>
  </r>
  <r>
    <x v="31"/>
    <n v="2026"/>
    <x v="8"/>
    <x v="1"/>
    <s v="Preservativo Masculino"/>
    <s v="Básico"/>
    <x v="31"/>
    <n v="30700.043980000006"/>
  </r>
  <r>
    <x v="31"/>
    <n v="2026"/>
    <x v="9"/>
    <x v="1"/>
    <s v="Preservativo Masculino"/>
    <s v="Básico"/>
    <x v="31"/>
    <n v="16083.921100000007"/>
  </r>
  <r>
    <x v="31"/>
    <n v="2026"/>
    <x v="10"/>
    <x v="1"/>
    <s v="Preservativo Masculino"/>
    <s v="Básico"/>
    <x v="31"/>
    <n v="20483.921100000007"/>
  </r>
  <r>
    <x v="31"/>
    <n v="2026"/>
    <x v="11"/>
    <x v="1"/>
    <s v="Preservativo Masculino"/>
    <s v="Básico"/>
    <x v="31"/>
    <n v="9283.9211000000068"/>
  </r>
  <r>
    <x v="32"/>
    <n v="2026"/>
    <x v="0"/>
    <x v="1"/>
    <s v="Preservativo Masculino"/>
    <s v="Básico"/>
    <x v="32"/>
    <n v="2973"/>
  </r>
  <r>
    <x v="32"/>
    <n v="2026"/>
    <x v="1"/>
    <x v="1"/>
    <s v="Preservativo Masculino"/>
    <s v="Básico"/>
    <x v="32"/>
    <n v="4131"/>
  </r>
  <r>
    <x v="32"/>
    <n v="2026"/>
    <x v="2"/>
    <x v="1"/>
    <s v="Preservativo Masculino"/>
    <s v="Básico"/>
    <x v="32"/>
    <n v="34774"/>
  </r>
  <r>
    <x v="32"/>
    <n v="2026"/>
    <x v="3"/>
    <x v="1"/>
    <s v="Preservativo Masculino"/>
    <s v="Básico"/>
    <x v="32"/>
    <n v="16707.43936"/>
  </r>
  <r>
    <x v="32"/>
    <n v="2026"/>
    <x v="4"/>
    <x v="1"/>
    <s v="Preservativo Masculino"/>
    <s v="Básico"/>
    <x v="32"/>
    <n v="21605.444479999998"/>
  </r>
  <r>
    <x v="32"/>
    <n v="2026"/>
    <x v="5"/>
    <x v="1"/>
    <s v="Preservativo Masculino"/>
    <s v="Básico"/>
    <x v="32"/>
    <n v="12232.609919999999"/>
  </r>
  <r>
    <x v="32"/>
    <n v="2026"/>
    <x v="6"/>
    <x v="1"/>
    <s v="Preservativo Masculino"/>
    <s v="Básico"/>
    <x v="32"/>
    <n v="8862.3225599999987"/>
  </r>
  <r>
    <x v="32"/>
    <n v="2026"/>
    <x v="7"/>
    <x v="1"/>
    <s v="Preservativo Masculino"/>
    <s v="Básico"/>
    <x v="32"/>
    <n v="6095.0214399999986"/>
  </r>
  <r>
    <x v="32"/>
    <n v="2026"/>
    <x v="8"/>
    <x v="1"/>
    <s v="Preservativo Masculino"/>
    <s v="Básico"/>
    <x v="32"/>
    <n v="16884.350079999997"/>
  </r>
  <r>
    <x v="32"/>
    <n v="2026"/>
    <x v="9"/>
    <x v="1"/>
    <s v="Preservativo Masculino"/>
    <s v="Básico"/>
    <x v="32"/>
    <n v="7080.6111999999985"/>
  </r>
  <r>
    <x v="32"/>
    <n v="2026"/>
    <x v="10"/>
    <x v="1"/>
    <s v="Preservativo Masculino"/>
    <s v="Básico"/>
    <x v="32"/>
    <n v="16680.611199999999"/>
  </r>
  <r>
    <x v="32"/>
    <n v="2026"/>
    <x v="11"/>
    <x v="1"/>
    <s v="Preservativo Masculino"/>
    <s v="Básico"/>
    <x v="32"/>
    <n v="5880.6111999999994"/>
  </r>
  <r>
    <x v="33"/>
    <n v="2026"/>
    <x v="0"/>
    <x v="1"/>
    <s v="Preservativo Masculino"/>
    <s v="Performance"/>
    <x v="33"/>
    <n v="0"/>
  </r>
  <r>
    <x v="33"/>
    <n v="2026"/>
    <x v="1"/>
    <x v="1"/>
    <s v="Preservativo Masculino"/>
    <s v="Performance"/>
    <x v="33"/>
    <n v="2064"/>
  </r>
  <r>
    <x v="33"/>
    <n v="2026"/>
    <x v="2"/>
    <x v="1"/>
    <s v="Preservativo Masculino"/>
    <s v="Performance"/>
    <x v="33"/>
    <n v="3928"/>
  </r>
  <r>
    <x v="33"/>
    <n v="2026"/>
    <x v="3"/>
    <x v="1"/>
    <s v="Preservativo Masculino"/>
    <s v="Performance"/>
    <x v="33"/>
    <n v="5699.4679999999998"/>
  </r>
  <r>
    <x v="33"/>
    <n v="2026"/>
    <x v="4"/>
    <x v="1"/>
    <s v="Preservativo Masculino"/>
    <s v="Performance"/>
    <x v="33"/>
    <n v="2219.6409999999996"/>
  </r>
  <r>
    <x v="33"/>
    <n v="2026"/>
    <x v="5"/>
    <x v="1"/>
    <s v="Preservativo Masculino"/>
    <s v="Performance"/>
    <x v="33"/>
    <n v="15107.004999999999"/>
  </r>
  <r>
    <x v="33"/>
    <n v="2026"/>
    <x v="6"/>
    <x v="1"/>
    <s v="Preservativo Masculino"/>
    <s v="Performance"/>
    <x v="33"/>
    <n v="7438.07"/>
  </r>
  <r>
    <x v="33"/>
    <n v="2026"/>
    <x v="7"/>
    <x v="1"/>
    <s v="Preservativo Masculino"/>
    <s v="Performance"/>
    <x v="33"/>
    <n v="6654.3889999999992"/>
  </r>
  <r>
    <x v="33"/>
    <n v="2026"/>
    <x v="8"/>
    <x v="1"/>
    <s v="Preservativo Masculino"/>
    <s v="Performance"/>
    <x v="33"/>
    <n v="5881.637999999999"/>
  </r>
  <r>
    <x v="33"/>
    <n v="2026"/>
    <x v="9"/>
    <x v="1"/>
    <s v="Preservativo Masculino"/>
    <s v="Performance"/>
    <x v="33"/>
    <n v="4932.9139999999989"/>
  </r>
  <r>
    <x v="33"/>
    <n v="2026"/>
    <x v="10"/>
    <x v="1"/>
    <s v="Preservativo Masculino"/>
    <s v="Performance"/>
    <x v="33"/>
    <n v="4048.6769999999988"/>
  </r>
  <r>
    <x v="33"/>
    <n v="2026"/>
    <x v="11"/>
    <x v="1"/>
    <s v="Preservativo Masculino"/>
    <s v="Performance"/>
    <x v="33"/>
    <n v="3192.8579999999988"/>
  </r>
  <r>
    <x v="34"/>
    <n v="2026"/>
    <x v="0"/>
    <x v="1"/>
    <s v="Preservativo Masculino"/>
    <s v="Performance"/>
    <x v="34"/>
    <n v="0"/>
  </r>
  <r>
    <x v="34"/>
    <n v="2026"/>
    <x v="1"/>
    <x v="1"/>
    <s v="Preservativo Masculino"/>
    <s v="Performance"/>
    <x v="34"/>
    <n v="2981"/>
  </r>
  <r>
    <x v="34"/>
    <n v="2026"/>
    <x v="2"/>
    <x v="1"/>
    <s v="Preservativo Masculino"/>
    <s v="Performance"/>
    <x v="34"/>
    <n v="4496"/>
  </r>
  <r>
    <x v="34"/>
    <n v="2026"/>
    <x v="3"/>
    <x v="1"/>
    <s v="Preservativo Masculino"/>
    <s v="Performance"/>
    <x v="34"/>
    <n v="1026.8180000000002"/>
  </r>
  <r>
    <x v="34"/>
    <n v="2026"/>
    <x v="4"/>
    <x v="1"/>
    <s v="Preservativo Masculino"/>
    <s v="Performance"/>
    <x v="34"/>
    <n v="19898.804"/>
  </r>
  <r>
    <x v="34"/>
    <n v="2026"/>
    <x v="5"/>
    <x v="1"/>
    <s v="Preservativo Masculino"/>
    <s v="Performance"/>
    <x v="34"/>
    <n v="18345.631999999998"/>
  </r>
  <r>
    <x v="34"/>
    <n v="2026"/>
    <x v="6"/>
    <x v="1"/>
    <s v="Preservativo Masculino"/>
    <s v="Performance"/>
    <x v="34"/>
    <n v="10227.322"/>
  </r>
  <r>
    <x v="34"/>
    <n v="2026"/>
    <x v="7"/>
    <x v="1"/>
    <s v="Preservativo Masculino"/>
    <s v="Performance"/>
    <x v="34"/>
    <n v="8184.5050000000001"/>
  </r>
  <r>
    <x v="34"/>
    <n v="2026"/>
    <x v="8"/>
    <x v="1"/>
    <s v="Preservativo Masculino"/>
    <s v="Performance"/>
    <x v="34"/>
    <n v="6046.5969999999998"/>
  </r>
  <r>
    <x v="34"/>
    <n v="2026"/>
    <x v="9"/>
    <x v="1"/>
    <s v="Preservativo Masculino"/>
    <s v="Performance"/>
    <x v="34"/>
    <n v="3934.9209999999998"/>
  </r>
  <r>
    <x v="34"/>
    <n v="2026"/>
    <x v="10"/>
    <x v="1"/>
    <s v="Preservativo Masculino"/>
    <s v="Performance"/>
    <x v="34"/>
    <n v="11641.769"/>
  </r>
  <r>
    <x v="34"/>
    <n v="2026"/>
    <x v="11"/>
    <x v="1"/>
    <s v="Preservativo Masculino"/>
    <s v="Performance"/>
    <x v="34"/>
    <n v="4036.076"/>
  </r>
  <r>
    <x v="35"/>
    <n v="2026"/>
    <x v="0"/>
    <x v="1"/>
    <s v="Preservativo Masculino"/>
    <s v="Performance"/>
    <x v="35"/>
    <n v="561"/>
  </r>
  <r>
    <x v="35"/>
    <n v="2026"/>
    <x v="1"/>
    <x v="1"/>
    <s v="Preservativo Masculino"/>
    <s v="Performance"/>
    <x v="35"/>
    <n v="865"/>
  </r>
  <r>
    <x v="35"/>
    <n v="2026"/>
    <x v="2"/>
    <x v="1"/>
    <s v="Preservativo Masculino"/>
    <s v="Performance"/>
    <x v="35"/>
    <n v="2677"/>
  </r>
  <r>
    <x v="35"/>
    <n v="2026"/>
    <x v="3"/>
    <x v="1"/>
    <s v="Preservativo Masculino"/>
    <s v="Performance"/>
    <x v="35"/>
    <n v="2137.058"/>
  </r>
  <r>
    <x v="35"/>
    <n v="2026"/>
    <x v="4"/>
    <x v="1"/>
    <s v="Preservativo Masculino"/>
    <s v="Performance"/>
    <x v="35"/>
    <n v="1851.7849999999999"/>
  </r>
  <r>
    <x v="35"/>
    <n v="2026"/>
    <x v="5"/>
    <x v="1"/>
    <s v="Preservativo Masculino"/>
    <s v="Performance"/>
    <x v="35"/>
    <n v="1479.0719999999999"/>
  </r>
  <r>
    <x v="35"/>
    <n v="2026"/>
    <x v="6"/>
    <x v="1"/>
    <s v="Preservativo Masculino"/>
    <s v="Performance"/>
    <x v="35"/>
    <n v="979.57099999999991"/>
  </r>
  <r>
    <x v="35"/>
    <n v="2026"/>
    <x v="7"/>
    <x v="1"/>
    <s v="Preservativo Masculino"/>
    <s v="Performance"/>
    <x v="35"/>
    <n v="613.41599999999994"/>
  </r>
  <r>
    <x v="35"/>
    <n v="2026"/>
    <x v="8"/>
    <x v="1"/>
    <s v="Preservativo Masculino"/>
    <s v="Performance"/>
    <x v="35"/>
    <n v="6873.4740000000002"/>
  </r>
  <r>
    <x v="35"/>
    <n v="2026"/>
    <x v="9"/>
    <x v="1"/>
    <s v="Preservativo Masculino"/>
    <s v="Performance"/>
    <x v="35"/>
    <n v="2921.509"/>
  </r>
  <r>
    <x v="35"/>
    <n v="2026"/>
    <x v="10"/>
    <x v="1"/>
    <s v="Preservativo Masculino"/>
    <s v="Performance"/>
    <x v="35"/>
    <n v="2491.96"/>
  </r>
  <r>
    <x v="35"/>
    <n v="2026"/>
    <x v="11"/>
    <x v="1"/>
    <s v="Preservativo Masculino"/>
    <s v="Performance"/>
    <x v="35"/>
    <n v="2062.4110000000001"/>
  </r>
  <r>
    <x v="36"/>
    <n v="2026"/>
    <x v="0"/>
    <x v="1"/>
    <s v="Preservativo Masculino"/>
    <s v="Performance"/>
    <x v="36"/>
    <n v="0"/>
  </r>
  <r>
    <x v="36"/>
    <n v="2026"/>
    <x v="1"/>
    <x v="1"/>
    <s v="Preservativo Masculino"/>
    <s v="Performance"/>
    <x v="36"/>
    <n v="1171"/>
  </r>
  <r>
    <x v="36"/>
    <n v="2026"/>
    <x v="2"/>
    <x v="1"/>
    <s v="Preservativo Masculino"/>
    <s v="Performance"/>
    <x v="36"/>
    <n v="7806"/>
  </r>
  <r>
    <x v="36"/>
    <n v="2026"/>
    <x v="3"/>
    <x v="1"/>
    <s v="Preservativo Masculino"/>
    <s v="Performance"/>
    <x v="36"/>
    <n v="10019.040000000001"/>
  </r>
  <r>
    <x v="36"/>
    <n v="2026"/>
    <x v="4"/>
    <x v="1"/>
    <s v="Preservativo Masculino"/>
    <s v="Performance"/>
    <x v="36"/>
    <n v="6822.3"/>
  </r>
  <r>
    <x v="36"/>
    <n v="2026"/>
    <x v="5"/>
    <x v="1"/>
    <s v="Preservativo Masculino"/>
    <s v="Performance"/>
    <x v="36"/>
    <n v="6330.45"/>
  </r>
  <r>
    <x v="36"/>
    <n v="2026"/>
    <x v="6"/>
    <x v="1"/>
    <s v="Preservativo Masculino"/>
    <s v="Performance"/>
    <x v="36"/>
    <n v="5838.5999999999995"/>
  </r>
  <r>
    <x v="36"/>
    <n v="2026"/>
    <x v="7"/>
    <x v="1"/>
    <s v="Preservativo Masculino"/>
    <s v="Performance"/>
    <x v="36"/>
    <n v="5346.7499999999991"/>
  </r>
  <r>
    <x v="36"/>
    <n v="2026"/>
    <x v="8"/>
    <x v="1"/>
    <s v="Preservativo Masculino"/>
    <s v="Performance"/>
    <x v="36"/>
    <n v="4854.8999999999987"/>
  </r>
  <r>
    <x v="36"/>
    <n v="2026"/>
    <x v="9"/>
    <x v="1"/>
    <s v="Preservativo Masculino"/>
    <s v="Performance"/>
    <x v="36"/>
    <n v="4363.0499999999984"/>
  </r>
  <r>
    <x v="36"/>
    <n v="2026"/>
    <x v="10"/>
    <x v="1"/>
    <s v="Preservativo Masculino"/>
    <s v="Performance"/>
    <x v="36"/>
    <n v="3871.1999999999985"/>
  </r>
  <r>
    <x v="36"/>
    <n v="2026"/>
    <x v="11"/>
    <x v="1"/>
    <s v="Preservativo Masculino"/>
    <s v="Performance"/>
    <x v="36"/>
    <n v="3379.3499999999985"/>
  </r>
  <r>
    <x v="37"/>
    <n v="2026"/>
    <x v="0"/>
    <x v="1"/>
    <s v="Preservativo Masculino"/>
    <s v="Performance"/>
    <x v="37"/>
    <n v="307"/>
  </r>
  <r>
    <x v="37"/>
    <n v="2026"/>
    <x v="1"/>
    <x v="1"/>
    <s v="Preservativo Masculino"/>
    <s v="Performance"/>
    <x v="37"/>
    <n v="341"/>
  </r>
  <r>
    <x v="37"/>
    <n v="2026"/>
    <x v="2"/>
    <x v="1"/>
    <s v="Preservativo Masculino"/>
    <s v="Performance"/>
    <x v="37"/>
    <n v="7294"/>
  </r>
  <r>
    <x v="37"/>
    <n v="2026"/>
    <x v="3"/>
    <x v="1"/>
    <s v="Preservativo Masculino"/>
    <s v="Performance"/>
    <x v="37"/>
    <n v="6195.5349999999999"/>
  </r>
  <r>
    <x v="37"/>
    <n v="2026"/>
    <x v="4"/>
    <x v="1"/>
    <s v="Preservativo Masculino"/>
    <s v="Performance"/>
    <x v="37"/>
    <n v="5966.0050000000001"/>
  </r>
  <r>
    <x v="37"/>
    <n v="2026"/>
    <x v="5"/>
    <x v="1"/>
    <s v="Preservativo Masculino"/>
    <s v="Performance"/>
    <x v="37"/>
    <n v="5200.9049999999997"/>
  </r>
  <r>
    <x v="37"/>
    <n v="2026"/>
    <x v="6"/>
    <x v="1"/>
    <s v="Preservativo Masculino"/>
    <s v="Performance"/>
    <x v="37"/>
    <n v="4435.8049999999994"/>
  </r>
  <r>
    <x v="37"/>
    <n v="2026"/>
    <x v="7"/>
    <x v="1"/>
    <s v="Preservativo Masculino"/>
    <s v="Performance"/>
    <x v="37"/>
    <n v="3670.7049999999995"/>
  </r>
  <r>
    <x v="37"/>
    <n v="2026"/>
    <x v="8"/>
    <x v="1"/>
    <s v="Preservativo Masculino"/>
    <s v="Performance"/>
    <x v="37"/>
    <n v="2905.6049999999996"/>
  </r>
  <r>
    <x v="37"/>
    <n v="2026"/>
    <x v="9"/>
    <x v="1"/>
    <s v="Preservativo Masculino"/>
    <s v="Performance"/>
    <x v="37"/>
    <n v="2140.5049999999997"/>
  </r>
  <r>
    <x v="37"/>
    <n v="2026"/>
    <x v="10"/>
    <x v="1"/>
    <s v="Preservativo Masculino"/>
    <s v="Performance"/>
    <x v="37"/>
    <n v="1375.4049999999997"/>
  </r>
  <r>
    <x v="37"/>
    <n v="2026"/>
    <x v="11"/>
    <x v="1"/>
    <s v="Preservativo Masculino"/>
    <s v="Performance"/>
    <x v="37"/>
    <n v="610.30499999999972"/>
  </r>
  <r>
    <x v="38"/>
    <n v="2026"/>
    <x v="0"/>
    <x v="1"/>
    <s v="Preservativo Masculino"/>
    <s v="Performance"/>
    <x v="38"/>
    <n v="305"/>
  </r>
  <r>
    <x v="38"/>
    <n v="2026"/>
    <x v="1"/>
    <x v="1"/>
    <s v="Preservativo Masculino"/>
    <s v="Performance"/>
    <x v="38"/>
    <n v="204"/>
  </r>
  <r>
    <x v="38"/>
    <n v="2026"/>
    <x v="2"/>
    <x v="1"/>
    <s v="Preservativo Masculino"/>
    <s v="Performance"/>
    <x v="38"/>
    <n v="6133"/>
  </r>
  <r>
    <x v="38"/>
    <n v="2026"/>
    <x v="3"/>
    <x v="1"/>
    <s v="Preservativo Masculino"/>
    <s v="Performance"/>
    <x v="38"/>
    <n v="8514.362000000001"/>
  </r>
  <r>
    <x v="38"/>
    <n v="2026"/>
    <x v="4"/>
    <x v="1"/>
    <s v="Preservativo Masculino"/>
    <s v="Performance"/>
    <x v="38"/>
    <n v="5232.3680000000004"/>
  </r>
  <r>
    <x v="38"/>
    <n v="2026"/>
    <x v="5"/>
    <x v="1"/>
    <s v="Preservativo Masculino"/>
    <s v="Performance"/>
    <x v="38"/>
    <n v="4906.6540000000005"/>
  </r>
  <r>
    <x v="38"/>
    <n v="2026"/>
    <x v="6"/>
    <x v="1"/>
    <s v="Preservativo Masculino"/>
    <s v="Performance"/>
    <x v="38"/>
    <n v="4481.4770000000008"/>
  </r>
  <r>
    <x v="38"/>
    <n v="2026"/>
    <x v="7"/>
    <x v="1"/>
    <s v="Preservativo Masculino"/>
    <s v="Performance"/>
    <x v="38"/>
    <n v="4161.228000000001"/>
  </r>
  <r>
    <x v="38"/>
    <n v="2026"/>
    <x v="8"/>
    <x v="1"/>
    <s v="Preservativo Masculino"/>
    <s v="Performance"/>
    <x v="38"/>
    <n v="3811.4680000000008"/>
  </r>
  <r>
    <x v="38"/>
    <n v="2026"/>
    <x v="9"/>
    <x v="1"/>
    <s v="Preservativo Masculino"/>
    <s v="Performance"/>
    <x v="38"/>
    <n v="3447.4990000000007"/>
  </r>
  <r>
    <x v="38"/>
    <n v="2026"/>
    <x v="10"/>
    <x v="1"/>
    <s v="Preservativo Masculino"/>
    <s v="Performance"/>
    <x v="38"/>
    <n v="3040.9030000000007"/>
  </r>
  <r>
    <x v="38"/>
    <n v="2026"/>
    <x v="11"/>
    <x v="1"/>
    <s v="Preservativo Masculino"/>
    <s v="Performance"/>
    <x v="38"/>
    <n v="2704.2590000000009"/>
  </r>
  <r>
    <x v="39"/>
    <n v="2026"/>
    <x v="0"/>
    <x v="1"/>
    <s v="Preservativo Masculino"/>
    <s v="Performance"/>
    <x v="39"/>
    <n v="1"/>
  </r>
  <r>
    <x v="39"/>
    <n v="2026"/>
    <x v="1"/>
    <x v="1"/>
    <s v="Preservativo Masculino"/>
    <s v="Performance"/>
    <x v="39"/>
    <n v="711"/>
  </r>
  <r>
    <x v="39"/>
    <n v="2026"/>
    <x v="2"/>
    <x v="1"/>
    <s v="Preservativo Masculino"/>
    <s v="Performance"/>
    <x v="39"/>
    <n v="5281"/>
  </r>
  <r>
    <x v="39"/>
    <n v="2026"/>
    <x v="3"/>
    <x v="1"/>
    <s v="Preservativo Masculino"/>
    <s v="Performance"/>
    <x v="39"/>
    <n v="7868"/>
  </r>
  <r>
    <x v="39"/>
    <n v="2026"/>
    <x v="4"/>
    <x v="1"/>
    <s v="Preservativo Masculino"/>
    <s v="Performance"/>
    <x v="39"/>
    <n v="4808"/>
  </r>
  <r>
    <x v="39"/>
    <n v="2026"/>
    <x v="5"/>
    <x v="1"/>
    <s v="Preservativo Masculino"/>
    <s v="Performance"/>
    <x v="39"/>
    <n v="4573"/>
  </r>
  <r>
    <x v="39"/>
    <n v="2026"/>
    <x v="6"/>
    <x v="1"/>
    <s v="Preservativo Masculino"/>
    <s v="Performance"/>
    <x v="39"/>
    <n v="4284"/>
  </r>
  <r>
    <x v="39"/>
    <n v="2026"/>
    <x v="7"/>
    <x v="1"/>
    <s v="Preservativo Masculino"/>
    <s v="Performance"/>
    <x v="39"/>
    <n v="3983"/>
  </r>
  <r>
    <x v="39"/>
    <n v="2026"/>
    <x v="8"/>
    <x v="1"/>
    <s v="Preservativo Masculino"/>
    <s v="Performance"/>
    <x v="39"/>
    <n v="3571"/>
  </r>
  <r>
    <x v="39"/>
    <n v="2026"/>
    <x v="9"/>
    <x v="1"/>
    <s v="Preservativo Masculino"/>
    <s v="Performance"/>
    <x v="39"/>
    <n v="3339"/>
  </r>
  <r>
    <x v="39"/>
    <n v="2026"/>
    <x v="10"/>
    <x v="1"/>
    <s v="Preservativo Masculino"/>
    <s v="Performance"/>
    <x v="39"/>
    <n v="2989"/>
  </r>
  <r>
    <x v="39"/>
    <n v="2026"/>
    <x v="11"/>
    <x v="1"/>
    <s v="Preservativo Masculino"/>
    <s v="Performance"/>
    <x v="39"/>
    <n v="2639"/>
  </r>
  <r>
    <x v="40"/>
    <n v="2026"/>
    <x v="0"/>
    <x v="1"/>
    <s v="Gel Lubrificante"/>
    <s v="Lub 100G"/>
    <x v="40"/>
    <n v="0"/>
  </r>
  <r>
    <x v="40"/>
    <n v="2026"/>
    <x v="1"/>
    <x v="1"/>
    <s v="Gel Lubrificante"/>
    <s v="Lub 100G"/>
    <x v="40"/>
    <n v="0"/>
  </r>
  <r>
    <x v="40"/>
    <n v="2026"/>
    <x v="2"/>
    <x v="1"/>
    <s v="Gel Lubrificante"/>
    <s v="Lub 100G"/>
    <x v="40"/>
    <n v="0"/>
  </r>
  <r>
    <x v="40"/>
    <n v="2026"/>
    <x v="3"/>
    <x v="1"/>
    <s v="Gel Lubrificante"/>
    <s v="Lub 100G"/>
    <x v="40"/>
    <n v="0"/>
  </r>
  <r>
    <x v="40"/>
    <n v="2026"/>
    <x v="4"/>
    <x v="1"/>
    <s v="Gel Lubrificante"/>
    <s v="Lub 100G"/>
    <x v="40"/>
    <n v="0"/>
  </r>
  <r>
    <x v="40"/>
    <n v="2026"/>
    <x v="5"/>
    <x v="1"/>
    <s v="Gel Lubrificante"/>
    <s v="Lub 100G"/>
    <x v="40"/>
    <n v="0"/>
  </r>
  <r>
    <x v="40"/>
    <n v="2026"/>
    <x v="6"/>
    <x v="1"/>
    <s v="Gel Lubrificante"/>
    <s v="Lub 100G"/>
    <x v="40"/>
    <n v="0"/>
  </r>
  <r>
    <x v="40"/>
    <n v="2026"/>
    <x v="7"/>
    <x v="1"/>
    <s v="Gel Lubrificante"/>
    <s v="Lub 100G"/>
    <x v="40"/>
    <n v="0"/>
  </r>
  <r>
    <x v="40"/>
    <n v="2026"/>
    <x v="8"/>
    <x v="1"/>
    <s v="Gel Lubrificante"/>
    <s v="Lub 100G"/>
    <x v="40"/>
    <n v="11982.1"/>
  </r>
  <r>
    <x v="40"/>
    <n v="2026"/>
    <x v="9"/>
    <x v="1"/>
    <s v="Gel Lubrificante"/>
    <s v="Lub 100G"/>
    <x v="40"/>
    <n v="3604.6000000000004"/>
  </r>
  <r>
    <x v="40"/>
    <n v="2026"/>
    <x v="10"/>
    <x v="1"/>
    <s v="Gel Lubrificante"/>
    <s v="Lub 100G"/>
    <x v="40"/>
    <n v="1968.9000000000003"/>
  </r>
  <r>
    <x v="40"/>
    <n v="2026"/>
    <x v="11"/>
    <x v="1"/>
    <s v="Gel Lubrificante"/>
    <s v="Lub 100G"/>
    <x v="40"/>
    <n v="170.40000000000032"/>
  </r>
  <r>
    <x v="41"/>
    <n v="2026"/>
    <x v="0"/>
    <x v="1"/>
    <s v="Gel Lubrificante"/>
    <s v="Lub 100G"/>
    <x v="41"/>
    <n v="0"/>
  </r>
  <r>
    <x v="41"/>
    <n v="2026"/>
    <x v="1"/>
    <x v="1"/>
    <s v="Gel Lubrificante"/>
    <s v="Lub 100G"/>
    <x v="41"/>
    <n v="0"/>
  </r>
  <r>
    <x v="41"/>
    <n v="2026"/>
    <x v="2"/>
    <x v="1"/>
    <s v="Gel Lubrificante"/>
    <s v="Lub 100G"/>
    <x v="41"/>
    <n v="0"/>
  </r>
  <r>
    <x v="41"/>
    <n v="2026"/>
    <x v="3"/>
    <x v="1"/>
    <s v="Gel Lubrificante"/>
    <s v="Lub 100G"/>
    <x v="41"/>
    <n v="0"/>
  </r>
  <r>
    <x v="41"/>
    <n v="2026"/>
    <x v="4"/>
    <x v="1"/>
    <s v="Gel Lubrificante"/>
    <s v="Lub 100G"/>
    <x v="41"/>
    <n v="0"/>
  </r>
  <r>
    <x v="41"/>
    <n v="2026"/>
    <x v="5"/>
    <x v="1"/>
    <s v="Gel Lubrificante"/>
    <s v="Lub 100G"/>
    <x v="41"/>
    <n v="0"/>
  </r>
  <r>
    <x v="41"/>
    <n v="2026"/>
    <x v="6"/>
    <x v="1"/>
    <s v="Gel Lubrificante"/>
    <s v="Lub 100G"/>
    <x v="41"/>
    <n v="0"/>
  </r>
  <r>
    <x v="41"/>
    <n v="2026"/>
    <x v="7"/>
    <x v="1"/>
    <s v="Gel Lubrificante"/>
    <s v="Lub 100G"/>
    <x v="41"/>
    <n v="0"/>
  </r>
  <r>
    <x v="41"/>
    <n v="2026"/>
    <x v="8"/>
    <x v="1"/>
    <s v="Gel Lubrificante"/>
    <s v="Lub 100G"/>
    <x v="41"/>
    <n v="2358.8000000000002"/>
  </r>
  <r>
    <x v="41"/>
    <n v="2026"/>
    <x v="9"/>
    <x v="1"/>
    <s v="Gel Lubrificante"/>
    <s v="Lub 100G"/>
    <x v="41"/>
    <n v="661.3"/>
  </r>
  <r>
    <x v="41"/>
    <n v="2026"/>
    <x v="10"/>
    <x v="1"/>
    <s v="Gel Lubrificante"/>
    <s v="Lub 100G"/>
    <x v="41"/>
    <n v="332.4"/>
  </r>
  <r>
    <x v="41"/>
    <n v="2026"/>
    <x v="11"/>
    <x v="1"/>
    <s v="Gel Lubrificante"/>
    <s v="Lub 100G"/>
    <x v="41"/>
    <n v="0"/>
  </r>
  <r>
    <x v="42"/>
    <n v="2026"/>
    <x v="0"/>
    <x v="1"/>
    <s v="Gel Lubrificante"/>
    <s v="Lub 100G"/>
    <x v="42"/>
    <n v="0"/>
  </r>
  <r>
    <x v="42"/>
    <n v="2026"/>
    <x v="1"/>
    <x v="1"/>
    <s v="Gel Lubrificante"/>
    <s v="Lub 100G"/>
    <x v="42"/>
    <n v="0"/>
  </r>
  <r>
    <x v="42"/>
    <n v="2026"/>
    <x v="2"/>
    <x v="1"/>
    <s v="Gel Lubrificante"/>
    <s v="Lub 100G"/>
    <x v="42"/>
    <n v="0"/>
  </r>
  <r>
    <x v="42"/>
    <n v="2026"/>
    <x v="3"/>
    <x v="1"/>
    <s v="Gel Lubrificante"/>
    <s v="Lub 100G"/>
    <x v="42"/>
    <n v="0"/>
  </r>
  <r>
    <x v="42"/>
    <n v="2026"/>
    <x v="4"/>
    <x v="1"/>
    <s v="Gel Lubrificante"/>
    <s v="Lub 100G"/>
    <x v="42"/>
    <n v="0"/>
  </r>
  <r>
    <x v="42"/>
    <n v="2026"/>
    <x v="5"/>
    <x v="1"/>
    <s v="Gel Lubrificante"/>
    <s v="Lub 100G"/>
    <x v="42"/>
    <n v="0"/>
  </r>
  <r>
    <x v="42"/>
    <n v="2026"/>
    <x v="6"/>
    <x v="1"/>
    <s v="Gel Lubrificante"/>
    <s v="Lub 100G"/>
    <x v="42"/>
    <n v="0"/>
  </r>
  <r>
    <x v="42"/>
    <n v="2026"/>
    <x v="7"/>
    <x v="1"/>
    <s v="Gel Lubrificante"/>
    <s v="Lub 100G"/>
    <x v="42"/>
    <n v="0"/>
  </r>
  <r>
    <x v="42"/>
    <n v="2026"/>
    <x v="8"/>
    <x v="1"/>
    <s v="Gel Lubrificante"/>
    <s v="Lub 100G"/>
    <x v="42"/>
    <n v="4415.1000000000004"/>
  </r>
  <r>
    <x v="42"/>
    <n v="2026"/>
    <x v="9"/>
    <x v="1"/>
    <s v="Gel Lubrificante"/>
    <s v="Lub 100G"/>
    <x v="42"/>
    <n v="637.29999999999995"/>
  </r>
  <r>
    <x v="42"/>
    <n v="2026"/>
    <x v="10"/>
    <x v="1"/>
    <s v="Gel Lubrificante"/>
    <s v="Lub 100G"/>
    <x v="42"/>
    <n v="0"/>
  </r>
  <r>
    <x v="42"/>
    <n v="2026"/>
    <x v="11"/>
    <x v="1"/>
    <s v="Gel Lubrificante"/>
    <s v="Lub 100G"/>
    <x v="42"/>
    <n v="0"/>
  </r>
  <r>
    <x v="43"/>
    <n v="2026"/>
    <x v="0"/>
    <x v="1"/>
    <s v="Gel Lubrificante"/>
    <s v="Lub 100G"/>
    <x v="43"/>
    <n v="0"/>
  </r>
  <r>
    <x v="43"/>
    <n v="2026"/>
    <x v="1"/>
    <x v="1"/>
    <s v="Gel Lubrificante"/>
    <s v="Lub 100G"/>
    <x v="43"/>
    <n v="0"/>
  </r>
  <r>
    <x v="43"/>
    <n v="2026"/>
    <x v="2"/>
    <x v="1"/>
    <s v="Gel Lubrificante"/>
    <s v="Lub 100G"/>
    <x v="43"/>
    <n v="0"/>
  </r>
  <r>
    <x v="43"/>
    <n v="2026"/>
    <x v="3"/>
    <x v="1"/>
    <s v="Gel Lubrificante"/>
    <s v="Lub 100G"/>
    <x v="43"/>
    <n v="0"/>
  </r>
  <r>
    <x v="43"/>
    <n v="2026"/>
    <x v="4"/>
    <x v="1"/>
    <s v="Gel Lubrificante"/>
    <s v="Lub 100G"/>
    <x v="43"/>
    <n v="0"/>
  </r>
  <r>
    <x v="43"/>
    <n v="2026"/>
    <x v="5"/>
    <x v="1"/>
    <s v="Gel Lubrificante"/>
    <s v="Lub 100G"/>
    <x v="43"/>
    <n v="0"/>
  </r>
  <r>
    <x v="43"/>
    <n v="2026"/>
    <x v="6"/>
    <x v="1"/>
    <s v="Gel Lubrificante"/>
    <s v="Lub 100G"/>
    <x v="43"/>
    <n v="0"/>
  </r>
  <r>
    <x v="43"/>
    <n v="2026"/>
    <x v="7"/>
    <x v="1"/>
    <s v="Gel Lubrificante"/>
    <s v="Lub 100G"/>
    <x v="43"/>
    <n v="0"/>
  </r>
  <r>
    <x v="43"/>
    <n v="2026"/>
    <x v="8"/>
    <x v="1"/>
    <s v="Gel Lubrificante"/>
    <s v="Lub 100G"/>
    <x v="43"/>
    <n v="2241.1"/>
  </r>
  <r>
    <x v="43"/>
    <n v="2026"/>
    <x v="9"/>
    <x v="1"/>
    <s v="Gel Lubrificante"/>
    <s v="Lub 100G"/>
    <x v="43"/>
    <n v="436.90000000000003"/>
  </r>
  <r>
    <x v="43"/>
    <n v="2026"/>
    <x v="10"/>
    <x v="1"/>
    <s v="Gel Lubrificante"/>
    <s v="Lub 100G"/>
    <x v="43"/>
    <n v="1.3000000000000114"/>
  </r>
  <r>
    <x v="43"/>
    <n v="2026"/>
    <x v="11"/>
    <x v="1"/>
    <s v="Gel Lubrificante"/>
    <s v="Lub 100G"/>
    <x v="43"/>
    <n v="0"/>
  </r>
  <r>
    <x v="44"/>
    <n v="2026"/>
    <x v="0"/>
    <x v="1"/>
    <s v="Gel Lubrificante"/>
    <s v="Lub 60G"/>
    <x v="44"/>
    <n v="0"/>
  </r>
  <r>
    <x v="44"/>
    <n v="2026"/>
    <x v="1"/>
    <x v="1"/>
    <s v="Gel Lubrificante"/>
    <s v="Lub 60G"/>
    <x v="44"/>
    <n v="0"/>
  </r>
  <r>
    <x v="44"/>
    <n v="2026"/>
    <x v="2"/>
    <x v="1"/>
    <s v="Gel Lubrificante"/>
    <s v="Lub 60G"/>
    <x v="44"/>
    <n v="0"/>
  </r>
  <r>
    <x v="44"/>
    <n v="2026"/>
    <x v="3"/>
    <x v="1"/>
    <s v="Gel Lubrificante"/>
    <s v="Lub 60G"/>
    <x v="44"/>
    <n v="0"/>
  </r>
  <r>
    <x v="44"/>
    <n v="2026"/>
    <x v="4"/>
    <x v="1"/>
    <s v="Gel Lubrificante"/>
    <s v="Lub 60G"/>
    <x v="44"/>
    <n v="0"/>
  </r>
  <r>
    <x v="44"/>
    <n v="2026"/>
    <x v="5"/>
    <x v="1"/>
    <s v="Gel Lubrificante"/>
    <s v="Lub 60G"/>
    <x v="44"/>
    <n v="0"/>
  </r>
  <r>
    <x v="44"/>
    <n v="2026"/>
    <x v="6"/>
    <x v="1"/>
    <s v="Gel Lubrificante"/>
    <s v="Lub 60G"/>
    <x v="44"/>
    <n v="0"/>
  </r>
  <r>
    <x v="44"/>
    <n v="2026"/>
    <x v="7"/>
    <x v="1"/>
    <s v="Gel Lubrificante"/>
    <s v="Lub 60G"/>
    <x v="44"/>
    <n v="0"/>
  </r>
  <r>
    <x v="44"/>
    <n v="2026"/>
    <x v="8"/>
    <x v="1"/>
    <s v="Gel Lubrificante"/>
    <s v="Lub 60G"/>
    <x v="44"/>
    <n v="0"/>
  </r>
  <r>
    <x v="44"/>
    <n v="2026"/>
    <x v="9"/>
    <x v="1"/>
    <s v="Gel Lubrificante"/>
    <s v="Lub 60G"/>
    <x v="44"/>
    <n v="0"/>
  </r>
  <r>
    <x v="44"/>
    <n v="2026"/>
    <x v="10"/>
    <x v="1"/>
    <s v="Gel Lubrificante"/>
    <s v="Lub 60G"/>
    <x v="44"/>
    <n v="0"/>
  </r>
  <r>
    <x v="44"/>
    <n v="2026"/>
    <x v="11"/>
    <x v="1"/>
    <s v="Gel Lubrificante"/>
    <s v="Lub 60G"/>
    <x v="44"/>
    <n v="0"/>
  </r>
  <r>
    <x v="45"/>
    <n v="2026"/>
    <x v="0"/>
    <x v="1"/>
    <s v="Intima"/>
    <s v="Wipes &amp; Softcup"/>
    <x v="45"/>
    <n v="320.33000000000004"/>
  </r>
  <r>
    <x v="45"/>
    <n v="2026"/>
    <x v="1"/>
    <x v="1"/>
    <s v="Intima"/>
    <s v="Wipes &amp; Softcup"/>
    <x v="45"/>
    <n v="561"/>
  </r>
  <r>
    <x v="45"/>
    <n v="2026"/>
    <x v="2"/>
    <x v="1"/>
    <s v="Intima"/>
    <s v="Wipes &amp; Softcup"/>
    <x v="45"/>
    <n v="3116"/>
  </r>
  <r>
    <x v="45"/>
    <n v="2026"/>
    <x v="3"/>
    <x v="1"/>
    <s v="Intima"/>
    <s v="Wipes &amp; Softcup"/>
    <x v="45"/>
    <n v="2273.297"/>
  </r>
  <r>
    <x v="45"/>
    <n v="2026"/>
    <x v="4"/>
    <x v="1"/>
    <s v="Intima"/>
    <s v="Wipes &amp; Softcup"/>
    <x v="45"/>
    <n v="1848.12"/>
  </r>
  <r>
    <x v="45"/>
    <n v="2026"/>
    <x v="5"/>
    <x v="1"/>
    <s v="Intima"/>
    <s v="Wipes &amp; Softcup"/>
    <x v="45"/>
    <n v="5385.7809999999999"/>
  </r>
  <r>
    <x v="45"/>
    <n v="2026"/>
    <x v="6"/>
    <x v="1"/>
    <s v="Intima"/>
    <s v="Wipes &amp; Softcup"/>
    <x v="45"/>
    <n v="2721.2370000000001"/>
  </r>
  <r>
    <x v="45"/>
    <n v="2026"/>
    <x v="7"/>
    <x v="1"/>
    <s v="Intima"/>
    <s v="Wipes &amp; Softcup"/>
    <x v="45"/>
    <n v="2287.3160000000003"/>
  </r>
  <r>
    <x v="45"/>
    <n v="2026"/>
    <x v="8"/>
    <x v="1"/>
    <s v="Intima"/>
    <s v="Wipes &amp; Softcup"/>
    <x v="45"/>
    <n v="3861.0460000000003"/>
  </r>
  <r>
    <x v="45"/>
    <n v="2026"/>
    <x v="9"/>
    <x v="1"/>
    <s v="Intima"/>
    <s v="Wipes &amp; Softcup"/>
    <x v="45"/>
    <n v="2364.8240000000005"/>
  </r>
  <r>
    <x v="45"/>
    <n v="2026"/>
    <x v="10"/>
    <x v="1"/>
    <s v="Intima"/>
    <s v="Wipes &amp; Softcup"/>
    <x v="45"/>
    <n v="1877.3460000000005"/>
  </r>
  <r>
    <x v="45"/>
    <n v="2026"/>
    <x v="11"/>
    <x v="1"/>
    <s v="Intima"/>
    <s v="Wipes &amp; Softcup"/>
    <x v="45"/>
    <n v="1400.7980000000005"/>
  </r>
  <r>
    <x v="46"/>
    <n v="2026"/>
    <x v="0"/>
    <x v="1"/>
    <s v="Intima"/>
    <s v="Wipes &amp; Softcup"/>
    <x v="46"/>
    <n v="0"/>
  </r>
  <r>
    <x v="46"/>
    <n v="2026"/>
    <x v="1"/>
    <x v="1"/>
    <s v="Intima"/>
    <s v="Wipes &amp; Softcup"/>
    <x v="46"/>
    <n v="0"/>
  </r>
  <r>
    <x v="46"/>
    <n v="2026"/>
    <x v="2"/>
    <x v="1"/>
    <s v="Intima"/>
    <s v="Wipes &amp; Softcup"/>
    <x v="46"/>
    <n v="0"/>
  </r>
  <r>
    <x v="46"/>
    <n v="2026"/>
    <x v="3"/>
    <x v="1"/>
    <s v="Intima"/>
    <s v="Wipes &amp; Softcup"/>
    <x v="46"/>
    <n v="0"/>
  </r>
  <r>
    <x v="46"/>
    <n v="2026"/>
    <x v="4"/>
    <x v="1"/>
    <s v="Intima"/>
    <s v="Wipes &amp; Softcup"/>
    <x v="46"/>
    <n v="0"/>
  </r>
  <r>
    <x v="46"/>
    <n v="2026"/>
    <x v="5"/>
    <x v="1"/>
    <s v="Intima"/>
    <s v="Wipes &amp; Softcup"/>
    <x v="46"/>
    <n v="0"/>
  </r>
  <r>
    <x v="46"/>
    <n v="2026"/>
    <x v="6"/>
    <x v="1"/>
    <s v="Intima"/>
    <s v="Wipes &amp; Softcup"/>
    <x v="46"/>
    <n v="0"/>
  </r>
  <r>
    <x v="46"/>
    <n v="2026"/>
    <x v="7"/>
    <x v="1"/>
    <s v="Intima"/>
    <s v="Wipes &amp; Softcup"/>
    <x v="46"/>
    <n v="0"/>
  </r>
  <r>
    <x v="46"/>
    <n v="2026"/>
    <x v="8"/>
    <x v="1"/>
    <s v="Intima"/>
    <s v="Wipes &amp; Softcup"/>
    <x v="46"/>
    <n v="0"/>
  </r>
  <r>
    <x v="46"/>
    <n v="2026"/>
    <x v="9"/>
    <x v="1"/>
    <s v="Intima"/>
    <s v="Wipes &amp; Softcup"/>
    <x v="46"/>
    <n v="0"/>
  </r>
  <r>
    <x v="46"/>
    <n v="2026"/>
    <x v="10"/>
    <x v="1"/>
    <s v="Intima"/>
    <s v="Wipes &amp; Softcup"/>
    <x v="46"/>
    <n v="0"/>
  </r>
  <r>
    <x v="46"/>
    <n v="2026"/>
    <x v="11"/>
    <x v="1"/>
    <s v="Intima"/>
    <s v="Wipes &amp; Softcup"/>
    <x v="46"/>
    <n v="0"/>
  </r>
  <r>
    <x v="47"/>
    <n v="2026"/>
    <x v="0"/>
    <x v="1"/>
    <s v="RX"/>
    <s v="Aspirators"/>
    <x v="47"/>
    <n v="1346"/>
  </r>
  <r>
    <x v="47"/>
    <n v="2026"/>
    <x v="1"/>
    <x v="1"/>
    <s v="RX"/>
    <s v="Aspirators"/>
    <x v="47"/>
    <n v="383"/>
  </r>
  <r>
    <x v="47"/>
    <n v="2026"/>
    <x v="2"/>
    <x v="1"/>
    <s v="RX"/>
    <s v="Aspirators"/>
    <x v="47"/>
    <n v="4533"/>
  </r>
  <r>
    <x v="47"/>
    <n v="2026"/>
    <x v="3"/>
    <x v="1"/>
    <s v="RX"/>
    <s v="Aspirators"/>
    <x v="47"/>
    <n v="3345"/>
  </r>
  <r>
    <x v="47"/>
    <n v="2026"/>
    <x v="4"/>
    <x v="1"/>
    <s v="RX"/>
    <s v="Aspirators"/>
    <x v="47"/>
    <n v="2481"/>
  </r>
  <r>
    <x v="47"/>
    <n v="2026"/>
    <x v="5"/>
    <x v="1"/>
    <s v="RX"/>
    <s v="Aspirators"/>
    <x v="47"/>
    <n v="11293"/>
  </r>
  <r>
    <x v="47"/>
    <n v="2026"/>
    <x v="6"/>
    <x v="1"/>
    <s v="RX"/>
    <s v="Aspirators"/>
    <x v="47"/>
    <n v="5083"/>
  </r>
  <r>
    <x v="47"/>
    <n v="2026"/>
    <x v="7"/>
    <x v="1"/>
    <s v="RX"/>
    <s v="Aspirators"/>
    <x v="47"/>
    <n v="9787"/>
  </r>
  <r>
    <x v="47"/>
    <n v="2026"/>
    <x v="8"/>
    <x v="1"/>
    <s v="RX"/>
    <s v="Aspirators"/>
    <x v="47"/>
    <n v="5729"/>
  </r>
  <r>
    <x v="47"/>
    <n v="2026"/>
    <x v="9"/>
    <x v="1"/>
    <s v="RX"/>
    <s v="Aspirators"/>
    <x v="47"/>
    <n v="4665"/>
  </r>
  <r>
    <x v="47"/>
    <n v="2026"/>
    <x v="10"/>
    <x v="1"/>
    <s v="RX"/>
    <s v="Aspirators"/>
    <x v="47"/>
    <n v="3607"/>
  </r>
  <r>
    <x v="47"/>
    <n v="2026"/>
    <x v="11"/>
    <x v="1"/>
    <s v="RX"/>
    <s v="Aspirators"/>
    <x v="47"/>
    <n v="2549"/>
  </r>
  <r>
    <x v="48"/>
    <n v="2026"/>
    <x v="0"/>
    <x v="1"/>
    <s v="RX"/>
    <s v="Aspirators"/>
    <x v="48"/>
    <n v="215"/>
  </r>
  <r>
    <x v="48"/>
    <n v="2026"/>
    <x v="1"/>
    <x v="1"/>
    <s v="RX"/>
    <s v="Aspirators"/>
    <x v="48"/>
    <n v="271"/>
  </r>
  <r>
    <x v="48"/>
    <n v="2026"/>
    <x v="2"/>
    <x v="1"/>
    <s v="RX"/>
    <s v="Aspirators"/>
    <x v="48"/>
    <n v="1531"/>
  </r>
  <r>
    <x v="48"/>
    <n v="2026"/>
    <x v="3"/>
    <x v="1"/>
    <s v="RX"/>
    <s v="Aspirators"/>
    <x v="48"/>
    <n v="1212"/>
  </r>
  <r>
    <x v="48"/>
    <n v="2026"/>
    <x v="4"/>
    <x v="1"/>
    <s v="RX"/>
    <s v="Aspirators"/>
    <x v="48"/>
    <n v="1080"/>
  </r>
  <r>
    <x v="48"/>
    <n v="2026"/>
    <x v="5"/>
    <x v="1"/>
    <s v="RX"/>
    <s v="Aspirators"/>
    <x v="48"/>
    <n v="2717"/>
  </r>
  <r>
    <x v="48"/>
    <n v="2026"/>
    <x v="6"/>
    <x v="1"/>
    <s v="RX"/>
    <s v="Aspirators"/>
    <x v="48"/>
    <n v="1451"/>
  </r>
  <r>
    <x v="48"/>
    <n v="2026"/>
    <x v="7"/>
    <x v="1"/>
    <s v="RX"/>
    <s v="Aspirators"/>
    <x v="48"/>
    <n v="3079"/>
  </r>
  <r>
    <x v="48"/>
    <n v="2026"/>
    <x v="8"/>
    <x v="1"/>
    <s v="RX"/>
    <s v="Aspirators"/>
    <x v="48"/>
    <n v="1698"/>
  </r>
  <r>
    <x v="48"/>
    <n v="2026"/>
    <x v="9"/>
    <x v="1"/>
    <s v="RX"/>
    <s v="Aspirators"/>
    <x v="48"/>
    <n v="1335"/>
  </r>
  <r>
    <x v="48"/>
    <n v="2026"/>
    <x v="10"/>
    <x v="1"/>
    <s v="RX"/>
    <s v="Aspirators"/>
    <x v="48"/>
    <n v="972"/>
  </r>
  <r>
    <x v="48"/>
    <n v="2026"/>
    <x v="11"/>
    <x v="1"/>
    <s v="RX"/>
    <s v="Aspirators"/>
    <x v="48"/>
    <n v="708"/>
  </r>
  <r>
    <x v="49"/>
    <n v="2026"/>
    <x v="0"/>
    <x v="1"/>
    <s v="RX"/>
    <s v="Cannulae"/>
    <x v="49"/>
    <n v="748"/>
  </r>
  <r>
    <x v="49"/>
    <n v="2026"/>
    <x v="1"/>
    <x v="1"/>
    <s v="RX"/>
    <s v="Cannulae"/>
    <x v="49"/>
    <n v="155"/>
  </r>
  <r>
    <x v="49"/>
    <n v="2026"/>
    <x v="2"/>
    <x v="1"/>
    <s v="RX"/>
    <s v="Cannulae"/>
    <x v="49"/>
    <n v="3611"/>
  </r>
  <r>
    <x v="49"/>
    <n v="2026"/>
    <x v="3"/>
    <x v="1"/>
    <s v="RX"/>
    <s v="Cannulae"/>
    <x v="49"/>
    <n v="2765"/>
  </r>
  <r>
    <x v="49"/>
    <n v="2026"/>
    <x v="4"/>
    <x v="1"/>
    <s v="RX"/>
    <s v="Cannulae"/>
    <x v="49"/>
    <n v="2115"/>
  </r>
  <r>
    <x v="49"/>
    <n v="2026"/>
    <x v="5"/>
    <x v="1"/>
    <s v="RX"/>
    <s v="Cannulae"/>
    <x v="49"/>
    <n v="5355"/>
  </r>
  <r>
    <x v="49"/>
    <n v="2026"/>
    <x v="6"/>
    <x v="1"/>
    <s v="RX"/>
    <s v="Cannulae"/>
    <x v="49"/>
    <n v="2705"/>
  </r>
  <r>
    <x v="49"/>
    <n v="2026"/>
    <x v="7"/>
    <x v="1"/>
    <s v="RX"/>
    <s v="Cannulae"/>
    <x v="49"/>
    <n v="4365"/>
  </r>
  <r>
    <x v="49"/>
    <n v="2026"/>
    <x v="8"/>
    <x v="1"/>
    <s v="RX"/>
    <s v="Cannulae"/>
    <x v="49"/>
    <n v="2808"/>
  </r>
  <r>
    <x v="49"/>
    <n v="2026"/>
    <x v="9"/>
    <x v="1"/>
    <s v="RX"/>
    <s v="Cannulae"/>
    <x v="49"/>
    <n v="4218"/>
  </r>
  <r>
    <x v="49"/>
    <n v="2026"/>
    <x v="10"/>
    <x v="1"/>
    <s v="RX"/>
    <s v="Cannulae"/>
    <x v="49"/>
    <n v="2518"/>
  </r>
  <r>
    <x v="49"/>
    <n v="2026"/>
    <x v="11"/>
    <x v="1"/>
    <s v="RX"/>
    <s v="Cannulae"/>
    <x v="49"/>
    <n v="1818"/>
  </r>
  <r>
    <x v="50"/>
    <n v="2026"/>
    <x v="0"/>
    <x v="1"/>
    <s v="RX"/>
    <s v="Cannulae"/>
    <x v="50"/>
    <n v="682"/>
  </r>
  <r>
    <x v="50"/>
    <n v="2026"/>
    <x v="1"/>
    <x v="1"/>
    <s v="RX"/>
    <s v="Cannulae"/>
    <x v="50"/>
    <n v="256"/>
  </r>
  <r>
    <x v="50"/>
    <n v="2026"/>
    <x v="2"/>
    <x v="1"/>
    <s v="RX"/>
    <s v="Cannulae"/>
    <x v="50"/>
    <n v="3527"/>
  </r>
  <r>
    <x v="50"/>
    <n v="2026"/>
    <x v="3"/>
    <x v="1"/>
    <s v="RX"/>
    <s v="Cannulae"/>
    <x v="50"/>
    <n v="2822"/>
  </r>
  <r>
    <x v="50"/>
    <n v="2026"/>
    <x v="4"/>
    <x v="1"/>
    <s v="RX"/>
    <s v="Cannulae"/>
    <x v="50"/>
    <n v="2236"/>
  </r>
  <r>
    <x v="50"/>
    <n v="2026"/>
    <x v="5"/>
    <x v="1"/>
    <s v="RX"/>
    <s v="Cannulae"/>
    <x v="50"/>
    <n v="5585"/>
  </r>
  <r>
    <x v="50"/>
    <n v="2026"/>
    <x v="6"/>
    <x v="1"/>
    <s v="RX"/>
    <s v="Cannulae"/>
    <x v="50"/>
    <n v="2825"/>
  </r>
  <r>
    <x v="50"/>
    <n v="2026"/>
    <x v="7"/>
    <x v="1"/>
    <s v="RX"/>
    <s v="Cannulae"/>
    <x v="50"/>
    <n v="6116"/>
  </r>
  <r>
    <x v="50"/>
    <n v="2026"/>
    <x v="8"/>
    <x v="1"/>
    <s v="RX"/>
    <s v="Cannulae"/>
    <x v="50"/>
    <n v="3400"/>
  </r>
  <r>
    <x v="50"/>
    <n v="2026"/>
    <x v="9"/>
    <x v="1"/>
    <s v="RX"/>
    <s v="Cannulae"/>
    <x v="50"/>
    <n v="2684"/>
  </r>
  <r>
    <x v="50"/>
    <n v="2026"/>
    <x v="10"/>
    <x v="1"/>
    <s v="RX"/>
    <s v="Cannulae"/>
    <x v="50"/>
    <n v="1946"/>
  </r>
  <r>
    <x v="50"/>
    <n v="2026"/>
    <x v="11"/>
    <x v="1"/>
    <s v="RX"/>
    <s v="Cannulae"/>
    <x v="50"/>
    <n v="1208"/>
  </r>
  <r>
    <x v="51"/>
    <n v="2026"/>
    <x v="0"/>
    <x v="1"/>
    <s v="RX"/>
    <s v="Cannulae"/>
    <x v="51"/>
    <n v="1128"/>
  </r>
  <r>
    <x v="51"/>
    <n v="2026"/>
    <x v="1"/>
    <x v="1"/>
    <s v="RX"/>
    <s v="Cannulae"/>
    <x v="51"/>
    <n v="344"/>
  </r>
  <r>
    <x v="51"/>
    <n v="2026"/>
    <x v="2"/>
    <x v="1"/>
    <s v="RX"/>
    <s v="Cannulae"/>
    <x v="51"/>
    <n v="3798"/>
  </r>
  <r>
    <x v="51"/>
    <n v="2026"/>
    <x v="3"/>
    <x v="1"/>
    <s v="RX"/>
    <s v="Cannulae"/>
    <x v="51"/>
    <n v="3093"/>
  </r>
  <r>
    <x v="51"/>
    <n v="2026"/>
    <x v="4"/>
    <x v="1"/>
    <s v="RX"/>
    <s v="Cannulae"/>
    <x v="51"/>
    <n v="2442"/>
  </r>
  <r>
    <x v="51"/>
    <n v="2026"/>
    <x v="5"/>
    <x v="1"/>
    <s v="RX"/>
    <s v="Cannulae"/>
    <x v="51"/>
    <n v="5791"/>
  </r>
  <r>
    <x v="51"/>
    <n v="2026"/>
    <x v="6"/>
    <x v="1"/>
    <s v="RX"/>
    <s v="Cannulae"/>
    <x v="51"/>
    <n v="3031"/>
  </r>
  <r>
    <x v="51"/>
    <n v="2026"/>
    <x v="7"/>
    <x v="1"/>
    <s v="RX"/>
    <s v="Cannulae"/>
    <x v="51"/>
    <n v="3989"/>
  </r>
  <r>
    <x v="51"/>
    <n v="2026"/>
    <x v="8"/>
    <x v="1"/>
    <s v="RX"/>
    <s v="Cannulae"/>
    <x v="51"/>
    <n v="2446"/>
  </r>
  <r>
    <x v="51"/>
    <n v="2026"/>
    <x v="9"/>
    <x v="1"/>
    <s v="RX"/>
    <s v="Cannulae"/>
    <x v="51"/>
    <n v="1925"/>
  </r>
  <r>
    <x v="51"/>
    <n v="2026"/>
    <x v="10"/>
    <x v="1"/>
    <s v="RX"/>
    <s v="Cannulae"/>
    <x v="51"/>
    <n v="1404"/>
  </r>
  <r>
    <x v="51"/>
    <n v="2026"/>
    <x v="11"/>
    <x v="1"/>
    <s v="RX"/>
    <s v="Cannulae"/>
    <x v="51"/>
    <n v="905"/>
  </r>
  <r>
    <x v="52"/>
    <n v="2026"/>
    <x v="0"/>
    <x v="1"/>
    <s v="RX"/>
    <s v="Cannulae"/>
    <x v="52"/>
    <n v="1189"/>
  </r>
  <r>
    <x v="52"/>
    <n v="2026"/>
    <x v="1"/>
    <x v="1"/>
    <s v="RX"/>
    <s v="Cannulae"/>
    <x v="52"/>
    <n v="407"/>
  </r>
  <r>
    <x v="52"/>
    <n v="2026"/>
    <x v="2"/>
    <x v="1"/>
    <s v="RX"/>
    <s v="Cannulae"/>
    <x v="52"/>
    <n v="5330"/>
  </r>
  <r>
    <x v="52"/>
    <n v="2026"/>
    <x v="3"/>
    <x v="1"/>
    <s v="RX"/>
    <s v="Cannulae"/>
    <x v="52"/>
    <n v="3804"/>
  </r>
  <r>
    <x v="52"/>
    <n v="2026"/>
    <x v="4"/>
    <x v="1"/>
    <s v="RX"/>
    <s v="Cannulae"/>
    <x v="52"/>
    <n v="2714"/>
  </r>
  <r>
    <x v="52"/>
    <n v="2026"/>
    <x v="5"/>
    <x v="1"/>
    <s v="RX"/>
    <s v="Cannulae"/>
    <x v="52"/>
    <n v="5406"/>
  </r>
  <r>
    <x v="52"/>
    <n v="2026"/>
    <x v="6"/>
    <x v="1"/>
    <s v="RX"/>
    <s v="Cannulae"/>
    <x v="52"/>
    <n v="2207"/>
  </r>
  <r>
    <x v="52"/>
    <n v="2026"/>
    <x v="7"/>
    <x v="1"/>
    <s v="RX"/>
    <s v="Cannulae"/>
    <x v="52"/>
    <n v="7273"/>
  </r>
  <r>
    <x v="52"/>
    <n v="2026"/>
    <x v="8"/>
    <x v="1"/>
    <s v="RX"/>
    <s v="Cannulae"/>
    <x v="52"/>
    <n v="3292"/>
  </r>
  <r>
    <x v="52"/>
    <n v="2026"/>
    <x v="9"/>
    <x v="1"/>
    <s v="RX"/>
    <s v="Cannulae"/>
    <x v="52"/>
    <n v="4311"/>
  </r>
  <r>
    <x v="52"/>
    <n v="2026"/>
    <x v="10"/>
    <x v="1"/>
    <s v="RX"/>
    <s v="Cannulae"/>
    <x v="52"/>
    <n v="2330"/>
  </r>
  <r>
    <x v="52"/>
    <n v="2026"/>
    <x v="11"/>
    <x v="1"/>
    <s v="RX"/>
    <s v="Cannulae"/>
    <x v="52"/>
    <n v="1458"/>
  </r>
  <r>
    <x v="53"/>
    <n v="2026"/>
    <x v="0"/>
    <x v="1"/>
    <s v="RX"/>
    <s v="Cannulae"/>
    <x v="53"/>
    <n v="1150"/>
  </r>
  <r>
    <x v="53"/>
    <n v="2026"/>
    <x v="1"/>
    <x v="1"/>
    <s v="RX"/>
    <s v="Cannulae"/>
    <x v="53"/>
    <n v="351"/>
  </r>
  <r>
    <x v="53"/>
    <n v="2026"/>
    <x v="2"/>
    <x v="1"/>
    <s v="RX"/>
    <s v="Cannulae"/>
    <x v="53"/>
    <n v="4147"/>
  </r>
  <r>
    <x v="53"/>
    <n v="2026"/>
    <x v="3"/>
    <x v="1"/>
    <s v="RX"/>
    <s v="Cannulae"/>
    <x v="53"/>
    <n v="2948"/>
  </r>
  <r>
    <x v="53"/>
    <n v="2026"/>
    <x v="4"/>
    <x v="1"/>
    <s v="RX"/>
    <s v="Cannulae"/>
    <x v="53"/>
    <n v="2076"/>
  </r>
  <r>
    <x v="53"/>
    <n v="2026"/>
    <x v="5"/>
    <x v="1"/>
    <s v="RX"/>
    <s v="Cannulae"/>
    <x v="53"/>
    <n v="2878"/>
  </r>
  <r>
    <x v="53"/>
    <n v="2026"/>
    <x v="6"/>
    <x v="1"/>
    <s v="RX"/>
    <s v="Cannulae"/>
    <x v="53"/>
    <n v="951"/>
  </r>
  <r>
    <x v="53"/>
    <n v="2026"/>
    <x v="7"/>
    <x v="1"/>
    <s v="RX"/>
    <s v="Cannulae"/>
    <x v="53"/>
    <n v="9973"/>
  </r>
  <r>
    <x v="53"/>
    <n v="2026"/>
    <x v="8"/>
    <x v="1"/>
    <s v="RX"/>
    <s v="Cannulae"/>
    <x v="53"/>
    <n v="3860"/>
  </r>
  <r>
    <x v="53"/>
    <n v="2026"/>
    <x v="9"/>
    <x v="1"/>
    <s v="RX"/>
    <s v="Cannulae"/>
    <x v="53"/>
    <n v="4792"/>
  </r>
  <r>
    <x v="53"/>
    <n v="2026"/>
    <x v="10"/>
    <x v="1"/>
    <s v="RX"/>
    <s v="Cannulae"/>
    <x v="53"/>
    <n v="2833"/>
  </r>
  <r>
    <x v="53"/>
    <n v="2026"/>
    <x v="11"/>
    <x v="1"/>
    <s v="RX"/>
    <s v="Cannulae"/>
    <x v="53"/>
    <n v="1852"/>
  </r>
  <r>
    <x v="54"/>
    <n v="2026"/>
    <x v="0"/>
    <x v="1"/>
    <s v="RX"/>
    <s v="Cannulae"/>
    <x v="54"/>
    <n v="622"/>
  </r>
  <r>
    <x v="54"/>
    <n v="2026"/>
    <x v="1"/>
    <x v="1"/>
    <s v="RX"/>
    <s v="Cannulae"/>
    <x v="54"/>
    <n v="221"/>
  </r>
  <r>
    <x v="54"/>
    <n v="2026"/>
    <x v="2"/>
    <x v="1"/>
    <s v="RX"/>
    <s v="Cannulae"/>
    <x v="54"/>
    <n v="5287"/>
  </r>
  <r>
    <x v="54"/>
    <n v="2026"/>
    <x v="3"/>
    <x v="1"/>
    <s v="RX"/>
    <s v="Cannulae"/>
    <x v="54"/>
    <n v="4415"/>
  </r>
  <r>
    <x v="54"/>
    <n v="2026"/>
    <x v="4"/>
    <x v="1"/>
    <s v="RX"/>
    <s v="Cannulae"/>
    <x v="54"/>
    <n v="3761"/>
  </r>
  <r>
    <x v="54"/>
    <n v="2026"/>
    <x v="5"/>
    <x v="1"/>
    <s v="RX"/>
    <s v="Cannulae"/>
    <x v="54"/>
    <n v="2889"/>
  </r>
  <r>
    <x v="54"/>
    <n v="2026"/>
    <x v="6"/>
    <x v="1"/>
    <s v="RX"/>
    <s v="Cannulae"/>
    <x v="54"/>
    <n v="2017"/>
  </r>
  <r>
    <x v="54"/>
    <n v="2026"/>
    <x v="7"/>
    <x v="1"/>
    <s v="RX"/>
    <s v="Cannulae"/>
    <x v="54"/>
    <n v="5704"/>
  </r>
  <r>
    <x v="54"/>
    <n v="2026"/>
    <x v="8"/>
    <x v="1"/>
    <s v="RX"/>
    <s v="Cannulae"/>
    <x v="54"/>
    <n v="3050"/>
  </r>
  <r>
    <x v="54"/>
    <n v="2026"/>
    <x v="9"/>
    <x v="1"/>
    <s v="RX"/>
    <s v="Cannulae"/>
    <x v="54"/>
    <n v="2396"/>
  </r>
  <r>
    <x v="54"/>
    <n v="2026"/>
    <x v="10"/>
    <x v="1"/>
    <s v="RX"/>
    <s v="Cannulae"/>
    <x v="54"/>
    <n v="1786"/>
  </r>
  <r>
    <x v="54"/>
    <n v="2026"/>
    <x v="11"/>
    <x v="1"/>
    <s v="RX"/>
    <s v="Cannulae"/>
    <x v="54"/>
    <n v="1176"/>
  </r>
  <r>
    <x v="55"/>
    <n v="2026"/>
    <x v="0"/>
    <x v="1"/>
    <s v="RX"/>
    <s v="Cannulae"/>
    <x v="55"/>
    <n v="455"/>
  </r>
  <r>
    <x v="55"/>
    <n v="2026"/>
    <x v="1"/>
    <x v="1"/>
    <s v="RX"/>
    <s v="Cannulae"/>
    <x v="55"/>
    <n v="152"/>
  </r>
  <r>
    <x v="55"/>
    <n v="2026"/>
    <x v="2"/>
    <x v="1"/>
    <s v="RX"/>
    <s v="Cannulae"/>
    <x v="55"/>
    <n v="2802"/>
  </r>
  <r>
    <x v="55"/>
    <n v="2026"/>
    <x v="3"/>
    <x v="1"/>
    <s v="RX"/>
    <s v="Cannulae"/>
    <x v="55"/>
    <n v="2151"/>
  </r>
  <r>
    <x v="55"/>
    <n v="2026"/>
    <x v="4"/>
    <x v="1"/>
    <s v="RX"/>
    <s v="Cannulae"/>
    <x v="55"/>
    <n v="1717"/>
  </r>
  <r>
    <x v="55"/>
    <n v="2026"/>
    <x v="5"/>
    <x v="1"/>
    <s v="RX"/>
    <s v="Cannulae"/>
    <x v="55"/>
    <n v="9066"/>
  </r>
  <r>
    <x v="55"/>
    <n v="2026"/>
    <x v="6"/>
    <x v="1"/>
    <s v="RX"/>
    <s v="Cannulae"/>
    <x v="55"/>
    <n v="4415"/>
  </r>
  <r>
    <x v="55"/>
    <n v="2026"/>
    <x v="7"/>
    <x v="1"/>
    <s v="RX"/>
    <s v="Cannulae"/>
    <x v="55"/>
    <n v="3822"/>
  </r>
  <r>
    <x v="55"/>
    <n v="2026"/>
    <x v="8"/>
    <x v="1"/>
    <s v="RX"/>
    <s v="Cannulae"/>
    <x v="55"/>
    <n v="3236"/>
  </r>
  <r>
    <x v="55"/>
    <n v="2026"/>
    <x v="9"/>
    <x v="1"/>
    <s v="RX"/>
    <s v="Cannulae"/>
    <x v="55"/>
    <n v="2650"/>
  </r>
  <r>
    <x v="55"/>
    <n v="2026"/>
    <x v="10"/>
    <x v="1"/>
    <s v="RX"/>
    <s v="Cannulae"/>
    <x v="55"/>
    <n v="2064"/>
  </r>
  <r>
    <x v="55"/>
    <n v="2026"/>
    <x v="11"/>
    <x v="1"/>
    <s v="RX"/>
    <s v="Cannulae"/>
    <x v="55"/>
    <n v="1467"/>
  </r>
  <r>
    <x v="56"/>
    <n v="2026"/>
    <x v="0"/>
    <x v="1"/>
    <s v="RX"/>
    <s v="Cannulae"/>
    <x v="56"/>
    <n v="535"/>
  </r>
  <r>
    <x v="56"/>
    <n v="2026"/>
    <x v="1"/>
    <x v="1"/>
    <s v="RX"/>
    <s v="Cannulae"/>
    <x v="56"/>
    <n v="137"/>
  </r>
  <r>
    <x v="56"/>
    <n v="2026"/>
    <x v="2"/>
    <x v="1"/>
    <s v="RX"/>
    <s v="Cannulae"/>
    <x v="56"/>
    <n v="3800"/>
  </r>
  <r>
    <x v="56"/>
    <n v="2026"/>
    <x v="3"/>
    <x v="1"/>
    <s v="RX"/>
    <s v="Cannulae"/>
    <x v="56"/>
    <n v="3420"/>
  </r>
  <r>
    <x v="56"/>
    <n v="2026"/>
    <x v="4"/>
    <x v="1"/>
    <s v="RX"/>
    <s v="Cannulae"/>
    <x v="56"/>
    <n v="3203"/>
  </r>
  <r>
    <x v="56"/>
    <n v="2026"/>
    <x v="5"/>
    <x v="1"/>
    <s v="RX"/>
    <s v="Cannulae"/>
    <x v="56"/>
    <n v="2823"/>
  </r>
  <r>
    <x v="56"/>
    <n v="2026"/>
    <x v="6"/>
    <x v="1"/>
    <s v="RX"/>
    <s v="Cannulae"/>
    <x v="56"/>
    <n v="2443"/>
  </r>
  <r>
    <x v="56"/>
    <n v="2026"/>
    <x v="7"/>
    <x v="1"/>
    <s v="RX"/>
    <s v="Cannulae"/>
    <x v="56"/>
    <n v="3911"/>
  </r>
  <r>
    <x v="56"/>
    <n v="2026"/>
    <x v="8"/>
    <x v="1"/>
    <s v="RX"/>
    <s v="Cannulae"/>
    <x v="56"/>
    <n v="2495"/>
  </r>
  <r>
    <x v="56"/>
    <n v="2026"/>
    <x v="9"/>
    <x v="1"/>
    <s v="RX"/>
    <s v="Cannulae"/>
    <x v="56"/>
    <n v="2079"/>
  </r>
  <r>
    <x v="56"/>
    <n v="2026"/>
    <x v="10"/>
    <x v="1"/>
    <s v="RX"/>
    <s v="Cannulae"/>
    <x v="56"/>
    <n v="1663"/>
  </r>
  <r>
    <x v="56"/>
    <n v="2026"/>
    <x v="11"/>
    <x v="1"/>
    <s v="RX"/>
    <s v="Cannulae"/>
    <x v="56"/>
    <n v="1247"/>
  </r>
  <r>
    <x v="57"/>
    <n v="2026"/>
    <x v="0"/>
    <x v="1"/>
    <s v="RX"/>
    <s v="Dilators"/>
    <x v="57"/>
    <n v="2880"/>
  </r>
  <r>
    <x v="57"/>
    <n v="2026"/>
    <x v="1"/>
    <x v="1"/>
    <s v="RX"/>
    <s v="Dilators"/>
    <x v="57"/>
    <n v="1321"/>
  </r>
  <r>
    <x v="57"/>
    <n v="2026"/>
    <x v="2"/>
    <x v="1"/>
    <s v="RX"/>
    <s v="Dilators"/>
    <x v="57"/>
    <n v="22536"/>
  </r>
  <r>
    <x v="57"/>
    <n v="2026"/>
    <x v="3"/>
    <x v="1"/>
    <s v="RX"/>
    <s v="Dilators"/>
    <x v="57"/>
    <n v="17698"/>
  </r>
  <r>
    <x v="57"/>
    <n v="2026"/>
    <x v="4"/>
    <x v="1"/>
    <s v="RX"/>
    <s v="Dilators"/>
    <x v="57"/>
    <n v="13183"/>
  </r>
  <r>
    <x v="57"/>
    <n v="2026"/>
    <x v="5"/>
    <x v="1"/>
    <s v="RX"/>
    <s v="Dilators"/>
    <x v="57"/>
    <n v="36915"/>
  </r>
  <r>
    <x v="57"/>
    <n v="2026"/>
    <x v="6"/>
    <x v="1"/>
    <s v="RX"/>
    <s v="Dilators"/>
    <x v="57"/>
    <n v="77147"/>
  </r>
  <r>
    <x v="57"/>
    <n v="2026"/>
    <x v="7"/>
    <x v="1"/>
    <s v="RX"/>
    <s v="Dilators"/>
    <x v="57"/>
    <n v="41664"/>
  </r>
  <r>
    <x v="57"/>
    <n v="2026"/>
    <x v="8"/>
    <x v="1"/>
    <s v="RX"/>
    <s v="Dilators"/>
    <x v="57"/>
    <n v="35536"/>
  </r>
  <r>
    <x v="57"/>
    <n v="2026"/>
    <x v="9"/>
    <x v="1"/>
    <s v="RX"/>
    <s v="Dilators"/>
    <x v="57"/>
    <n v="29408"/>
  </r>
  <r>
    <x v="57"/>
    <n v="2026"/>
    <x v="10"/>
    <x v="1"/>
    <s v="RX"/>
    <s v="Dilators"/>
    <x v="57"/>
    <n v="23173"/>
  </r>
  <r>
    <x v="57"/>
    <n v="2026"/>
    <x v="11"/>
    <x v="1"/>
    <s v="RX"/>
    <s v="Dilators"/>
    <x v="57"/>
    <n v="17045"/>
  </r>
  <r>
    <x v="58"/>
    <n v="2026"/>
    <x v="0"/>
    <x v="1"/>
    <s v="RX"/>
    <s v="IUDs Cu &amp; IUS &amp; IUB"/>
    <x v="58"/>
    <n v="256"/>
  </r>
  <r>
    <x v="58"/>
    <n v="2026"/>
    <x v="1"/>
    <x v="1"/>
    <s v="RX"/>
    <s v="IUDs Cu &amp; IUS &amp; IUB"/>
    <x v="58"/>
    <n v="260"/>
  </r>
  <r>
    <x v="58"/>
    <n v="2026"/>
    <x v="2"/>
    <x v="1"/>
    <s v="RX"/>
    <s v="IUDs Cu &amp; IUS &amp; IUB"/>
    <x v="58"/>
    <n v="8277"/>
  </r>
  <r>
    <x v="58"/>
    <n v="2026"/>
    <x v="3"/>
    <x v="1"/>
    <s v="RX"/>
    <s v="IUDs Cu &amp; IUS &amp; IUB"/>
    <x v="58"/>
    <n v="7901"/>
  </r>
  <r>
    <x v="58"/>
    <n v="2026"/>
    <x v="4"/>
    <x v="1"/>
    <s v="RX"/>
    <s v="IUDs Cu &amp; IUS &amp; IUB"/>
    <x v="58"/>
    <n v="7686"/>
  </r>
  <r>
    <x v="58"/>
    <n v="2026"/>
    <x v="5"/>
    <x v="1"/>
    <s v="RX"/>
    <s v="IUDs Cu &amp; IUS &amp; IUB"/>
    <x v="58"/>
    <n v="7310"/>
  </r>
  <r>
    <x v="58"/>
    <n v="2026"/>
    <x v="6"/>
    <x v="1"/>
    <s v="RX"/>
    <s v="IUDs Cu &amp; IUS &amp; IUB"/>
    <x v="58"/>
    <n v="6772"/>
  </r>
  <r>
    <x v="58"/>
    <n v="2026"/>
    <x v="7"/>
    <x v="1"/>
    <s v="RX"/>
    <s v="IUDs Cu &amp; IUS &amp; IUB"/>
    <x v="58"/>
    <n v="6299"/>
  </r>
  <r>
    <x v="58"/>
    <n v="2026"/>
    <x v="8"/>
    <x v="1"/>
    <s v="RX"/>
    <s v="IUDs Cu &amp; IUS &amp; IUB"/>
    <x v="58"/>
    <n v="6030"/>
  </r>
  <r>
    <x v="58"/>
    <n v="2026"/>
    <x v="9"/>
    <x v="1"/>
    <s v="RX"/>
    <s v="IUDs Cu &amp; IUS &amp; IUB"/>
    <x v="58"/>
    <n v="5707"/>
  </r>
  <r>
    <x v="58"/>
    <n v="2026"/>
    <x v="10"/>
    <x v="1"/>
    <s v="RX"/>
    <s v="IUDs Cu &amp; IUS &amp; IUB"/>
    <x v="58"/>
    <n v="5384"/>
  </r>
  <r>
    <x v="58"/>
    <n v="2026"/>
    <x v="11"/>
    <x v="1"/>
    <s v="RX"/>
    <s v="IUDs Cu &amp; IUS &amp; IUB"/>
    <x v="58"/>
    <n v="5061"/>
  </r>
  <r>
    <x v="59"/>
    <n v="2026"/>
    <x v="0"/>
    <x v="1"/>
    <s v="RX"/>
    <s v="IUDs Cu &amp; IUS &amp; IUB"/>
    <x v="59"/>
    <n v="214"/>
  </r>
  <r>
    <x v="59"/>
    <n v="2026"/>
    <x v="1"/>
    <x v="1"/>
    <s v="RX"/>
    <s v="IUDs Cu &amp; IUS &amp; IUB"/>
    <x v="59"/>
    <n v="464"/>
  </r>
  <r>
    <x v="59"/>
    <n v="2026"/>
    <x v="2"/>
    <x v="1"/>
    <s v="RX"/>
    <s v="IUDs Cu &amp; IUS &amp; IUB"/>
    <x v="59"/>
    <n v="6698"/>
  </r>
  <r>
    <x v="59"/>
    <n v="2026"/>
    <x v="3"/>
    <x v="1"/>
    <s v="RX"/>
    <s v="IUDs Cu &amp; IUS &amp; IUB"/>
    <x v="59"/>
    <n v="6216"/>
  </r>
  <r>
    <x v="59"/>
    <n v="2026"/>
    <x v="4"/>
    <x v="1"/>
    <s v="RX"/>
    <s v="IUDs Cu &amp; IUS &amp; IUB"/>
    <x v="59"/>
    <n v="5906"/>
  </r>
  <r>
    <x v="59"/>
    <n v="2026"/>
    <x v="5"/>
    <x v="1"/>
    <s v="RX"/>
    <s v="IUDs Cu &amp; IUS &amp; IUB"/>
    <x v="59"/>
    <n v="5457"/>
  </r>
  <r>
    <x v="59"/>
    <n v="2026"/>
    <x v="6"/>
    <x v="1"/>
    <s v="RX"/>
    <s v="IUDs Cu &amp; IUS &amp; IUB"/>
    <x v="59"/>
    <n v="4933"/>
  </r>
  <r>
    <x v="59"/>
    <n v="2026"/>
    <x v="7"/>
    <x v="1"/>
    <s v="RX"/>
    <s v="IUDs Cu &amp; IUS &amp; IUB"/>
    <x v="59"/>
    <n v="4409"/>
  </r>
  <r>
    <x v="59"/>
    <n v="2026"/>
    <x v="8"/>
    <x v="1"/>
    <s v="RX"/>
    <s v="IUDs Cu &amp; IUS &amp; IUB"/>
    <x v="59"/>
    <n v="3820"/>
  </r>
  <r>
    <x v="59"/>
    <n v="2026"/>
    <x v="9"/>
    <x v="1"/>
    <s v="RX"/>
    <s v="IUDs Cu &amp; IUS &amp; IUB"/>
    <x v="59"/>
    <n v="3178"/>
  </r>
  <r>
    <x v="59"/>
    <n v="2026"/>
    <x v="10"/>
    <x v="1"/>
    <s v="RX"/>
    <s v="IUDs Cu &amp; IUS &amp; IUB"/>
    <x v="59"/>
    <n v="2536"/>
  </r>
  <r>
    <x v="59"/>
    <n v="2026"/>
    <x v="11"/>
    <x v="1"/>
    <s v="RX"/>
    <s v="IUDs Cu &amp; IUS &amp; IUB"/>
    <x v="59"/>
    <n v="1894"/>
  </r>
  <r>
    <x v="60"/>
    <n v="2026"/>
    <x v="0"/>
    <x v="1"/>
    <s v="RX"/>
    <s v="IUDs Cu &amp; IUS &amp; IUB"/>
    <x v="60"/>
    <n v="1320"/>
  </r>
  <r>
    <x v="60"/>
    <n v="2026"/>
    <x v="1"/>
    <x v="1"/>
    <s v="RX"/>
    <s v="IUDs Cu &amp; IUS &amp; IUB"/>
    <x v="60"/>
    <n v="1754"/>
  </r>
  <r>
    <x v="60"/>
    <n v="2026"/>
    <x v="2"/>
    <x v="1"/>
    <s v="RX"/>
    <s v="IUDs Cu &amp; IUS &amp; IUB"/>
    <x v="60"/>
    <n v="16524"/>
  </r>
  <r>
    <x v="60"/>
    <n v="2026"/>
    <x v="3"/>
    <x v="1"/>
    <s v="RX"/>
    <s v="IUDs Cu &amp; IUS &amp; IUB"/>
    <x v="60"/>
    <n v="13238"/>
  </r>
  <r>
    <x v="60"/>
    <n v="2026"/>
    <x v="4"/>
    <x v="1"/>
    <s v="RX"/>
    <s v="IUDs Cu &amp; IUS &amp; IUB"/>
    <x v="60"/>
    <n v="11648"/>
  </r>
  <r>
    <x v="60"/>
    <n v="2026"/>
    <x v="5"/>
    <x v="1"/>
    <s v="RX"/>
    <s v="IUDs Cu &amp; IUS &amp; IUB"/>
    <x v="60"/>
    <n v="28121"/>
  </r>
  <r>
    <x v="60"/>
    <n v="2026"/>
    <x v="6"/>
    <x v="1"/>
    <s v="RX"/>
    <s v="IUDs Cu &amp; IUS &amp; IUB"/>
    <x v="60"/>
    <n v="15459"/>
  </r>
  <r>
    <x v="60"/>
    <n v="2026"/>
    <x v="7"/>
    <x v="1"/>
    <s v="RX"/>
    <s v="IUDs Cu &amp; IUS &amp; IUB"/>
    <x v="60"/>
    <n v="23021"/>
  </r>
  <r>
    <x v="60"/>
    <n v="2026"/>
    <x v="8"/>
    <x v="1"/>
    <s v="RX"/>
    <s v="IUDs Cu &amp; IUS &amp; IUB"/>
    <x v="60"/>
    <n v="15604"/>
  </r>
  <r>
    <x v="60"/>
    <n v="2026"/>
    <x v="9"/>
    <x v="1"/>
    <s v="RX"/>
    <s v="IUDs Cu &amp; IUS &amp; IUB"/>
    <x v="60"/>
    <n v="13060"/>
  </r>
  <r>
    <x v="60"/>
    <n v="2026"/>
    <x v="10"/>
    <x v="1"/>
    <s v="RX"/>
    <s v="IUDs Cu &amp; IUS &amp; IUB"/>
    <x v="60"/>
    <n v="10834"/>
  </r>
  <r>
    <x v="60"/>
    <n v="2026"/>
    <x v="11"/>
    <x v="1"/>
    <s v="RX"/>
    <s v="IUDs Cu &amp; IUS &amp; IUB"/>
    <x v="60"/>
    <n v="8502"/>
  </r>
  <r>
    <x v="61"/>
    <n v="2026"/>
    <x v="0"/>
    <x v="1"/>
    <s v="RX"/>
    <s v="IUDs Cu &amp; IUS &amp; IUB"/>
    <x v="61"/>
    <n v="392"/>
  </r>
  <r>
    <x v="61"/>
    <n v="2026"/>
    <x v="1"/>
    <x v="1"/>
    <s v="RX"/>
    <s v="IUDs Cu &amp; IUS &amp; IUB"/>
    <x v="61"/>
    <n v="875"/>
  </r>
  <r>
    <x v="61"/>
    <n v="2026"/>
    <x v="2"/>
    <x v="1"/>
    <s v="RX"/>
    <s v="IUDs Cu &amp; IUS &amp; IUB"/>
    <x v="61"/>
    <n v="9128"/>
  </r>
  <r>
    <x v="61"/>
    <n v="2026"/>
    <x v="3"/>
    <x v="1"/>
    <s v="RX"/>
    <s v="IUDs Cu &amp; IUS &amp; IUB"/>
    <x v="61"/>
    <n v="7644"/>
  </r>
  <r>
    <x v="61"/>
    <n v="2026"/>
    <x v="4"/>
    <x v="1"/>
    <s v="RX"/>
    <s v="IUDs Cu &amp; IUS &amp; IUB"/>
    <x v="61"/>
    <n v="6372"/>
  </r>
  <r>
    <x v="61"/>
    <n v="2026"/>
    <x v="5"/>
    <x v="1"/>
    <s v="RX"/>
    <s v="IUDs Cu &amp; IUS &amp; IUB"/>
    <x v="61"/>
    <n v="4888"/>
  </r>
  <r>
    <x v="61"/>
    <n v="2026"/>
    <x v="6"/>
    <x v="1"/>
    <s v="RX"/>
    <s v="IUDs Cu &amp; IUS &amp; IUB"/>
    <x v="61"/>
    <n v="3508"/>
  </r>
  <r>
    <x v="61"/>
    <n v="2026"/>
    <x v="7"/>
    <x v="1"/>
    <s v="RX"/>
    <s v="IUDs Cu &amp; IUS &amp; IUB"/>
    <x v="61"/>
    <n v="12236"/>
  </r>
  <r>
    <x v="61"/>
    <n v="2026"/>
    <x v="8"/>
    <x v="1"/>
    <s v="RX"/>
    <s v="IUDs Cu &amp; IUS &amp; IUB"/>
    <x v="61"/>
    <n v="6021"/>
  </r>
  <r>
    <x v="61"/>
    <n v="2026"/>
    <x v="9"/>
    <x v="1"/>
    <s v="RX"/>
    <s v="IUDs Cu &amp; IUS &amp; IUB"/>
    <x v="61"/>
    <n v="4643"/>
  </r>
  <r>
    <x v="61"/>
    <n v="2026"/>
    <x v="10"/>
    <x v="1"/>
    <s v="RX"/>
    <s v="IUDs Cu &amp; IUS &amp; IUB"/>
    <x v="61"/>
    <n v="3265"/>
  </r>
  <r>
    <x v="61"/>
    <n v="2026"/>
    <x v="11"/>
    <x v="1"/>
    <s v="RX"/>
    <s v="IUDs Cu &amp; IUS &amp; IUB"/>
    <x v="61"/>
    <n v="1887"/>
  </r>
  <r>
    <x v="62"/>
    <n v="2026"/>
    <x v="0"/>
    <x v="1"/>
    <s v="RX"/>
    <s v="IUDs Cu &amp; IUS &amp; IUB"/>
    <x v="62"/>
    <n v="0"/>
  </r>
  <r>
    <x v="62"/>
    <n v="2026"/>
    <x v="1"/>
    <x v="1"/>
    <s v="RX"/>
    <s v="IUDs Cu &amp; IUS &amp; IUB"/>
    <x v="62"/>
    <n v="200"/>
  </r>
  <r>
    <x v="62"/>
    <n v="2026"/>
    <x v="2"/>
    <x v="1"/>
    <s v="RX"/>
    <s v="IUDs Cu &amp; IUS &amp; IUB"/>
    <x v="62"/>
    <n v="9684"/>
  </r>
  <r>
    <x v="62"/>
    <n v="2026"/>
    <x v="3"/>
    <x v="1"/>
    <s v="RX"/>
    <s v="IUDs Cu &amp; IUS &amp; IUB"/>
    <x v="62"/>
    <n v="9577"/>
  </r>
  <r>
    <x v="62"/>
    <n v="2026"/>
    <x v="4"/>
    <x v="1"/>
    <s v="RX"/>
    <s v="IUDs Cu &amp; IUS &amp; IUB"/>
    <x v="62"/>
    <n v="9449"/>
  </r>
  <r>
    <x v="62"/>
    <n v="2026"/>
    <x v="5"/>
    <x v="1"/>
    <s v="RX"/>
    <s v="IUDs Cu &amp; IUS &amp; IUB"/>
    <x v="62"/>
    <n v="9299"/>
  </r>
  <r>
    <x v="62"/>
    <n v="2026"/>
    <x v="6"/>
    <x v="1"/>
    <s v="RX"/>
    <s v="IUDs Cu &amp; IUS &amp; IUB"/>
    <x v="62"/>
    <n v="9149"/>
  </r>
  <r>
    <x v="62"/>
    <n v="2026"/>
    <x v="7"/>
    <x v="1"/>
    <s v="RX"/>
    <s v="IUDs Cu &amp; IUS &amp; IUB"/>
    <x v="62"/>
    <n v="8999"/>
  </r>
  <r>
    <x v="62"/>
    <n v="2026"/>
    <x v="8"/>
    <x v="1"/>
    <s v="RX"/>
    <s v="IUDs Cu &amp; IUS &amp; IUB"/>
    <x v="62"/>
    <n v="8764"/>
  </r>
  <r>
    <x v="62"/>
    <n v="2026"/>
    <x v="9"/>
    <x v="1"/>
    <s v="RX"/>
    <s v="IUDs Cu &amp; IUS &amp; IUB"/>
    <x v="62"/>
    <n v="8229"/>
  </r>
  <r>
    <x v="62"/>
    <n v="2026"/>
    <x v="10"/>
    <x v="1"/>
    <s v="RX"/>
    <s v="IUDs Cu &amp; IUS &amp; IUB"/>
    <x v="62"/>
    <n v="7694"/>
  </r>
  <r>
    <x v="62"/>
    <n v="2026"/>
    <x v="11"/>
    <x v="1"/>
    <s v="RX"/>
    <s v="IUDs Cu &amp; IUS &amp; IUB"/>
    <x v="62"/>
    <n v="7160"/>
  </r>
  <r>
    <x v="63"/>
    <n v="2026"/>
    <x v="0"/>
    <x v="1"/>
    <s v="RX"/>
    <s v="IUDs Cu &amp; IUS &amp; IUB"/>
    <x v="63"/>
    <n v="53"/>
  </r>
  <r>
    <x v="63"/>
    <n v="2026"/>
    <x v="1"/>
    <x v="1"/>
    <s v="RX"/>
    <s v="IUDs Cu &amp; IUS &amp; IUB"/>
    <x v="63"/>
    <n v="177"/>
  </r>
  <r>
    <x v="63"/>
    <n v="2026"/>
    <x v="2"/>
    <x v="1"/>
    <s v="RX"/>
    <s v="IUDs Cu &amp; IUS &amp; IUB"/>
    <x v="63"/>
    <n v="9534"/>
  </r>
  <r>
    <x v="63"/>
    <n v="2026"/>
    <x v="3"/>
    <x v="1"/>
    <s v="RX"/>
    <s v="IUDs Cu &amp; IUS &amp; IUB"/>
    <x v="63"/>
    <n v="9470"/>
  </r>
  <r>
    <x v="63"/>
    <n v="2026"/>
    <x v="4"/>
    <x v="1"/>
    <s v="RX"/>
    <s v="IUDs Cu &amp; IUS &amp; IUB"/>
    <x v="63"/>
    <n v="9406"/>
  </r>
  <r>
    <x v="63"/>
    <n v="2026"/>
    <x v="5"/>
    <x v="1"/>
    <s v="RX"/>
    <s v="IUDs Cu &amp; IUS &amp; IUB"/>
    <x v="63"/>
    <n v="9342"/>
  </r>
  <r>
    <x v="63"/>
    <n v="2026"/>
    <x v="6"/>
    <x v="1"/>
    <s v="RX"/>
    <s v="IUDs Cu &amp; IUS &amp; IUB"/>
    <x v="63"/>
    <n v="9278"/>
  </r>
  <r>
    <x v="63"/>
    <n v="2026"/>
    <x v="7"/>
    <x v="1"/>
    <s v="RX"/>
    <s v="IUDs Cu &amp; IUS &amp; IUB"/>
    <x v="63"/>
    <n v="9128"/>
  </r>
  <r>
    <x v="63"/>
    <n v="2026"/>
    <x v="8"/>
    <x v="1"/>
    <s v="RX"/>
    <s v="IUDs Cu &amp; IUS &amp; IUB"/>
    <x v="63"/>
    <n v="8914"/>
  </r>
  <r>
    <x v="63"/>
    <n v="2026"/>
    <x v="9"/>
    <x v="1"/>
    <s v="RX"/>
    <s v="IUDs Cu &amp; IUS &amp; IUB"/>
    <x v="63"/>
    <n v="8593"/>
  </r>
  <r>
    <x v="63"/>
    <n v="2026"/>
    <x v="10"/>
    <x v="1"/>
    <s v="RX"/>
    <s v="IUDs Cu &amp; IUS &amp; IUB"/>
    <x v="63"/>
    <n v="8272"/>
  </r>
  <r>
    <x v="63"/>
    <n v="2026"/>
    <x v="11"/>
    <x v="1"/>
    <s v="RX"/>
    <s v="IUDs Cu &amp; IUS &amp; IUB"/>
    <x v="63"/>
    <n v="7951"/>
  </r>
  <r>
    <x v="64"/>
    <n v="2026"/>
    <x v="0"/>
    <x v="1"/>
    <s v="RX"/>
    <s v="Hysterometer"/>
    <x v="64"/>
    <n v="2985"/>
  </r>
  <r>
    <x v="64"/>
    <n v="2026"/>
    <x v="1"/>
    <x v="1"/>
    <s v="RX"/>
    <s v="Hysterometer"/>
    <x v="64"/>
    <n v="3710"/>
  </r>
  <r>
    <x v="64"/>
    <n v="2026"/>
    <x v="2"/>
    <x v="1"/>
    <s v="RX"/>
    <s v="Hysterometer"/>
    <x v="64"/>
    <n v="51725"/>
  </r>
  <r>
    <x v="64"/>
    <n v="2026"/>
    <x v="3"/>
    <x v="1"/>
    <s v="RX"/>
    <s v="Hysterometer"/>
    <x v="64"/>
    <n v="45725"/>
  </r>
  <r>
    <x v="64"/>
    <n v="2026"/>
    <x v="4"/>
    <x v="1"/>
    <s v="RX"/>
    <s v="Hysterometer"/>
    <x v="64"/>
    <n v="44125"/>
  </r>
  <r>
    <x v="64"/>
    <n v="2026"/>
    <x v="5"/>
    <x v="1"/>
    <s v="RX"/>
    <s v="Hysterometer"/>
    <x v="64"/>
    <n v="36053"/>
  </r>
  <r>
    <x v="64"/>
    <n v="2026"/>
    <x v="6"/>
    <x v="1"/>
    <s v="RX"/>
    <s v="Hysterometer"/>
    <x v="64"/>
    <n v="88053"/>
  </r>
  <r>
    <x v="64"/>
    <n v="2026"/>
    <x v="7"/>
    <x v="1"/>
    <s v="RX"/>
    <s v="Hysterometer"/>
    <x v="64"/>
    <n v="90853"/>
  </r>
  <r>
    <x v="64"/>
    <n v="2026"/>
    <x v="8"/>
    <x v="1"/>
    <s v="RX"/>
    <s v="Hysterometer"/>
    <x v="64"/>
    <n v="63653"/>
  </r>
  <r>
    <x v="64"/>
    <n v="2026"/>
    <x v="9"/>
    <x v="1"/>
    <s v="RX"/>
    <s v="Hysterometer"/>
    <x v="64"/>
    <n v="56453"/>
  </r>
  <r>
    <x v="64"/>
    <n v="2026"/>
    <x v="10"/>
    <x v="1"/>
    <s v="RX"/>
    <s v="Hysterometer"/>
    <x v="64"/>
    <n v="49253"/>
  </r>
  <r>
    <x v="64"/>
    <n v="2026"/>
    <x v="11"/>
    <x v="1"/>
    <s v="RX"/>
    <s v="Hysterometer"/>
    <x v="64"/>
    <n v="42053"/>
  </r>
  <r>
    <x v="65"/>
    <n v="2026"/>
    <x v="0"/>
    <x v="1"/>
    <s v="RX"/>
    <s v="Injetable"/>
    <x v="65"/>
    <n v="300"/>
  </r>
  <r>
    <x v="65"/>
    <n v="2026"/>
    <x v="1"/>
    <x v="1"/>
    <s v="RX"/>
    <s v="Injetable"/>
    <x v="65"/>
    <n v="3000"/>
  </r>
  <r>
    <x v="65"/>
    <n v="2026"/>
    <x v="2"/>
    <x v="1"/>
    <s v="RX"/>
    <s v="Injetable"/>
    <x v="65"/>
    <n v="50600"/>
  </r>
  <r>
    <x v="65"/>
    <n v="2026"/>
    <x v="3"/>
    <x v="1"/>
    <s v="RX"/>
    <s v="Injetable"/>
    <x v="65"/>
    <n v="40600"/>
  </r>
  <r>
    <x v="65"/>
    <n v="2026"/>
    <x v="4"/>
    <x v="1"/>
    <s v="RX"/>
    <s v="Injetable"/>
    <x v="65"/>
    <n v="36600"/>
  </r>
  <r>
    <x v="65"/>
    <n v="2026"/>
    <x v="5"/>
    <x v="1"/>
    <s v="RX"/>
    <s v="Injetable"/>
    <x v="65"/>
    <n v="26200"/>
  </r>
  <r>
    <x v="65"/>
    <n v="2026"/>
    <x v="6"/>
    <x v="1"/>
    <s v="RX"/>
    <s v="Injetable"/>
    <x v="65"/>
    <n v="137600"/>
  </r>
  <r>
    <x v="65"/>
    <n v="2026"/>
    <x v="7"/>
    <x v="1"/>
    <s v="RX"/>
    <s v="Injetable"/>
    <x v="65"/>
    <n v="62000"/>
  </r>
  <r>
    <x v="65"/>
    <n v="2026"/>
    <x v="8"/>
    <x v="1"/>
    <s v="RX"/>
    <s v="Injetable"/>
    <x v="65"/>
    <n v="48400"/>
  </r>
  <r>
    <x v="65"/>
    <n v="2026"/>
    <x v="9"/>
    <x v="1"/>
    <s v="RX"/>
    <s v="Injetable"/>
    <x v="65"/>
    <n v="35000"/>
  </r>
  <r>
    <x v="65"/>
    <n v="2026"/>
    <x v="10"/>
    <x v="1"/>
    <s v="RX"/>
    <s v="Injetable"/>
    <x v="65"/>
    <n v="144300"/>
  </r>
  <r>
    <x v="65"/>
    <n v="2026"/>
    <x v="11"/>
    <x v="1"/>
    <s v="RX"/>
    <s v="Injetable"/>
    <x v="65"/>
    <n v="67600"/>
  </r>
  <r>
    <x v="66"/>
    <n v="2026"/>
    <x v="0"/>
    <x v="1"/>
    <s v="RX"/>
    <s v="EC"/>
    <x v="66"/>
    <n v="25380"/>
  </r>
  <r>
    <x v="66"/>
    <n v="2026"/>
    <x v="1"/>
    <x v="1"/>
    <s v="RX"/>
    <s v="EC"/>
    <x v="66"/>
    <n v="56080"/>
  </r>
  <r>
    <x v="66"/>
    <n v="2026"/>
    <x v="2"/>
    <x v="1"/>
    <s v="RX"/>
    <s v="EC"/>
    <x v="66"/>
    <n v="39940"/>
  </r>
  <r>
    <x v="66"/>
    <n v="2026"/>
    <x v="3"/>
    <x v="1"/>
    <s v="RX"/>
    <s v="EC"/>
    <x v="66"/>
    <n v="0"/>
  </r>
  <r>
    <x v="66"/>
    <n v="2026"/>
    <x v="4"/>
    <x v="1"/>
    <s v="RX"/>
    <s v="EC"/>
    <x v="66"/>
    <n v="716240"/>
  </r>
  <r>
    <x v="66"/>
    <n v="2026"/>
    <x v="5"/>
    <x v="1"/>
    <s v="RX"/>
    <s v="EC"/>
    <x v="66"/>
    <n v="283120"/>
  </r>
  <r>
    <x v="66"/>
    <n v="2026"/>
    <x v="6"/>
    <x v="1"/>
    <s v="RX"/>
    <s v="EC"/>
    <x v="66"/>
    <n v="747120"/>
  </r>
  <r>
    <x v="66"/>
    <n v="2026"/>
    <x v="7"/>
    <x v="1"/>
    <s v="RX"/>
    <s v="EC"/>
    <x v="66"/>
    <n v="429120"/>
  </r>
  <r>
    <x v="66"/>
    <n v="2026"/>
    <x v="8"/>
    <x v="1"/>
    <s v="RX"/>
    <s v="EC"/>
    <x v="66"/>
    <n v="364820"/>
  </r>
  <r>
    <x v="66"/>
    <n v="2026"/>
    <x v="9"/>
    <x v="1"/>
    <s v="RX"/>
    <s v="EC"/>
    <x v="66"/>
    <n v="300520"/>
  </r>
  <r>
    <x v="66"/>
    <n v="2026"/>
    <x v="10"/>
    <x v="1"/>
    <s v="RX"/>
    <s v="EC"/>
    <x v="66"/>
    <n v="1007120"/>
  </r>
  <r>
    <x v="66"/>
    <n v="2026"/>
    <x v="11"/>
    <x v="1"/>
    <s v="RX"/>
    <s v="EC"/>
    <x v="66"/>
    <n v="543720"/>
  </r>
  <r>
    <x v="0"/>
    <n v="2026"/>
    <x v="0"/>
    <x v="2"/>
    <s v="Preservativo Masculino"/>
    <s v="Básico"/>
    <x v="0"/>
    <n v="32665.271219999995"/>
  </r>
  <r>
    <x v="0"/>
    <n v="2026"/>
    <x v="1"/>
    <x v="2"/>
    <s v="Preservativo Masculino"/>
    <s v="Básico"/>
    <x v="0"/>
    <n v="30665.271219999995"/>
  </r>
  <r>
    <x v="0"/>
    <n v="2026"/>
    <x v="2"/>
    <x v="2"/>
    <s v="Preservativo Masculino"/>
    <s v="Básico"/>
    <x v="0"/>
    <n v="37665.271219999995"/>
  </r>
  <r>
    <x v="0"/>
    <n v="2026"/>
    <x v="3"/>
    <x v="2"/>
    <s v="Preservativo Masculino"/>
    <s v="Básico"/>
    <x v="0"/>
    <n v="33265.271219999995"/>
  </r>
  <r>
    <x v="0"/>
    <n v="2026"/>
    <x v="4"/>
    <x v="2"/>
    <s v="Preservativo Masculino"/>
    <s v="Básico"/>
    <x v="0"/>
    <n v="36665.271219999995"/>
  </r>
  <r>
    <x v="0"/>
    <n v="2026"/>
    <x v="5"/>
    <x v="2"/>
    <s v="Preservativo Masculino"/>
    <s v="Básico"/>
    <x v="0"/>
    <n v="28665.271219999995"/>
  </r>
  <r>
    <x v="0"/>
    <n v="2026"/>
    <x v="6"/>
    <x v="2"/>
    <s v="Preservativo Masculino"/>
    <s v="Básico"/>
    <x v="0"/>
    <n v="28665.271219999995"/>
  </r>
  <r>
    <x v="0"/>
    <n v="2026"/>
    <x v="7"/>
    <x v="2"/>
    <s v="Preservativo Masculino"/>
    <s v="Básico"/>
    <x v="0"/>
    <n v="28665.271219999995"/>
  </r>
  <r>
    <x v="0"/>
    <n v="2026"/>
    <x v="8"/>
    <x v="2"/>
    <s v="Preservativo Masculino"/>
    <s v="Básico"/>
    <x v="0"/>
    <n v="28665.271219999995"/>
  </r>
  <r>
    <x v="0"/>
    <n v="2026"/>
    <x v="9"/>
    <x v="2"/>
    <s v="Preservativo Masculino"/>
    <s v="Básico"/>
    <x v="0"/>
    <n v="28665.271219999995"/>
  </r>
  <r>
    <x v="0"/>
    <n v="2026"/>
    <x v="10"/>
    <x v="2"/>
    <s v="Preservativo Masculino"/>
    <s v="Básico"/>
    <x v="0"/>
    <n v="28665.271219999995"/>
  </r>
  <r>
    <x v="0"/>
    <n v="2026"/>
    <x v="11"/>
    <x v="2"/>
    <s v="Preservativo Masculino"/>
    <s v="Básico"/>
    <x v="0"/>
    <n v="28665.271219999995"/>
  </r>
  <r>
    <x v="1"/>
    <n v="2026"/>
    <x v="0"/>
    <x v="2"/>
    <s v="Preservativo Masculino"/>
    <s v="Básico"/>
    <x v="1"/>
    <n v="47075"/>
  </r>
  <r>
    <x v="1"/>
    <n v="2026"/>
    <x v="1"/>
    <x v="2"/>
    <s v="Preservativo Masculino"/>
    <s v="Básico"/>
    <x v="1"/>
    <n v="42075"/>
  </r>
  <r>
    <x v="1"/>
    <n v="2026"/>
    <x v="2"/>
    <x v="2"/>
    <s v="Preservativo Masculino"/>
    <s v="Básico"/>
    <x v="1"/>
    <n v="37075"/>
  </r>
  <r>
    <x v="1"/>
    <n v="2026"/>
    <x v="3"/>
    <x v="2"/>
    <s v="Preservativo Masculino"/>
    <s v="Básico"/>
    <x v="1"/>
    <n v="32075"/>
  </r>
  <r>
    <x v="1"/>
    <n v="2026"/>
    <x v="4"/>
    <x v="2"/>
    <s v="Preservativo Masculino"/>
    <s v="Básico"/>
    <x v="1"/>
    <n v="31275"/>
  </r>
  <r>
    <x v="1"/>
    <n v="2026"/>
    <x v="5"/>
    <x v="2"/>
    <s v="Preservativo Masculino"/>
    <s v="Básico"/>
    <x v="1"/>
    <n v="30475"/>
  </r>
  <r>
    <x v="1"/>
    <n v="2026"/>
    <x v="6"/>
    <x v="2"/>
    <s v="Preservativo Masculino"/>
    <s v="Básico"/>
    <x v="1"/>
    <n v="30475"/>
  </r>
  <r>
    <x v="1"/>
    <n v="2026"/>
    <x v="7"/>
    <x v="2"/>
    <s v="Preservativo Masculino"/>
    <s v="Básico"/>
    <x v="1"/>
    <n v="30475"/>
  </r>
  <r>
    <x v="1"/>
    <n v="2026"/>
    <x v="8"/>
    <x v="2"/>
    <s v="Preservativo Masculino"/>
    <s v="Básico"/>
    <x v="1"/>
    <n v="30475"/>
  </r>
  <r>
    <x v="1"/>
    <n v="2026"/>
    <x v="9"/>
    <x v="2"/>
    <s v="Preservativo Masculino"/>
    <s v="Básico"/>
    <x v="1"/>
    <n v="30475"/>
  </r>
  <r>
    <x v="1"/>
    <n v="2026"/>
    <x v="10"/>
    <x v="2"/>
    <s v="Preservativo Masculino"/>
    <s v="Básico"/>
    <x v="1"/>
    <n v="30475"/>
  </r>
  <r>
    <x v="1"/>
    <n v="2026"/>
    <x v="11"/>
    <x v="2"/>
    <s v="Preservativo Masculino"/>
    <s v="Básico"/>
    <x v="1"/>
    <n v="30475"/>
  </r>
  <r>
    <x v="2"/>
    <n v="2026"/>
    <x v="0"/>
    <x v="2"/>
    <s v="Preservativo Masculino"/>
    <s v="Básico"/>
    <x v="2"/>
    <n v="18233"/>
  </r>
  <r>
    <x v="2"/>
    <n v="2026"/>
    <x v="1"/>
    <x v="2"/>
    <s v="Preservativo Masculino"/>
    <s v="Básico"/>
    <x v="2"/>
    <n v="15633"/>
  </r>
  <r>
    <x v="2"/>
    <n v="2026"/>
    <x v="2"/>
    <x v="2"/>
    <s v="Preservativo Masculino"/>
    <s v="Básico"/>
    <x v="2"/>
    <n v="13033"/>
  </r>
  <r>
    <x v="2"/>
    <n v="2026"/>
    <x v="3"/>
    <x v="2"/>
    <s v="Preservativo Masculino"/>
    <s v="Básico"/>
    <x v="2"/>
    <n v="10433"/>
  </r>
  <r>
    <x v="2"/>
    <n v="2026"/>
    <x v="4"/>
    <x v="2"/>
    <s v="Preservativo Masculino"/>
    <s v="Básico"/>
    <x v="2"/>
    <n v="7833"/>
  </r>
  <r>
    <x v="2"/>
    <n v="2026"/>
    <x v="5"/>
    <x v="2"/>
    <s v="Preservativo Masculino"/>
    <s v="Básico"/>
    <x v="2"/>
    <n v="5233"/>
  </r>
  <r>
    <x v="2"/>
    <n v="2026"/>
    <x v="6"/>
    <x v="2"/>
    <s v="Preservativo Masculino"/>
    <s v="Básico"/>
    <x v="2"/>
    <n v="5233"/>
  </r>
  <r>
    <x v="2"/>
    <n v="2026"/>
    <x v="7"/>
    <x v="2"/>
    <s v="Preservativo Masculino"/>
    <s v="Básico"/>
    <x v="2"/>
    <n v="5233"/>
  </r>
  <r>
    <x v="2"/>
    <n v="2026"/>
    <x v="8"/>
    <x v="2"/>
    <s v="Preservativo Masculino"/>
    <s v="Básico"/>
    <x v="2"/>
    <n v="5233"/>
  </r>
  <r>
    <x v="2"/>
    <n v="2026"/>
    <x v="9"/>
    <x v="2"/>
    <s v="Preservativo Masculino"/>
    <s v="Básico"/>
    <x v="2"/>
    <n v="5233"/>
  </r>
  <r>
    <x v="2"/>
    <n v="2026"/>
    <x v="10"/>
    <x v="2"/>
    <s v="Preservativo Masculino"/>
    <s v="Básico"/>
    <x v="2"/>
    <n v="5233"/>
  </r>
  <r>
    <x v="2"/>
    <n v="2026"/>
    <x v="11"/>
    <x v="2"/>
    <s v="Preservativo Masculino"/>
    <s v="Básico"/>
    <x v="2"/>
    <n v="5233"/>
  </r>
  <r>
    <x v="3"/>
    <n v="2026"/>
    <x v="0"/>
    <x v="2"/>
    <s v="Preservativo Masculino"/>
    <s v="Cores e Sabores"/>
    <x v="3"/>
    <n v="21608"/>
  </r>
  <r>
    <x v="3"/>
    <n v="2026"/>
    <x v="1"/>
    <x v="2"/>
    <s v="Preservativo Masculino"/>
    <s v="Cores e Sabores"/>
    <x v="3"/>
    <n v="16608"/>
  </r>
  <r>
    <x v="3"/>
    <n v="2026"/>
    <x v="2"/>
    <x v="2"/>
    <s v="Preservativo Masculino"/>
    <s v="Cores e Sabores"/>
    <x v="3"/>
    <n v="17608"/>
  </r>
  <r>
    <x v="3"/>
    <n v="2026"/>
    <x v="3"/>
    <x v="2"/>
    <s v="Preservativo Masculino"/>
    <s v="Cores e Sabores"/>
    <x v="3"/>
    <n v="11108"/>
  </r>
  <r>
    <x v="3"/>
    <n v="2026"/>
    <x v="4"/>
    <x v="2"/>
    <s v="Preservativo Masculino"/>
    <s v="Cores e Sabores"/>
    <x v="3"/>
    <n v="7608"/>
  </r>
  <r>
    <x v="3"/>
    <n v="2026"/>
    <x v="5"/>
    <x v="2"/>
    <s v="Preservativo Masculino"/>
    <s v="Cores e Sabores"/>
    <x v="3"/>
    <n v="2608"/>
  </r>
  <r>
    <x v="3"/>
    <n v="2026"/>
    <x v="6"/>
    <x v="2"/>
    <s v="Preservativo Masculino"/>
    <s v="Cores e Sabores"/>
    <x v="3"/>
    <n v="2608"/>
  </r>
  <r>
    <x v="3"/>
    <n v="2026"/>
    <x v="7"/>
    <x v="2"/>
    <s v="Preservativo Masculino"/>
    <s v="Cores e Sabores"/>
    <x v="3"/>
    <n v="2608"/>
  </r>
  <r>
    <x v="3"/>
    <n v="2026"/>
    <x v="8"/>
    <x v="2"/>
    <s v="Preservativo Masculino"/>
    <s v="Cores e Sabores"/>
    <x v="3"/>
    <n v="2608"/>
  </r>
  <r>
    <x v="3"/>
    <n v="2026"/>
    <x v="9"/>
    <x v="2"/>
    <s v="Preservativo Masculino"/>
    <s v="Cores e Sabores"/>
    <x v="3"/>
    <n v="2608"/>
  </r>
  <r>
    <x v="3"/>
    <n v="2026"/>
    <x v="10"/>
    <x v="2"/>
    <s v="Preservativo Masculino"/>
    <s v="Cores e Sabores"/>
    <x v="3"/>
    <n v="2608"/>
  </r>
  <r>
    <x v="3"/>
    <n v="2026"/>
    <x v="11"/>
    <x v="2"/>
    <s v="Preservativo Masculino"/>
    <s v="Cores e Sabores"/>
    <x v="3"/>
    <n v="2608"/>
  </r>
  <r>
    <x v="4"/>
    <n v="2026"/>
    <x v="0"/>
    <x v="2"/>
    <s v="Preservativo Masculino"/>
    <s v="Cores e Sabores"/>
    <x v="4"/>
    <n v="7845.6"/>
  </r>
  <r>
    <x v="4"/>
    <n v="2026"/>
    <x v="1"/>
    <x v="2"/>
    <s v="Preservativo Masculino"/>
    <s v="Cores e Sabores"/>
    <x v="4"/>
    <n v="5894.6"/>
  </r>
  <r>
    <x v="4"/>
    <n v="2026"/>
    <x v="2"/>
    <x v="2"/>
    <s v="Preservativo Masculino"/>
    <s v="Cores e Sabores"/>
    <x v="4"/>
    <n v="8216.6"/>
  </r>
  <r>
    <x v="4"/>
    <n v="2026"/>
    <x v="3"/>
    <x v="2"/>
    <s v="Preservativo Masculino"/>
    <s v="Cores e Sabores"/>
    <x v="4"/>
    <n v="6016.6"/>
  </r>
  <r>
    <x v="4"/>
    <n v="2026"/>
    <x v="4"/>
    <x v="2"/>
    <s v="Preservativo Masculino"/>
    <s v="Cores e Sabores"/>
    <x v="4"/>
    <n v="4686.6000000000004"/>
  </r>
  <r>
    <x v="4"/>
    <n v="2026"/>
    <x v="5"/>
    <x v="2"/>
    <s v="Preservativo Masculino"/>
    <s v="Cores e Sabores"/>
    <x v="4"/>
    <n v="2883.6000000000004"/>
  </r>
  <r>
    <x v="4"/>
    <n v="2026"/>
    <x v="6"/>
    <x v="2"/>
    <s v="Preservativo Masculino"/>
    <s v="Cores e Sabores"/>
    <x v="4"/>
    <n v="2883.6000000000004"/>
  </r>
  <r>
    <x v="4"/>
    <n v="2026"/>
    <x v="7"/>
    <x v="2"/>
    <s v="Preservativo Masculino"/>
    <s v="Cores e Sabores"/>
    <x v="4"/>
    <n v="2883.6000000000004"/>
  </r>
  <r>
    <x v="4"/>
    <n v="2026"/>
    <x v="8"/>
    <x v="2"/>
    <s v="Preservativo Masculino"/>
    <s v="Cores e Sabores"/>
    <x v="4"/>
    <n v="2883.6000000000004"/>
  </r>
  <r>
    <x v="4"/>
    <n v="2026"/>
    <x v="9"/>
    <x v="2"/>
    <s v="Preservativo Masculino"/>
    <s v="Cores e Sabores"/>
    <x v="4"/>
    <n v="2883.6000000000004"/>
  </r>
  <r>
    <x v="4"/>
    <n v="2026"/>
    <x v="10"/>
    <x v="2"/>
    <s v="Preservativo Masculino"/>
    <s v="Cores e Sabores"/>
    <x v="4"/>
    <n v="2883.6000000000004"/>
  </r>
  <r>
    <x v="4"/>
    <n v="2026"/>
    <x v="11"/>
    <x v="2"/>
    <s v="Preservativo Masculino"/>
    <s v="Cores e Sabores"/>
    <x v="4"/>
    <n v="2883.6000000000004"/>
  </r>
  <r>
    <x v="5"/>
    <n v="2026"/>
    <x v="0"/>
    <x v="2"/>
    <s v="Preservativo Masculino"/>
    <s v="Cores e Sabores"/>
    <x v="5"/>
    <n v="12576"/>
  </r>
  <r>
    <x v="5"/>
    <n v="2026"/>
    <x v="1"/>
    <x v="2"/>
    <s v="Preservativo Masculino"/>
    <s v="Cores e Sabores"/>
    <x v="5"/>
    <n v="9576"/>
  </r>
  <r>
    <x v="5"/>
    <n v="2026"/>
    <x v="2"/>
    <x v="2"/>
    <s v="Preservativo Masculino"/>
    <s v="Cores e Sabores"/>
    <x v="5"/>
    <n v="9576"/>
  </r>
  <r>
    <x v="5"/>
    <n v="2026"/>
    <x v="3"/>
    <x v="2"/>
    <s v="Preservativo Masculino"/>
    <s v="Cores e Sabores"/>
    <x v="5"/>
    <n v="5076"/>
  </r>
  <r>
    <x v="5"/>
    <n v="2026"/>
    <x v="4"/>
    <x v="2"/>
    <s v="Preservativo Masculino"/>
    <s v="Cores e Sabores"/>
    <x v="5"/>
    <n v="3576"/>
  </r>
  <r>
    <x v="5"/>
    <n v="2026"/>
    <x v="5"/>
    <x v="2"/>
    <s v="Preservativo Masculino"/>
    <s v="Cores e Sabores"/>
    <x v="5"/>
    <n v="576"/>
  </r>
  <r>
    <x v="5"/>
    <n v="2026"/>
    <x v="6"/>
    <x v="2"/>
    <s v="Preservativo Masculino"/>
    <s v="Cores e Sabores"/>
    <x v="5"/>
    <n v="576"/>
  </r>
  <r>
    <x v="5"/>
    <n v="2026"/>
    <x v="7"/>
    <x v="2"/>
    <s v="Preservativo Masculino"/>
    <s v="Cores e Sabores"/>
    <x v="5"/>
    <n v="576"/>
  </r>
  <r>
    <x v="5"/>
    <n v="2026"/>
    <x v="8"/>
    <x v="2"/>
    <s v="Preservativo Masculino"/>
    <s v="Cores e Sabores"/>
    <x v="5"/>
    <n v="576"/>
  </r>
  <r>
    <x v="5"/>
    <n v="2026"/>
    <x v="9"/>
    <x v="2"/>
    <s v="Preservativo Masculino"/>
    <s v="Cores e Sabores"/>
    <x v="5"/>
    <n v="576"/>
  </r>
  <r>
    <x v="5"/>
    <n v="2026"/>
    <x v="10"/>
    <x v="2"/>
    <s v="Preservativo Masculino"/>
    <s v="Cores e Sabores"/>
    <x v="5"/>
    <n v="576"/>
  </r>
  <r>
    <x v="5"/>
    <n v="2026"/>
    <x v="11"/>
    <x v="2"/>
    <s v="Preservativo Masculino"/>
    <s v="Cores e Sabores"/>
    <x v="5"/>
    <n v="576"/>
  </r>
  <r>
    <x v="6"/>
    <n v="2026"/>
    <x v="0"/>
    <x v="2"/>
    <s v="Preservativo Masculino"/>
    <s v="Cores e Sabores"/>
    <x v="6"/>
    <n v="2869.08"/>
  </r>
  <r>
    <x v="6"/>
    <n v="2026"/>
    <x v="1"/>
    <x v="2"/>
    <s v="Preservativo Masculino"/>
    <s v="Cores e Sabores"/>
    <x v="6"/>
    <n v="2218.08"/>
  </r>
  <r>
    <x v="6"/>
    <n v="2026"/>
    <x v="2"/>
    <x v="2"/>
    <s v="Preservativo Masculino"/>
    <s v="Cores e Sabores"/>
    <x v="6"/>
    <n v="3632.08"/>
  </r>
  <r>
    <x v="6"/>
    <n v="2026"/>
    <x v="3"/>
    <x v="2"/>
    <s v="Preservativo Masculino"/>
    <s v="Cores e Sabores"/>
    <x v="6"/>
    <n v="2938.08"/>
  </r>
  <r>
    <x v="6"/>
    <n v="2026"/>
    <x v="4"/>
    <x v="2"/>
    <s v="Preservativo Masculino"/>
    <s v="Cores e Sabores"/>
    <x v="6"/>
    <n v="2170.08"/>
  </r>
  <r>
    <x v="6"/>
    <n v="2026"/>
    <x v="5"/>
    <x v="2"/>
    <s v="Preservativo Masculino"/>
    <s v="Cores e Sabores"/>
    <x v="6"/>
    <n v="1454.08"/>
  </r>
  <r>
    <x v="6"/>
    <n v="2026"/>
    <x v="6"/>
    <x v="2"/>
    <s v="Preservativo Masculino"/>
    <s v="Cores e Sabores"/>
    <x v="6"/>
    <n v="1454.08"/>
  </r>
  <r>
    <x v="6"/>
    <n v="2026"/>
    <x v="7"/>
    <x v="2"/>
    <s v="Preservativo Masculino"/>
    <s v="Cores e Sabores"/>
    <x v="6"/>
    <n v="1454.08"/>
  </r>
  <r>
    <x v="6"/>
    <n v="2026"/>
    <x v="8"/>
    <x v="2"/>
    <s v="Preservativo Masculino"/>
    <s v="Cores e Sabores"/>
    <x v="6"/>
    <n v="1454.08"/>
  </r>
  <r>
    <x v="6"/>
    <n v="2026"/>
    <x v="9"/>
    <x v="2"/>
    <s v="Preservativo Masculino"/>
    <s v="Cores e Sabores"/>
    <x v="6"/>
    <n v="1454.08"/>
  </r>
  <r>
    <x v="6"/>
    <n v="2026"/>
    <x v="10"/>
    <x v="2"/>
    <s v="Preservativo Masculino"/>
    <s v="Cores e Sabores"/>
    <x v="6"/>
    <n v="1454.08"/>
  </r>
  <r>
    <x v="6"/>
    <n v="2026"/>
    <x v="11"/>
    <x v="2"/>
    <s v="Preservativo Masculino"/>
    <s v="Cores e Sabores"/>
    <x v="6"/>
    <n v="1454.08"/>
  </r>
  <r>
    <x v="7"/>
    <n v="2026"/>
    <x v="0"/>
    <x v="2"/>
    <s v="Preservativo Masculino"/>
    <s v="Cores e Sabores"/>
    <x v="7"/>
    <n v="11849.773999999999"/>
  </r>
  <r>
    <x v="7"/>
    <n v="2026"/>
    <x v="1"/>
    <x v="2"/>
    <s v="Preservativo Masculino"/>
    <s v="Cores e Sabores"/>
    <x v="7"/>
    <n v="8849.7739999999994"/>
  </r>
  <r>
    <x v="7"/>
    <n v="2026"/>
    <x v="2"/>
    <x v="2"/>
    <s v="Preservativo Masculino"/>
    <s v="Cores e Sabores"/>
    <x v="7"/>
    <n v="11849.773999999999"/>
  </r>
  <r>
    <x v="7"/>
    <n v="2026"/>
    <x v="3"/>
    <x v="2"/>
    <s v="Preservativo Masculino"/>
    <s v="Cores e Sabores"/>
    <x v="7"/>
    <n v="7949.7739999999994"/>
  </r>
  <r>
    <x v="7"/>
    <n v="2026"/>
    <x v="4"/>
    <x v="2"/>
    <s v="Preservativo Masculino"/>
    <s v="Cores e Sabores"/>
    <x v="7"/>
    <n v="5849.7739999999994"/>
  </r>
  <r>
    <x v="7"/>
    <n v="2026"/>
    <x v="5"/>
    <x v="2"/>
    <s v="Preservativo Masculino"/>
    <s v="Cores e Sabores"/>
    <x v="7"/>
    <n v="2849.7739999999994"/>
  </r>
  <r>
    <x v="7"/>
    <n v="2026"/>
    <x v="6"/>
    <x v="2"/>
    <s v="Preservativo Masculino"/>
    <s v="Cores e Sabores"/>
    <x v="7"/>
    <n v="2849.7739999999994"/>
  </r>
  <r>
    <x v="7"/>
    <n v="2026"/>
    <x v="7"/>
    <x v="2"/>
    <s v="Preservativo Masculino"/>
    <s v="Cores e Sabores"/>
    <x v="7"/>
    <n v="2849.7739999999994"/>
  </r>
  <r>
    <x v="7"/>
    <n v="2026"/>
    <x v="8"/>
    <x v="2"/>
    <s v="Preservativo Masculino"/>
    <s v="Cores e Sabores"/>
    <x v="7"/>
    <n v="2849.7739999999994"/>
  </r>
  <r>
    <x v="7"/>
    <n v="2026"/>
    <x v="9"/>
    <x v="2"/>
    <s v="Preservativo Masculino"/>
    <s v="Cores e Sabores"/>
    <x v="7"/>
    <n v="2849.7739999999994"/>
  </r>
  <r>
    <x v="7"/>
    <n v="2026"/>
    <x v="10"/>
    <x v="2"/>
    <s v="Preservativo Masculino"/>
    <s v="Cores e Sabores"/>
    <x v="7"/>
    <n v="2849.7739999999994"/>
  </r>
  <r>
    <x v="7"/>
    <n v="2026"/>
    <x v="11"/>
    <x v="2"/>
    <s v="Preservativo Masculino"/>
    <s v="Cores e Sabores"/>
    <x v="7"/>
    <n v="2849.7739999999994"/>
  </r>
  <r>
    <x v="8"/>
    <n v="2026"/>
    <x v="0"/>
    <x v="2"/>
    <s v="Preservativo Masculino"/>
    <s v="Cores e Sabores"/>
    <x v="8"/>
    <n v="9151"/>
  </r>
  <r>
    <x v="8"/>
    <n v="2026"/>
    <x v="1"/>
    <x v="2"/>
    <s v="Preservativo Masculino"/>
    <s v="Cores e Sabores"/>
    <x v="8"/>
    <n v="7651"/>
  </r>
  <r>
    <x v="8"/>
    <n v="2026"/>
    <x v="2"/>
    <x v="2"/>
    <s v="Preservativo Masculino"/>
    <s v="Cores e Sabores"/>
    <x v="8"/>
    <n v="6151"/>
  </r>
  <r>
    <x v="8"/>
    <n v="2026"/>
    <x v="3"/>
    <x v="2"/>
    <s v="Preservativo Masculino"/>
    <s v="Cores e Sabores"/>
    <x v="8"/>
    <n v="4201"/>
  </r>
  <r>
    <x v="8"/>
    <n v="2026"/>
    <x v="4"/>
    <x v="2"/>
    <s v="Preservativo Masculino"/>
    <s v="Cores e Sabores"/>
    <x v="8"/>
    <n v="3151"/>
  </r>
  <r>
    <x v="8"/>
    <n v="2026"/>
    <x v="5"/>
    <x v="2"/>
    <s v="Preservativo Masculino"/>
    <s v="Cores e Sabores"/>
    <x v="8"/>
    <n v="1651"/>
  </r>
  <r>
    <x v="8"/>
    <n v="2026"/>
    <x v="6"/>
    <x v="2"/>
    <s v="Preservativo Masculino"/>
    <s v="Cores e Sabores"/>
    <x v="8"/>
    <n v="1651"/>
  </r>
  <r>
    <x v="8"/>
    <n v="2026"/>
    <x v="7"/>
    <x v="2"/>
    <s v="Preservativo Masculino"/>
    <s v="Cores e Sabores"/>
    <x v="8"/>
    <n v="1651"/>
  </r>
  <r>
    <x v="8"/>
    <n v="2026"/>
    <x v="8"/>
    <x v="2"/>
    <s v="Preservativo Masculino"/>
    <s v="Cores e Sabores"/>
    <x v="8"/>
    <n v="1651"/>
  </r>
  <r>
    <x v="8"/>
    <n v="2026"/>
    <x v="9"/>
    <x v="2"/>
    <s v="Preservativo Masculino"/>
    <s v="Cores e Sabores"/>
    <x v="8"/>
    <n v="1651"/>
  </r>
  <r>
    <x v="8"/>
    <n v="2026"/>
    <x v="10"/>
    <x v="2"/>
    <s v="Preservativo Masculino"/>
    <s v="Cores e Sabores"/>
    <x v="8"/>
    <n v="1651"/>
  </r>
  <r>
    <x v="8"/>
    <n v="2026"/>
    <x v="11"/>
    <x v="2"/>
    <s v="Preservativo Masculino"/>
    <s v="Cores e Sabores"/>
    <x v="8"/>
    <n v="1651"/>
  </r>
  <r>
    <x v="9"/>
    <n v="2026"/>
    <x v="0"/>
    <x v="2"/>
    <s v="Preservativo Masculino"/>
    <s v="Cores e Sabores"/>
    <x v="9"/>
    <n v="9108.73"/>
  </r>
  <r>
    <x v="9"/>
    <n v="2026"/>
    <x v="1"/>
    <x v="2"/>
    <s v="Preservativo Masculino"/>
    <s v="Cores e Sabores"/>
    <x v="9"/>
    <n v="10208.73"/>
  </r>
  <r>
    <x v="9"/>
    <n v="2026"/>
    <x v="2"/>
    <x v="2"/>
    <s v="Preservativo Masculino"/>
    <s v="Cores e Sabores"/>
    <x v="9"/>
    <n v="8308.73"/>
  </r>
  <r>
    <x v="9"/>
    <n v="2026"/>
    <x v="3"/>
    <x v="2"/>
    <s v="Preservativo Masculino"/>
    <s v="Cores e Sabores"/>
    <x v="9"/>
    <n v="5838.73"/>
  </r>
  <r>
    <x v="9"/>
    <n v="2026"/>
    <x v="4"/>
    <x v="2"/>
    <s v="Preservativo Masculino"/>
    <s v="Cores e Sabores"/>
    <x v="9"/>
    <n v="4508.7299999999996"/>
  </r>
  <r>
    <x v="9"/>
    <n v="2026"/>
    <x v="5"/>
    <x v="2"/>
    <s v="Preservativo Masculino"/>
    <s v="Cores e Sabores"/>
    <x v="9"/>
    <n v="2608.7299999999996"/>
  </r>
  <r>
    <x v="9"/>
    <n v="2026"/>
    <x v="6"/>
    <x v="2"/>
    <s v="Preservativo Masculino"/>
    <s v="Cores e Sabores"/>
    <x v="9"/>
    <n v="2608.7299999999996"/>
  </r>
  <r>
    <x v="9"/>
    <n v="2026"/>
    <x v="7"/>
    <x v="2"/>
    <s v="Preservativo Masculino"/>
    <s v="Cores e Sabores"/>
    <x v="9"/>
    <n v="2608.7299999999996"/>
  </r>
  <r>
    <x v="9"/>
    <n v="2026"/>
    <x v="8"/>
    <x v="2"/>
    <s v="Preservativo Masculino"/>
    <s v="Cores e Sabores"/>
    <x v="9"/>
    <n v="2608.7299999999996"/>
  </r>
  <r>
    <x v="9"/>
    <n v="2026"/>
    <x v="9"/>
    <x v="2"/>
    <s v="Preservativo Masculino"/>
    <s v="Cores e Sabores"/>
    <x v="9"/>
    <n v="2608.7299999999996"/>
  </r>
  <r>
    <x v="9"/>
    <n v="2026"/>
    <x v="10"/>
    <x v="2"/>
    <s v="Preservativo Masculino"/>
    <s v="Cores e Sabores"/>
    <x v="9"/>
    <n v="2608.7299999999996"/>
  </r>
  <r>
    <x v="9"/>
    <n v="2026"/>
    <x v="11"/>
    <x v="2"/>
    <s v="Preservativo Masculino"/>
    <s v="Cores e Sabores"/>
    <x v="9"/>
    <n v="2608.7299999999996"/>
  </r>
  <r>
    <x v="10"/>
    <n v="2026"/>
    <x v="0"/>
    <x v="2"/>
    <s v="Preservativo Masculino"/>
    <s v="Cores e Sabores"/>
    <x v="10"/>
    <n v="2287.6140000000005"/>
  </r>
  <r>
    <x v="10"/>
    <n v="2026"/>
    <x v="1"/>
    <x v="2"/>
    <s v="Preservativo Masculino"/>
    <s v="Cores e Sabores"/>
    <x v="10"/>
    <n v="4712.6140000000005"/>
  </r>
  <r>
    <x v="10"/>
    <n v="2026"/>
    <x v="2"/>
    <x v="2"/>
    <s v="Preservativo Masculino"/>
    <s v="Cores e Sabores"/>
    <x v="10"/>
    <n v="4121.6140000000005"/>
  </r>
  <r>
    <x v="10"/>
    <n v="2026"/>
    <x v="3"/>
    <x v="2"/>
    <s v="Preservativo Masculino"/>
    <s v="Cores e Sabores"/>
    <x v="10"/>
    <n v="3520.6140000000005"/>
  </r>
  <r>
    <x v="10"/>
    <n v="2026"/>
    <x v="4"/>
    <x v="2"/>
    <s v="Preservativo Masculino"/>
    <s v="Cores e Sabores"/>
    <x v="10"/>
    <n v="2844.6140000000005"/>
  </r>
  <r>
    <x v="10"/>
    <n v="2026"/>
    <x v="5"/>
    <x v="2"/>
    <s v="Preservativo Masculino"/>
    <s v="Cores e Sabores"/>
    <x v="10"/>
    <n v="2246.6140000000005"/>
  </r>
  <r>
    <x v="10"/>
    <n v="2026"/>
    <x v="6"/>
    <x v="2"/>
    <s v="Preservativo Masculino"/>
    <s v="Cores e Sabores"/>
    <x v="10"/>
    <n v="2246.6140000000005"/>
  </r>
  <r>
    <x v="10"/>
    <n v="2026"/>
    <x v="7"/>
    <x v="2"/>
    <s v="Preservativo Masculino"/>
    <s v="Cores e Sabores"/>
    <x v="10"/>
    <n v="2246.6140000000005"/>
  </r>
  <r>
    <x v="10"/>
    <n v="2026"/>
    <x v="8"/>
    <x v="2"/>
    <s v="Preservativo Masculino"/>
    <s v="Cores e Sabores"/>
    <x v="10"/>
    <n v="2246.6140000000005"/>
  </r>
  <r>
    <x v="10"/>
    <n v="2026"/>
    <x v="9"/>
    <x v="2"/>
    <s v="Preservativo Masculino"/>
    <s v="Cores e Sabores"/>
    <x v="10"/>
    <n v="2246.6140000000005"/>
  </r>
  <r>
    <x v="10"/>
    <n v="2026"/>
    <x v="10"/>
    <x v="2"/>
    <s v="Preservativo Masculino"/>
    <s v="Cores e Sabores"/>
    <x v="10"/>
    <n v="2246.6140000000005"/>
  </r>
  <r>
    <x v="10"/>
    <n v="2026"/>
    <x v="11"/>
    <x v="2"/>
    <s v="Preservativo Masculino"/>
    <s v="Cores e Sabores"/>
    <x v="10"/>
    <n v="2246.6140000000005"/>
  </r>
  <r>
    <x v="11"/>
    <n v="2026"/>
    <x v="0"/>
    <x v="2"/>
    <s v="Preservativo Masculino"/>
    <s v="Cores e Sabores"/>
    <x v="11"/>
    <n v="5435.9560000000001"/>
  </r>
  <r>
    <x v="11"/>
    <n v="2026"/>
    <x v="1"/>
    <x v="2"/>
    <s v="Preservativo Masculino"/>
    <s v="Cores e Sabores"/>
    <x v="11"/>
    <n v="4633.9560000000001"/>
  </r>
  <r>
    <x v="11"/>
    <n v="2026"/>
    <x v="2"/>
    <x v="2"/>
    <s v="Preservativo Masculino"/>
    <s v="Cores e Sabores"/>
    <x v="11"/>
    <n v="3933.9560000000001"/>
  </r>
  <r>
    <x v="11"/>
    <n v="2026"/>
    <x v="3"/>
    <x v="2"/>
    <s v="Preservativo Masculino"/>
    <s v="Cores e Sabores"/>
    <x v="11"/>
    <n v="3101.9560000000001"/>
  </r>
  <r>
    <x v="11"/>
    <n v="2026"/>
    <x v="4"/>
    <x v="2"/>
    <s v="Preservativo Masculino"/>
    <s v="Cores e Sabores"/>
    <x v="11"/>
    <n v="2966.9560000000001"/>
  </r>
  <r>
    <x v="11"/>
    <n v="2026"/>
    <x v="5"/>
    <x v="2"/>
    <s v="Preservativo Masculino"/>
    <s v="Cores e Sabores"/>
    <x v="11"/>
    <n v="2410.9560000000001"/>
  </r>
  <r>
    <x v="11"/>
    <n v="2026"/>
    <x v="6"/>
    <x v="2"/>
    <s v="Preservativo Masculino"/>
    <s v="Cores e Sabores"/>
    <x v="11"/>
    <n v="2410.9560000000001"/>
  </r>
  <r>
    <x v="11"/>
    <n v="2026"/>
    <x v="7"/>
    <x v="2"/>
    <s v="Preservativo Masculino"/>
    <s v="Cores e Sabores"/>
    <x v="11"/>
    <n v="2410.9560000000001"/>
  </r>
  <r>
    <x v="11"/>
    <n v="2026"/>
    <x v="8"/>
    <x v="2"/>
    <s v="Preservativo Masculino"/>
    <s v="Cores e Sabores"/>
    <x v="11"/>
    <n v="2410.9560000000001"/>
  </r>
  <r>
    <x v="11"/>
    <n v="2026"/>
    <x v="9"/>
    <x v="2"/>
    <s v="Preservativo Masculino"/>
    <s v="Cores e Sabores"/>
    <x v="11"/>
    <n v="2410.9560000000001"/>
  </r>
  <r>
    <x v="11"/>
    <n v="2026"/>
    <x v="10"/>
    <x v="2"/>
    <s v="Preservativo Masculino"/>
    <s v="Cores e Sabores"/>
    <x v="11"/>
    <n v="2410.9560000000001"/>
  </r>
  <r>
    <x v="11"/>
    <n v="2026"/>
    <x v="11"/>
    <x v="2"/>
    <s v="Preservativo Masculino"/>
    <s v="Cores e Sabores"/>
    <x v="11"/>
    <n v="2410.9560000000001"/>
  </r>
  <r>
    <x v="12"/>
    <n v="2026"/>
    <x v="0"/>
    <x v="2"/>
    <s v="Preservativo Masculino"/>
    <s v="Cores e Sabores"/>
    <x v="12"/>
    <n v="3432.7669999999998"/>
  </r>
  <r>
    <x v="12"/>
    <n v="2026"/>
    <x v="1"/>
    <x v="2"/>
    <s v="Preservativo Masculino"/>
    <s v="Cores e Sabores"/>
    <x v="12"/>
    <n v="2562.7669999999998"/>
  </r>
  <r>
    <x v="12"/>
    <n v="2026"/>
    <x v="2"/>
    <x v="2"/>
    <s v="Preservativo Masculino"/>
    <s v="Cores e Sabores"/>
    <x v="12"/>
    <n v="4697.7669999999998"/>
  </r>
  <r>
    <x v="12"/>
    <n v="2026"/>
    <x v="3"/>
    <x v="2"/>
    <s v="Preservativo Masculino"/>
    <s v="Cores e Sabores"/>
    <x v="12"/>
    <n v="3418.7669999999998"/>
  </r>
  <r>
    <x v="12"/>
    <n v="2026"/>
    <x v="4"/>
    <x v="2"/>
    <s v="Preservativo Masculino"/>
    <s v="Cores e Sabores"/>
    <x v="12"/>
    <n v="2574.7669999999998"/>
  </r>
  <r>
    <x v="12"/>
    <n v="2026"/>
    <x v="5"/>
    <x v="2"/>
    <s v="Preservativo Masculino"/>
    <s v="Cores e Sabores"/>
    <x v="12"/>
    <n v="1578.7669999999998"/>
  </r>
  <r>
    <x v="12"/>
    <n v="2026"/>
    <x v="6"/>
    <x v="2"/>
    <s v="Preservativo Masculino"/>
    <s v="Cores e Sabores"/>
    <x v="12"/>
    <n v="1578.7669999999998"/>
  </r>
  <r>
    <x v="12"/>
    <n v="2026"/>
    <x v="7"/>
    <x v="2"/>
    <s v="Preservativo Masculino"/>
    <s v="Cores e Sabores"/>
    <x v="12"/>
    <n v="1578.7669999999998"/>
  </r>
  <r>
    <x v="12"/>
    <n v="2026"/>
    <x v="8"/>
    <x v="2"/>
    <s v="Preservativo Masculino"/>
    <s v="Cores e Sabores"/>
    <x v="12"/>
    <n v="1578.7669999999998"/>
  </r>
  <r>
    <x v="12"/>
    <n v="2026"/>
    <x v="9"/>
    <x v="2"/>
    <s v="Preservativo Masculino"/>
    <s v="Cores e Sabores"/>
    <x v="12"/>
    <n v="1578.7669999999998"/>
  </r>
  <r>
    <x v="12"/>
    <n v="2026"/>
    <x v="10"/>
    <x v="2"/>
    <s v="Preservativo Masculino"/>
    <s v="Cores e Sabores"/>
    <x v="12"/>
    <n v="1578.7669999999998"/>
  </r>
  <r>
    <x v="12"/>
    <n v="2026"/>
    <x v="11"/>
    <x v="2"/>
    <s v="Preservativo Masculino"/>
    <s v="Cores e Sabores"/>
    <x v="12"/>
    <n v="1578.7669999999998"/>
  </r>
  <r>
    <x v="13"/>
    <n v="2026"/>
    <x v="0"/>
    <x v="2"/>
    <s v="Preservativo Masculino"/>
    <s v="Cores e Sabores"/>
    <x v="13"/>
    <n v="5392"/>
  </r>
  <r>
    <x v="13"/>
    <n v="2026"/>
    <x v="1"/>
    <x v="2"/>
    <s v="Preservativo Masculino"/>
    <s v="Cores e Sabores"/>
    <x v="13"/>
    <n v="4814"/>
  </r>
  <r>
    <x v="13"/>
    <n v="2026"/>
    <x v="2"/>
    <x v="2"/>
    <s v="Preservativo Masculino"/>
    <s v="Cores e Sabores"/>
    <x v="13"/>
    <n v="4236"/>
  </r>
  <r>
    <x v="13"/>
    <n v="2026"/>
    <x v="3"/>
    <x v="2"/>
    <s v="Preservativo Masculino"/>
    <s v="Cores e Sabores"/>
    <x v="13"/>
    <n v="3615.2"/>
  </r>
  <r>
    <x v="13"/>
    <n v="2026"/>
    <x v="4"/>
    <x v="2"/>
    <s v="Preservativo Masculino"/>
    <s v="Cores e Sabores"/>
    <x v="13"/>
    <n v="3359"/>
  </r>
  <r>
    <x v="13"/>
    <n v="2026"/>
    <x v="5"/>
    <x v="2"/>
    <s v="Preservativo Masculino"/>
    <s v="Cores e Sabores"/>
    <x v="13"/>
    <n v="3025"/>
  </r>
  <r>
    <x v="13"/>
    <n v="2026"/>
    <x v="6"/>
    <x v="2"/>
    <s v="Preservativo Masculino"/>
    <s v="Cores e Sabores"/>
    <x v="13"/>
    <n v="3025"/>
  </r>
  <r>
    <x v="13"/>
    <n v="2026"/>
    <x v="7"/>
    <x v="2"/>
    <s v="Preservativo Masculino"/>
    <s v="Cores e Sabores"/>
    <x v="13"/>
    <n v="3025"/>
  </r>
  <r>
    <x v="13"/>
    <n v="2026"/>
    <x v="8"/>
    <x v="2"/>
    <s v="Preservativo Masculino"/>
    <s v="Cores e Sabores"/>
    <x v="13"/>
    <n v="3025"/>
  </r>
  <r>
    <x v="13"/>
    <n v="2026"/>
    <x v="9"/>
    <x v="2"/>
    <s v="Preservativo Masculino"/>
    <s v="Cores e Sabores"/>
    <x v="13"/>
    <n v="3025"/>
  </r>
  <r>
    <x v="13"/>
    <n v="2026"/>
    <x v="10"/>
    <x v="2"/>
    <s v="Preservativo Masculino"/>
    <s v="Cores e Sabores"/>
    <x v="13"/>
    <n v="3025"/>
  </r>
  <r>
    <x v="13"/>
    <n v="2026"/>
    <x v="11"/>
    <x v="2"/>
    <s v="Preservativo Masculino"/>
    <s v="Cores e Sabores"/>
    <x v="13"/>
    <n v="3025"/>
  </r>
  <r>
    <x v="14"/>
    <n v="2026"/>
    <x v="0"/>
    <x v="2"/>
    <s v="Preservativo Masculino"/>
    <s v="Cores e Sabores"/>
    <x v="14"/>
    <n v="3619"/>
  </r>
  <r>
    <x v="14"/>
    <n v="2026"/>
    <x v="1"/>
    <x v="2"/>
    <s v="Preservativo Masculino"/>
    <s v="Cores e Sabores"/>
    <x v="14"/>
    <n v="3069"/>
  </r>
  <r>
    <x v="14"/>
    <n v="2026"/>
    <x v="2"/>
    <x v="2"/>
    <s v="Preservativo Masculino"/>
    <s v="Cores e Sabores"/>
    <x v="14"/>
    <n v="2519"/>
  </r>
  <r>
    <x v="14"/>
    <n v="2026"/>
    <x v="3"/>
    <x v="2"/>
    <s v="Preservativo Masculino"/>
    <s v="Cores e Sabores"/>
    <x v="14"/>
    <n v="1969"/>
  </r>
  <r>
    <x v="14"/>
    <n v="2026"/>
    <x v="4"/>
    <x v="2"/>
    <s v="Preservativo Masculino"/>
    <s v="Cores e Sabores"/>
    <x v="14"/>
    <n v="4419"/>
  </r>
  <r>
    <x v="14"/>
    <n v="2026"/>
    <x v="5"/>
    <x v="2"/>
    <s v="Preservativo Masculino"/>
    <s v="Cores e Sabores"/>
    <x v="14"/>
    <n v="3796"/>
  </r>
  <r>
    <x v="14"/>
    <n v="2026"/>
    <x v="6"/>
    <x v="2"/>
    <s v="Preservativo Masculino"/>
    <s v="Cores e Sabores"/>
    <x v="14"/>
    <n v="3796"/>
  </r>
  <r>
    <x v="14"/>
    <n v="2026"/>
    <x v="7"/>
    <x v="2"/>
    <s v="Preservativo Masculino"/>
    <s v="Cores e Sabores"/>
    <x v="14"/>
    <n v="3796"/>
  </r>
  <r>
    <x v="14"/>
    <n v="2026"/>
    <x v="8"/>
    <x v="2"/>
    <s v="Preservativo Masculino"/>
    <s v="Cores e Sabores"/>
    <x v="14"/>
    <n v="3796"/>
  </r>
  <r>
    <x v="14"/>
    <n v="2026"/>
    <x v="9"/>
    <x v="2"/>
    <s v="Preservativo Masculino"/>
    <s v="Cores e Sabores"/>
    <x v="14"/>
    <n v="3796"/>
  </r>
  <r>
    <x v="14"/>
    <n v="2026"/>
    <x v="10"/>
    <x v="2"/>
    <s v="Preservativo Masculino"/>
    <s v="Cores e Sabores"/>
    <x v="14"/>
    <n v="3796"/>
  </r>
  <r>
    <x v="14"/>
    <n v="2026"/>
    <x v="11"/>
    <x v="2"/>
    <s v="Preservativo Masculino"/>
    <s v="Cores e Sabores"/>
    <x v="14"/>
    <n v="3796"/>
  </r>
  <r>
    <x v="15"/>
    <n v="2026"/>
    <x v="0"/>
    <x v="2"/>
    <s v="Preservativo Masculino"/>
    <s v="Performance"/>
    <x v="15"/>
    <n v="19131.699999999997"/>
  </r>
  <r>
    <x v="15"/>
    <n v="2026"/>
    <x v="1"/>
    <x v="2"/>
    <s v="Preservativo Masculino"/>
    <s v="Performance"/>
    <x v="15"/>
    <n v="20363.699999999997"/>
  </r>
  <r>
    <x v="15"/>
    <n v="2026"/>
    <x v="2"/>
    <x v="2"/>
    <s v="Preservativo Masculino"/>
    <s v="Performance"/>
    <x v="15"/>
    <n v="20775.699999999997"/>
  </r>
  <r>
    <x v="15"/>
    <n v="2026"/>
    <x v="3"/>
    <x v="2"/>
    <s v="Preservativo Masculino"/>
    <s v="Performance"/>
    <x v="15"/>
    <n v="19480.699999999997"/>
  </r>
  <r>
    <x v="15"/>
    <n v="2026"/>
    <x v="4"/>
    <x v="2"/>
    <s v="Preservativo Masculino"/>
    <s v="Performance"/>
    <x v="15"/>
    <n v="14328.699999999997"/>
  </r>
  <r>
    <x v="15"/>
    <n v="2026"/>
    <x v="5"/>
    <x v="2"/>
    <s v="Preservativo Masculino"/>
    <s v="Performance"/>
    <x v="15"/>
    <n v="8816.6999999999971"/>
  </r>
  <r>
    <x v="15"/>
    <n v="2026"/>
    <x v="6"/>
    <x v="2"/>
    <s v="Preservativo Masculino"/>
    <s v="Performance"/>
    <x v="15"/>
    <n v="8816.6999999999971"/>
  </r>
  <r>
    <x v="15"/>
    <n v="2026"/>
    <x v="7"/>
    <x v="2"/>
    <s v="Preservativo Masculino"/>
    <s v="Performance"/>
    <x v="15"/>
    <n v="8816.6999999999971"/>
  </r>
  <r>
    <x v="15"/>
    <n v="2026"/>
    <x v="8"/>
    <x v="2"/>
    <s v="Preservativo Masculino"/>
    <s v="Performance"/>
    <x v="15"/>
    <n v="8816.6999999999971"/>
  </r>
  <r>
    <x v="15"/>
    <n v="2026"/>
    <x v="9"/>
    <x v="2"/>
    <s v="Preservativo Masculino"/>
    <s v="Performance"/>
    <x v="15"/>
    <n v="8816.6999999999971"/>
  </r>
  <r>
    <x v="15"/>
    <n v="2026"/>
    <x v="10"/>
    <x v="2"/>
    <s v="Preservativo Masculino"/>
    <s v="Performance"/>
    <x v="15"/>
    <n v="8816.6999999999971"/>
  </r>
  <r>
    <x v="15"/>
    <n v="2026"/>
    <x v="11"/>
    <x v="2"/>
    <s v="Preservativo Masculino"/>
    <s v="Performance"/>
    <x v="15"/>
    <n v="8816.6999999999971"/>
  </r>
  <r>
    <x v="16"/>
    <n v="2026"/>
    <x v="0"/>
    <x v="2"/>
    <s v="Preservativo Masculino"/>
    <s v="Performance"/>
    <x v="16"/>
    <n v="10533"/>
  </r>
  <r>
    <x v="16"/>
    <n v="2026"/>
    <x v="1"/>
    <x v="2"/>
    <s v="Preservativo Masculino"/>
    <s v="Performance"/>
    <x v="16"/>
    <n v="8254"/>
  </r>
  <r>
    <x v="16"/>
    <n v="2026"/>
    <x v="2"/>
    <x v="2"/>
    <s v="Preservativo Masculino"/>
    <s v="Performance"/>
    <x v="16"/>
    <n v="6447"/>
  </r>
  <r>
    <x v="16"/>
    <n v="2026"/>
    <x v="3"/>
    <x v="2"/>
    <s v="Preservativo Masculino"/>
    <s v="Performance"/>
    <x v="16"/>
    <n v="3733.2"/>
  </r>
  <r>
    <x v="16"/>
    <n v="2026"/>
    <x v="4"/>
    <x v="2"/>
    <s v="Preservativo Masculino"/>
    <s v="Performance"/>
    <x v="16"/>
    <n v="2364"/>
  </r>
  <r>
    <x v="16"/>
    <n v="2026"/>
    <x v="5"/>
    <x v="2"/>
    <s v="Preservativo Masculino"/>
    <s v="Performance"/>
    <x v="16"/>
    <n v="401"/>
  </r>
  <r>
    <x v="16"/>
    <n v="2026"/>
    <x v="6"/>
    <x v="2"/>
    <s v="Preservativo Masculino"/>
    <s v="Performance"/>
    <x v="16"/>
    <n v="401"/>
  </r>
  <r>
    <x v="16"/>
    <n v="2026"/>
    <x v="7"/>
    <x v="2"/>
    <s v="Preservativo Masculino"/>
    <s v="Performance"/>
    <x v="16"/>
    <n v="401"/>
  </r>
  <r>
    <x v="16"/>
    <n v="2026"/>
    <x v="8"/>
    <x v="2"/>
    <s v="Preservativo Masculino"/>
    <s v="Performance"/>
    <x v="16"/>
    <n v="401"/>
  </r>
  <r>
    <x v="16"/>
    <n v="2026"/>
    <x v="9"/>
    <x v="2"/>
    <s v="Preservativo Masculino"/>
    <s v="Performance"/>
    <x v="16"/>
    <n v="401"/>
  </r>
  <r>
    <x v="16"/>
    <n v="2026"/>
    <x v="10"/>
    <x v="2"/>
    <s v="Preservativo Masculino"/>
    <s v="Performance"/>
    <x v="16"/>
    <n v="401"/>
  </r>
  <r>
    <x v="16"/>
    <n v="2026"/>
    <x v="11"/>
    <x v="2"/>
    <s v="Preservativo Masculino"/>
    <s v="Performance"/>
    <x v="16"/>
    <n v="401"/>
  </r>
  <r>
    <x v="17"/>
    <n v="2026"/>
    <x v="0"/>
    <x v="2"/>
    <s v="Preservativo Masculino"/>
    <s v="Performance"/>
    <x v="17"/>
    <n v="10300.054"/>
  </r>
  <r>
    <x v="17"/>
    <n v="2026"/>
    <x v="1"/>
    <x v="2"/>
    <s v="Preservativo Masculino"/>
    <s v="Performance"/>
    <x v="17"/>
    <n v="8178.0540000000001"/>
  </r>
  <r>
    <x v="17"/>
    <n v="2026"/>
    <x v="2"/>
    <x v="2"/>
    <s v="Preservativo Masculino"/>
    <s v="Performance"/>
    <x v="17"/>
    <n v="6264.0540000000001"/>
  </r>
  <r>
    <x v="17"/>
    <n v="2026"/>
    <x v="3"/>
    <x v="2"/>
    <s v="Preservativo Masculino"/>
    <s v="Performance"/>
    <x v="17"/>
    <n v="4270.0540000000001"/>
  </r>
  <r>
    <x v="17"/>
    <n v="2026"/>
    <x v="4"/>
    <x v="2"/>
    <s v="Preservativo Masculino"/>
    <s v="Performance"/>
    <x v="17"/>
    <n v="5693.0540000000001"/>
  </r>
  <r>
    <x v="17"/>
    <n v="2026"/>
    <x v="5"/>
    <x v="2"/>
    <s v="Preservativo Masculino"/>
    <s v="Performance"/>
    <x v="17"/>
    <n v="3865.0540000000001"/>
  </r>
  <r>
    <x v="17"/>
    <n v="2026"/>
    <x v="6"/>
    <x v="2"/>
    <s v="Preservativo Masculino"/>
    <s v="Performance"/>
    <x v="17"/>
    <n v="3865.0540000000001"/>
  </r>
  <r>
    <x v="17"/>
    <n v="2026"/>
    <x v="7"/>
    <x v="2"/>
    <s v="Preservativo Masculino"/>
    <s v="Performance"/>
    <x v="17"/>
    <n v="3865.0540000000001"/>
  </r>
  <r>
    <x v="17"/>
    <n v="2026"/>
    <x v="8"/>
    <x v="2"/>
    <s v="Preservativo Masculino"/>
    <s v="Performance"/>
    <x v="17"/>
    <n v="3865.0540000000001"/>
  </r>
  <r>
    <x v="17"/>
    <n v="2026"/>
    <x v="9"/>
    <x v="2"/>
    <s v="Preservativo Masculino"/>
    <s v="Performance"/>
    <x v="17"/>
    <n v="3865.0540000000001"/>
  </r>
  <r>
    <x v="17"/>
    <n v="2026"/>
    <x v="10"/>
    <x v="2"/>
    <s v="Preservativo Masculino"/>
    <s v="Performance"/>
    <x v="17"/>
    <n v="3865.0540000000001"/>
  </r>
  <r>
    <x v="17"/>
    <n v="2026"/>
    <x v="11"/>
    <x v="2"/>
    <s v="Preservativo Masculino"/>
    <s v="Performance"/>
    <x v="17"/>
    <n v="3865.0540000000001"/>
  </r>
  <r>
    <x v="18"/>
    <n v="2026"/>
    <x v="0"/>
    <x v="2"/>
    <s v="Preservativo Masculino"/>
    <s v="Performance"/>
    <x v="18"/>
    <n v="5852"/>
  </r>
  <r>
    <x v="18"/>
    <n v="2026"/>
    <x v="1"/>
    <x v="2"/>
    <s v="Preservativo Masculino"/>
    <s v="Performance"/>
    <x v="18"/>
    <n v="4721"/>
  </r>
  <r>
    <x v="18"/>
    <n v="2026"/>
    <x v="2"/>
    <x v="2"/>
    <s v="Preservativo Masculino"/>
    <s v="Performance"/>
    <x v="18"/>
    <n v="3642"/>
  </r>
  <r>
    <x v="18"/>
    <n v="2026"/>
    <x v="3"/>
    <x v="2"/>
    <s v="Preservativo Masculino"/>
    <s v="Performance"/>
    <x v="18"/>
    <n v="4587"/>
  </r>
  <r>
    <x v="18"/>
    <n v="2026"/>
    <x v="4"/>
    <x v="2"/>
    <s v="Preservativo Masculino"/>
    <s v="Performance"/>
    <x v="18"/>
    <n v="3065"/>
  </r>
  <r>
    <x v="18"/>
    <n v="2026"/>
    <x v="5"/>
    <x v="2"/>
    <s v="Preservativo Masculino"/>
    <s v="Performance"/>
    <x v="18"/>
    <n v="1780"/>
  </r>
  <r>
    <x v="18"/>
    <n v="2026"/>
    <x v="6"/>
    <x v="2"/>
    <s v="Preservativo Masculino"/>
    <s v="Performance"/>
    <x v="18"/>
    <n v="1780"/>
  </r>
  <r>
    <x v="18"/>
    <n v="2026"/>
    <x v="7"/>
    <x v="2"/>
    <s v="Preservativo Masculino"/>
    <s v="Performance"/>
    <x v="18"/>
    <n v="1780"/>
  </r>
  <r>
    <x v="18"/>
    <n v="2026"/>
    <x v="8"/>
    <x v="2"/>
    <s v="Preservativo Masculino"/>
    <s v="Performance"/>
    <x v="18"/>
    <n v="1780"/>
  </r>
  <r>
    <x v="18"/>
    <n v="2026"/>
    <x v="9"/>
    <x v="2"/>
    <s v="Preservativo Masculino"/>
    <s v="Performance"/>
    <x v="18"/>
    <n v="1780"/>
  </r>
  <r>
    <x v="18"/>
    <n v="2026"/>
    <x v="10"/>
    <x v="2"/>
    <s v="Preservativo Masculino"/>
    <s v="Performance"/>
    <x v="18"/>
    <n v="1780"/>
  </r>
  <r>
    <x v="18"/>
    <n v="2026"/>
    <x v="11"/>
    <x v="2"/>
    <s v="Preservativo Masculino"/>
    <s v="Performance"/>
    <x v="18"/>
    <n v="1780"/>
  </r>
  <r>
    <x v="19"/>
    <n v="2026"/>
    <x v="0"/>
    <x v="2"/>
    <s v="Preservativo Masculino"/>
    <s v="Performance"/>
    <x v="19"/>
    <n v="13219"/>
  </r>
  <r>
    <x v="19"/>
    <n v="2026"/>
    <x v="1"/>
    <x v="2"/>
    <s v="Preservativo Masculino"/>
    <s v="Performance"/>
    <x v="19"/>
    <n v="10636"/>
  </r>
  <r>
    <x v="19"/>
    <n v="2026"/>
    <x v="2"/>
    <x v="2"/>
    <s v="Preservativo Masculino"/>
    <s v="Performance"/>
    <x v="19"/>
    <n v="8081"/>
  </r>
  <r>
    <x v="19"/>
    <n v="2026"/>
    <x v="3"/>
    <x v="2"/>
    <s v="Preservativo Masculino"/>
    <s v="Performance"/>
    <x v="19"/>
    <n v="5601"/>
  </r>
  <r>
    <x v="19"/>
    <n v="2026"/>
    <x v="4"/>
    <x v="2"/>
    <s v="Preservativo Masculino"/>
    <s v="Performance"/>
    <x v="19"/>
    <n v="6157"/>
  </r>
  <r>
    <x v="19"/>
    <n v="2026"/>
    <x v="5"/>
    <x v="2"/>
    <s v="Preservativo Masculino"/>
    <s v="Performance"/>
    <x v="19"/>
    <n v="3964"/>
  </r>
  <r>
    <x v="19"/>
    <n v="2026"/>
    <x v="6"/>
    <x v="2"/>
    <s v="Preservativo Masculino"/>
    <s v="Performance"/>
    <x v="19"/>
    <n v="3964"/>
  </r>
  <r>
    <x v="19"/>
    <n v="2026"/>
    <x v="7"/>
    <x v="2"/>
    <s v="Preservativo Masculino"/>
    <s v="Performance"/>
    <x v="19"/>
    <n v="3964"/>
  </r>
  <r>
    <x v="19"/>
    <n v="2026"/>
    <x v="8"/>
    <x v="2"/>
    <s v="Preservativo Masculino"/>
    <s v="Performance"/>
    <x v="19"/>
    <n v="3964"/>
  </r>
  <r>
    <x v="19"/>
    <n v="2026"/>
    <x v="9"/>
    <x v="2"/>
    <s v="Preservativo Masculino"/>
    <s v="Performance"/>
    <x v="19"/>
    <n v="3964"/>
  </r>
  <r>
    <x v="19"/>
    <n v="2026"/>
    <x v="10"/>
    <x v="2"/>
    <s v="Preservativo Masculino"/>
    <s v="Performance"/>
    <x v="19"/>
    <n v="3964"/>
  </r>
  <r>
    <x v="19"/>
    <n v="2026"/>
    <x v="11"/>
    <x v="2"/>
    <s v="Preservativo Masculino"/>
    <s v="Performance"/>
    <x v="19"/>
    <n v="3964"/>
  </r>
  <r>
    <x v="20"/>
    <n v="2026"/>
    <x v="0"/>
    <x v="2"/>
    <s v="Preservativo Masculino"/>
    <s v="Performance"/>
    <x v="20"/>
    <n v="12857.547000000002"/>
  </r>
  <r>
    <x v="20"/>
    <n v="2026"/>
    <x v="1"/>
    <x v="2"/>
    <s v="Preservativo Masculino"/>
    <s v="Performance"/>
    <x v="20"/>
    <n v="11784.547000000002"/>
  </r>
  <r>
    <x v="20"/>
    <n v="2026"/>
    <x v="2"/>
    <x v="2"/>
    <s v="Preservativo Masculino"/>
    <s v="Performance"/>
    <x v="20"/>
    <n v="12444.547000000002"/>
  </r>
  <r>
    <x v="20"/>
    <n v="2026"/>
    <x v="3"/>
    <x v="2"/>
    <s v="Preservativo Masculino"/>
    <s v="Performance"/>
    <x v="20"/>
    <n v="10928.547000000002"/>
  </r>
  <r>
    <x v="20"/>
    <n v="2026"/>
    <x v="4"/>
    <x v="2"/>
    <s v="Preservativo Masculino"/>
    <s v="Performance"/>
    <x v="20"/>
    <n v="12081.547000000002"/>
  </r>
  <r>
    <x v="20"/>
    <n v="2026"/>
    <x v="5"/>
    <x v="2"/>
    <s v="Preservativo Masculino"/>
    <s v="Performance"/>
    <x v="20"/>
    <n v="9213.5470000000023"/>
  </r>
  <r>
    <x v="20"/>
    <n v="2026"/>
    <x v="6"/>
    <x v="2"/>
    <s v="Preservativo Masculino"/>
    <s v="Performance"/>
    <x v="20"/>
    <n v="9213.5470000000023"/>
  </r>
  <r>
    <x v="20"/>
    <n v="2026"/>
    <x v="7"/>
    <x v="2"/>
    <s v="Preservativo Masculino"/>
    <s v="Performance"/>
    <x v="20"/>
    <n v="9213.5470000000023"/>
  </r>
  <r>
    <x v="20"/>
    <n v="2026"/>
    <x v="8"/>
    <x v="2"/>
    <s v="Preservativo Masculino"/>
    <s v="Performance"/>
    <x v="20"/>
    <n v="9213.5470000000023"/>
  </r>
  <r>
    <x v="20"/>
    <n v="2026"/>
    <x v="9"/>
    <x v="2"/>
    <s v="Preservativo Masculino"/>
    <s v="Performance"/>
    <x v="20"/>
    <n v="9213.5470000000023"/>
  </r>
  <r>
    <x v="20"/>
    <n v="2026"/>
    <x v="10"/>
    <x v="2"/>
    <s v="Preservativo Masculino"/>
    <s v="Performance"/>
    <x v="20"/>
    <n v="9213.5470000000023"/>
  </r>
  <r>
    <x v="20"/>
    <n v="2026"/>
    <x v="11"/>
    <x v="2"/>
    <s v="Preservativo Masculino"/>
    <s v="Performance"/>
    <x v="20"/>
    <n v="9213.5470000000023"/>
  </r>
  <r>
    <x v="21"/>
    <n v="2026"/>
    <x v="0"/>
    <x v="2"/>
    <s v="Preservativo Masculino"/>
    <s v="Performance"/>
    <x v="21"/>
    <n v="2449.2059999999992"/>
  </r>
  <r>
    <x v="21"/>
    <n v="2026"/>
    <x v="1"/>
    <x v="2"/>
    <s v="Preservativo Masculino"/>
    <s v="Performance"/>
    <x v="21"/>
    <n v="2078.2059999999992"/>
  </r>
  <r>
    <x v="21"/>
    <n v="2026"/>
    <x v="2"/>
    <x v="2"/>
    <s v="Preservativo Masculino"/>
    <s v="Performance"/>
    <x v="21"/>
    <n v="1705.2059999999992"/>
  </r>
  <r>
    <x v="21"/>
    <n v="2026"/>
    <x v="3"/>
    <x v="2"/>
    <s v="Preservativo Masculino"/>
    <s v="Performance"/>
    <x v="21"/>
    <n v="1337.2059999999992"/>
  </r>
  <r>
    <x v="21"/>
    <n v="2026"/>
    <x v="4"/>
    <x v="2"/>
    <s v="Preservativo Masculino"/>
    <s v="Performance"/>
    <x v="21"/>
    <n v="984.20599999999922"/>
  </r>
  <r>
    <x v="21"/>
    <n v="2026"/>
    <x v="5"/>
    <x v="2"/>
    <s v="Preservativo Masculino"/>
    <s v="Performance"/>
    <x v="21"/>
    <n v="619.20599999999922"/>
  </r>
  <r>
    <x v="21"/>
    <n v="2026"/>
    <x v="6"/>
    <x v="2"/>
    <s v="Preservativo Masculino"/>
    <s v="Performance"/>
    <x v="21"/>
    <n v="619.20599999999922"/>
  </r>
  <r>
    <x v="21"/>
    <n v="2026"/>
    <x v="7"/>
    <x v="2"/>
    <s v="Preservativo Masculino"/>
    <s v="Performance"/>
    <x v="21"/>
    <n v="619.20599999999922"/>
  </r>
  <r>
    <x v="21"/>
    <n v="2026"/>
    <x v="8"/>
    <x v="2"/>
    <s v="Preservativo Masculino"/>
    <s v="Performance"/>
    <x v="21"/>
    <n v="619.20599999999922"/>
  </r>
  <r>
    <x v="21"/>
    <n v="2026"/>
    <x v="9"/>
    <x v="2"/>
    <s v="Preservativo Masculino"/>
    <s v="Performance"/>
    <x v="21"/>
    <n v="619.20599999999922"/>
  </r>
  <r>
    <x v="21"/>
    <n v="2026"/>
    <x v="10"/>
    <x v="2"/>
    <s v="Preservativo Masculino"/>
    <s v="Performance"/>
    <x v="21"/>
    <n v="619.20599999999922"/>
  </r>
  <r>
    <x v="21"/>
    <n v="2026"/>
    <x v="11"/>
    <x v="2"/>
    <s v="Preservativo Masculino"/>
    <s v="Performance"/>
    <x v="21"/>
    <n v="619.20599999999922"/>
  </r>
  <r>
    <x v="22"/>
    <n v="2026"/>
    <x v="0"/>
    <x v="2"/>
    <s v="Preservativo Masculino"/>
    <s v="Cores e Sabores"/>
    <x v="22"/>
    <n v="3057.5620000000004"/>
  </r>
  <r>
    <x v="22"/>
    <n v="2026"/>
    <x v="1"/>
    <x v="2"/>
    <s v="Preservativo Masculino"/>
    <s v="Cores e Sabores"/>
    <x v="22"/>
    <n v="2634.5620000000004"/>
  </r>
  <r>
    <x v="22"/>
    <n v="2026"/>
    <x v="2"/>
    <x v="2"/>
    <s v="Preservativo Masculino"/>
    <s v="Cores e Sabores"/>
    <x v="22"/>
    <n v="2098.5620000000004"/>
  </r>
  <r>
    <x v="22"/>
    <n v="2026"/>
    <x v="3"/>
    <x v="2"/>
    <s v="Preservativo Masculino"/>
    <s v="Cores e Sabores"/>
    <x v="22"/>
    <n v="1685.5620000000004"/>
  </r>
  <r>
    <x v="22"/>
    <n v="2026"/>
    <x v="4"/>
    <x v="2"/>
    <s v="Preservativo Masculino"/>
    <s v="Cores e Sabores"/>
    <x v="22"/>
    <n v="1660.5620000000004"/>
  </r>
  <r>
    <x v="22"/>
    <n v="2026"/>
    <x v="5"/>
    <x v="2"/>
    <s v="Preservativo Masculino"/>
    <s v="Cores e Sabores"/>
    <x v="22"/>
    <n v="1335.5620000000004"/>
  </r>
  <r>
    <x v="22"/>
    <n v="2026"/>
    <x v="6"/>
    <x v="2"/>
    <s v="Preservativo Masculino"/>
    <s v="Cores e Sabores"/>
    <x v="22"/>
    <n v="1335.5620000000004"/>
  </r>
  <r>
    <x v="22"/>
    <n v="2026"/>
    <x v="7"/>
    <x v="2"/>
    <s v="Preservativo Masculino"/>
    <s v="Cores e Sabores"/>
    <x v="22"/>
    <n v="1335.5620000000004"/>
  </r>
  <r>
    <x v="22"/>
    <n v="2026"/>
    <x v="8"/>
    <x v="2"/>
    <s v="Preservativo Masculino"/>
    <s v="Cores e Sabores"/>
    <x v="22"/>
    <n v="1335.5620000000004"/>
  </r>
  <r>
    <x v="22"/>
    <n v="2026"/>
    <x v="9"/>
    <x v="2"/>
    <s v="Preservativo Masculino"/>
    <s v="Cores e Sabores"/>
    <x v="22"/>
    <n v="1335.5620000000004"/>
  </r>
  <r>
    <x v="22"/>
    <n v="2026"/>
    <x v="10"/>
    <x v="2"/>
    <s v="Preservativo Masculino"/>
    <s v="Cores e Sabores"/>
    <x v="22"/>
    <n v="1335.5620000000004"/>
  </r>
  <r>
    <x v="22"/>
    <n v="2026"/>
    <x v="11"/>
    <x v="2"/>
    <s v="Preservativo Masculino"/>
    <s v="Cores e Sabores"/>
    <x v="22"/>
    <n v="1335.5620000000004"/>
  </r>
  <r>
    <x v="23"/>
    <n v="2026"/>
    <x v="0"/>
    <x v="2"/>
    <s v="Preservativo Masculino"/>
    <s v="Performance"/>
    <x v="23"/>
    <n v="1322.6520000000003"/>
  </r>
  <r>
    <x v="23"/>
    <n v="2026"/>
    <x v="1"/>
    <x v="2"/>
    <s v="Preservativo Masculino"/>
    <s v="Performance"/>
    <x v="23"/>
    <n v="1126.6520000000003"/>
  </r>
  <r>
    <x v="23"/>
    <n v="2026"/>
    <x v="2"/>
    <x v="2"/>
    <s v="Preservativo Masculino"/>
    <s v="Performance"/>
    <x v="23"/>
    <n v="839.65200000000027"/>
  </r>
  <r>
    <x v="23"/>
    <n v="2026"/>
    <x v="3"/>
    <x v="2"/>
    <s v="Preservativo Masculino"/>
    <s v="Performance"/>
    <x v="23"/>
    <n v="654.65200000000027"/>
  </r>
  <r>
    <x v="23"/>
    <n v="2026"/>
    <x v="4"/>
    <x v="2"/>
    <s v="Preservativo Masculino"/>
    <s v="Performance"/>
    <x v="23"/>
    <n v="349.65200000000027"/>
  </r>
  <r>
    <x v="23"/>
    <n v="2026"/>
    <x v="5"/>
    <x v="2"/>
    <s v="Preservativo Masculino"/>
    <s v="Performance"/>
    <x v="23"/>
    <n v="90.652000000000271"/>
  </r>
  <r>
    <x v="23"/>
    <n v="2026"/>
    <x v="6"/>
    <x v="2"/>
    <s v="Preservativo Masculino"/>
    <s v="Performance"/>
    <x v="23"/>
    <n v="90.652000000000271"/>
  </r>
  <r>
    <x v="23"/>
    <n v="2026"/>
    <x v="7"/>
    <x v="2"/>
    <s v="Preservativo Masculino"/>
    <s v="Performance"/>
    <x v="23"/>
    <n v="90.652000000000271"/>
  </r>
  <r>
    <x v="23"/>
    <n v="2026"/>
    <x v="8"/>
    <x v="2"/>
    <s v="Preservativo Masculino"/>
    <s v="Performance"/>
    <x v="23"/>
    <n v="90.652000000000271"/>
  </r>
  <r>
    <x v="23"/>
    <n v="2026"/>
    <x v="9"/>
    <x v="2"/>
    <s v="Preservativo Masculino"/>
    <s v="Performance"/>
    <x v="23"/>
    <n v="90.652000000000271"/>
  </r>
  <r>
    <x v="23"/>
    <n v="2026"/>
    <x v="10"/>
    <x v="2"/>
    <s v="Preservativo Masculino"/>
    <s v="Performance"/>
    <x v="23"/>
    <n v="90.652000000000271"/>
  </r>
  <r>
    <x v="23"/>
    <n v="2026"/>
    <x v="11"/>
    <x v="2"/>
    <s v="Preservativo Masculino"/>
    <s v="Performance"/>
    <x v="23"/>
    <n v="90.652000000000271"/>
  </r>
  <r>
    <x v="24"/>
    <n v="2026"/>
    <x v="0"/>
    <x v="2"/>
    <s v="Preservativo Masculino"/>
    <s v="Performance"/>
    <x v="24"/>
    <n v="4908"/>
  </r>
  <r>
    <x v="24"/>
    <n v="2026"/>
    <x v="1"/>
    <x v="2"/>
    <s v="Preservativo Masculino"/>
    <s v="Performance"/>
    <x v="24"/>
    <n v="4462"/>
  </r>
  <r>
    <x v="24"/>
    <n v="2026"/>
    <x v="2"/>
    <x v="2"/>
    <s v="Preservativo Masculino"/>
    <s v="Performance"/>
    <x v="24"/>
    <n v="4015"/>
  </r>
  <r>
    <x v="24"/>
    <n v="2026"/>
    <x v="3"/>
    <x v="2"/>
    <s v="Preservativo Masculino"/>
    <s v="Performance"/>
    <x v="24"/>
    <n v="3582"/>
  </r>
  <r>
    <x v="24"/>
    <n v="2026"/>
    <x v="4"/>
    <x v="2"/>
    <s v="Preservativo Masculino"/>
    <s v="Performance"/>
    <x v="24"/>
    <n v="3204"/>
  </r>
  <r>
    <x v="24"/>
    <n v="2026"/>
    <x v="5"/>
    <x v="2"/>
    <s v="Preservativo Masculino"/>
    <s v="Performance"/>
    <x v="24"/>
    <n v="2785"/>
  </r>
  <r>
    <x v="24"/>
    <n v="2026"/>
    <x v="6"/>
    <x v="2"/>
    <s v="Preservativo Masculino"/>
    <s v="Performance"/>
    <x v="24"/>
    <n v="2785"/>
  </r>
  <r>
    <x v="24"/>
    <n v="2026"/>
    <x v="7"/>
    <x v="2"/>
    <s v="Preservativo Masculino"/>
    <s v="Performance"/>
    <x v="24"/>
    <n v="2785"/>
  </r>
  <r>
    <x v="24"/>
    <n v="2026"/>
    <x v="8"/>
    <x v="2"/>
    <s v="Preservativo Masculino"/>
    <s v="Performance"/>
    <x v="24"/>
    <n v="2785"/>
  </r>
  <r>
    <x v="24"/>
    <n v="2026"/>
    <x v="9"/>
    <x v="2"/>
    <s v="Preservativo Masculino"/>
    <s v="Performance"/>
    <x v="24"/>
    <n v="2785"/>
  </r>
  <r>
    <x v="24"/>
    <n v="2026"/>
    <x v="10"/>
    <x v="2"/>
    <s v="Preservativo Masculino"/>
    <s v="Performance"/>
    <x v="24"/>
    <n v="2785"/>
  </r>
  <r>
    <x v="24"/>
    <n v="2026"/>
    <x v="11"/>
    <x v="2"/>
    <s v="Preservativo Masculino"/>
    <s v="Performance"/>
    <x v="24"/>
    <n v="2785"/>
  </r>
  <r>
    <x v="25"/>
    <n v="2026"/>
    <x v="0"/>
    <x v="2"/>
    <s v="Preservativo Masculino"/>
    <s v="Performance"/>
    <x v="25"/>
    <n v="2835"/>
  </r>
  <r>
    <x v="25"/>
    <n v="2026"/>
    <x v="1"/>
    <x v="2"/>
    <s v="Preservativo Masculino"/>
    <s v="Performance"/>
    <x v="25"/>
    <n v="2643"/>
  </r>
  <r>
    <x v="25"/>
    <n v="2026"/>
    <x v="2"/>
    <x v="2"/>
    <s v="Preservativo Masculino"/>
    <s v="Performance"/>
    <x v="25"/>
    <n v="2450"/>
  </r>
  <r>
    <x v="25"/>
    <n v="2026"/>
    <x v="3"/>
    <x v="2"/>
    <s v="Preservativo Masculino"/>
    <s v="Performance"/>
    <x v="25"/>
    <n v="2269"/>
  </r>
  <r>
    <x v="25"/>
    <n v="2026"/>
    <x v="4"/>
    <x v="2"/>
    <s v="Preservativo Masculino"/>
    <s v="Performance"/>
    <x v="25"/>
    <n v="2174"/>
  </r>
  <r>
    <x v="25"/>
    <n v="2026"/>
    <x v="5"/>
    <x v="2"/>
    <s v="Preservativo Masculino"/>
    <s v="Performance"/>
    <x v="25"/>
    <n v="2018"/>
  </r>
  <r>
    <x v="25"/>
    <n v="2026"/>
    <x v="6"/>
    <x v="2"/>
    <s v="Preservativo Masculino"/>
    <s v="Performance"/>
    <x v="25"/>
    <n v="2018"/>
  </r>
  <r>
    <x v="25"/>
    <n v="2026"/>
    <x v="7"/>
    <x v="2"/>
    <s v="Preservativo Masculino"/>
    <s v="Performance"/>
    <x v="25"/>
    <n v="2018"/>
  </r>
  <r>
    <x v="25"/>
    <n v="2026"/>
    <x v="8"/>
    <x v="2"/>
    <s v="Preservativo Masculino"/>
    <s v="Performance"/>
    <x v="25"/>
    <n v="2018"/>
  </r>
  <r>
    <x v="25"/>
    <n v="2026"/>
    <x v="9"/>
    <x v="2"/>
    <s v="Preservativo Masculino"/>
    <s v="Performance"/>
    <x v="25"/>
    <n v="2018"/>
  </r>
  <r>
    <x v="25"/>
    <n v="2026"/>
    <x v="10"/>
    <x v="2"/>
    <s v="Preservativo Masculino"/>
    <s v="Performance"/>
    <x v="25"/>
    <n v="2018"/>
  </r>
  <r>
    <x v="25"/>
    <n v="2026"/>
    <x v="11"/>
    <x v="2"/>
    <s v="Preservativo Masculino"/>
    <s v="Performance"/>
    <x v="25"/>
    <n v="2018"/>
  </r>
  <r>
    <x v="26"/>
    <n v="2026"/>
    <x v="0"/>
    <x v="2"/>
    <s v="Preservativo Masculino"/>
    <s v="Low Price "/>
    <x v="26"/>
    <n v="11344.745999999999"/>
  </r>
  <r>
    <x v="26"/>
    <n v="2026"/>
    <x v="1"/>
    <x v="2"/>
    <s v="Preservativo Masculino"/>
    <s v="Low Price "/>
    <x v="26"/>
    <n v="9044.7459999999992"/>
  </r>
  <r>
    <x v="26"/>
    <n v="2026"/>
    <x v="2"/>
    <x v="2"/>
    <s v="Preservativo Masculino"/>
    <s v="Low Price "/>
    <x v="26"/>
    <n v="6744.7459999999992"/>
  </r>
  <r>
    <x v="26"/>
    <n v="2026"/>
    <x v="3"/>
    <x v="2"/>
    <s v="Preservativo Masculino"/>
    <s v="Low Price "/>
    <x v="26"/>
    <n v="7444.7459999999992"/>
  </r>
  <r>
    <x v="26"/>
    <n v="2026"/>
    <x v="4"/>
    <x v="2"/>
    <s v="Preservativo Masculino"/>
    <s v="Low Price "/>
    <x v="26"/>
    <n v="5144.7459999999992"/>
  </r>
  <r>
    <x v="26"/>
    <n v="2026"/>
    <x v="5"/>
    <x v="2"/>
    <s v="Preservativo Masculino"/>
    <s v="Low Price "/>
    <x v="26"/>
    <n v="2844.7459999999992"/>
  </r>
  <r>
    <x v="26"/>
    <n v="2026"/>
    <x v="6"/>
    <x v="2"/>
    <s v="Preservativo Masculino"/>
    <s v="Low Price "/>
    <x v="26"/>
    <n v="2844.7459999999992"/>
  </r>
  <r>
    <x v="26"/>
    <n v="2026"/>
    <x v="7"/>
    <x v="2"/>
    <s v="Preservativo Masculino"/>
    <s v="Low Price "/>
    <x v="26"/>
    <n v="2844.7459999999992"/>
  </r>
  <r>
    <x v="26"/>
    <n v="2026"/>
    <x v="8"/>
    <x v="2"/>
    <s v="Preservativo Masculino"/>
    <s v="Low Price "/>
    <x v="26"/>
    <n v="2844.7459999999992"/>
  </r>
  <r>
    <x v="26"/>
    <n v="2026"/>
    <x v="9"/>
    <x v="2"/>
    <s v="Preservativo Masculino"/>
    <s v="Low Price "/>
    <x v="26"/>
    <n v="2844.7459999999992"/>
  </r>
  <r>
    <x v="26"/>
    <n v="2026"/>
    <x v="10"/>
    <x v="2"/>
    <s v="Preservativo Masculino"/>
    <s v="Low Price "/>
    <x v="26"/>
    <n v="2844.7459999999992"/>
  </r>
  <r>
    <x v="26"/>
    <n v="2026"/>
    <x v="11"/>
    <x v="2"/>
    <s v="Preservativo Masculino"/>
    <s v="Low Price "/>
    <x v="26"/>
    <n v="2844.7459999999992"/>
  </r>
  <r>
    <x v="27"/>
    <n v="2026"/>
    <x v="0"/>
    <x v="2"/>
    <s v="Preservativo Masculino"/>
    <s v="Low Price "/>
    <x v="27"/>
    <n v="7248"/>
  </r>
  <r>
    <x v="27"/>
    <n v="2026"/>
    <x v="1"/>
    <x v="2"/>
    <s v="Preservativo Masculino"/>
    <s v="Low Price "/>
    <x v="27"/>
    <n v="6248"/>
  </r>
  <r>
    <x v="27"/>
    <n v="2026"/>
    <x v="2"/>
    <x v="2"/>
    <s v="Preservativo Masculino"/>
    <s v="Low Price "/>
    <x v="27"/>
    <n v="5248"/>
  </r>
  <r>
    <x v="27"/>
    <n v="2026"/>
    <x v="3"/>
    <x v="2"/>
    <s v="Preservativo Masculino"/>
    <s v="Low Price "/>
    <x v="27"/>
    <n v="4248"/>
  </r>
  <r>
    <x v="27"/>
    <n v="2026"/>
    <x v="4"/>
    <x v="2"/>
    <s v="Preservativo Masculino"/>
    <s v="Low Price "/>
    <x v="27"/>
    <n v="3248"/>
  </r>
  <r>
    <x v="27"/>
    <n v="2026"/>
    <x v="5"/>
    <x v="2"/>
    <s v="Preservativo Masculino"/>
    <s v="Low Price "/>
    <x v="27"/>
    <n v="2248"/>
  </r>
  <r>
    <x v="27"/>
    <n v="2026"/>
    <x v="6"/>
    <x v="2"/>
    <s v="Preservativo Masculino"/>
    <s v="Low Price "/>
    <x v="27"/>
    <n v="2248"/>
  </r>
  <r>
    <x v="27"/>
    <n v="2026"/>
    <x v="7"/>
    <x v="2"/>
    <s v="Preservativo Masculino"/>
    <s v="Low Price "/>
    <x v="27"/>
    <n v="2248"/>
  </r>
  <r>
    <x v="27"/>
    <n v="2026"/>
    <x v="8"/>
    <x v="2"/>
    <s v="Preservativo Masculino"/>
    <s v="Low Price "/>
    <x v="27"/>
    <n v="2248"/>
  </r>
  <r>
    <x v="27"/>
    <n v="2026"/>
    <x v="9"/>
    <x v="2"/>
    <s v="Preservativo Masculino"/>
    <s v="Low Price "/>
    <x v="27"/>
    <n v="2248"/>
  </r>
  <r>
    <x v="27"/>
    <n v="2026"/>
    <x v="10"/>
    <x v="2"/>
    <s v="Preservativo Masculino"/>
    <s v="Low Price "/>
    <x v="27"/>
    <n v="2248"/>
  </r>
  <r>
    <x v="27"/>
    <n v="2026"/>
    <x v="11"/>
    <x v="2"/>
    <s v="Preservativo Masculino"/>
    <s v="Low Price "/>
    <x v="27"/>
    <n v="2248"/>
  </r>
  <r>
    <x v="28"/>
    <n v="2026"/>
    <x v="0"/>
    <x v="2"/>
    <s v="Preservativo Masculino"/>
    <s v="Low Price "/>
    <x v="28"/>
    <n v="13832.878000000001"/>
  </r>
  <r>
    <x v="28"/>
    <n v="2026"/>
    <x v="1"/>
    <x v="2"/>
    <s v="Preservativo Masculino"/>
    <s v="Low Price "/>
    <x v="28"/>
    <n v="10832.878000000001"/>
  </r>
  <r>
    <x v="28"/>
    <n v="2026"/>
    <x v="2"/>
    <x v="2"/>
    <s v="Preservativo Masculino"/>
    <s v="Low Price "/>
    <x v="28"/>
    <n v="10832.878000000001"/>
  </r>
  <r>
    <x v="28"/>
    <n v="2026"/>
    <x v="3"/>
    <x v="2"/>
    <s v="Preservativo Masculino"/>
    <s v="Low Price "/>
    <x v="28"/>
    <n v="7832.8780000000006"/>
  </r>
  <r>
    <x v="28"/>
    <n v="2026"/>
    <x v="4"/>
    <x v="2"/>
    <s v="Preservativo Masculino"/>
    <s v="Low Price "/>
    <x v="28"/>
    <n v="4832.8780000000006"/>
  </r>
  <r>
    <x v="28"/>
    <n v="2026"/>
    <x v="5"/>
    <x v="2"/>
    <s v="Preservativo Masculino"/>
    <s v="Low Price "/>
    <x v="28"/>
    <n v="1832.8780000000006"/>
  </r>
  <r>
    <x v="28"/>
    <n v="2026"/>
    <x v="6"/>
    <x v="2"/>
    <s v="Preservativo Masculino"/>
    <s v="Low Price "/>
    <x v="28"/>
    <n v="1832.8780000000006"/>
  </r>
  <r>
    <x v="28"/>
    <n v="2026"/>
    <x v="7"/>
    <x v="2"/>
    <s v="Preservativo Masculino"/>
    <s v="Low Price "/>
    <x v="28"/>
    <n v="1832.8780000000006"/>
  </r>
  <r>
    <x v="28"/>
    <n v="2026"/>
    <x v="8"/>
    <x v="2"/>
    <s v="Preservativo Masculino"/>
    <s v="Low Price "/>
    <x v="28"/>
    <n v="1832.8780000000006"/>
  </r>
  <r>
    <x v="28"/>
    <n v="2026"/>
    <x v="9"/>
    <x v="2"/>
    <s v="Preservativo Masculino"/>
    <s v="Low Price "/>
    <x v="28"/>
    <n v="1832.8780000000006"/>
  </r>
  <r>
    <x v="28"/>
    <n v="2026"/>
    <x v="10"/>
    <x v="2"/>
    <s v="Preservativo Masculino"/>
    <s v="Low Price "/>
    <x v="28"/>
    <n v="1832.8780000000006"/>
  </r>
  <r>
    <x v="28"/>
    <n v="2026"/>
    <x v="11"/>
    <x v="2"/>
    <s v="Preservativo Masculino"/>
    <s v="Low Price "/>
    <x v="28"/>
    <n v="1832.8780000000006"/>
  </r>
  <r>
    <x v="29"/>
    <n v="2026"/>
    <x v="0"/>
    <x v="2"/>
    <s v="Preservativo Masculino"/>
    <s v="Low Price "/>
    <x v="29"/>
    <n v="14748"/>
  </r>
  <r>
    <x v="29"/>
    <n v="2026"/>
    <x v="1"/>
    <x v="2"/>
    <s v="Preservativo Masculino"/>
    <s v="Low Price "/>
    <x v="29"/>
    <n v="13248"/>
  </r>
  <r>
    <x v="29"/>
    <n v="2026"/>
    <x v="2"/>
    <x v="2"/>
    <s v="Preservativo Masculino"/>
    <s v="Low Price "/>
    <x v="29"/>
    <n v="11748"/>
  </r>
  <r>
    <x v="29"/>
    <n v="2026"/>
    <x v="3"/>
    <x v="2"/>
    <s v="Preservativo Masculino"/>
    <s v="Low Price "/>
    <x v="29"/>
    <n v="10248"/>
  </r>
  <r>
    <x v="29"/>
    <n v="2026"/>
    <x v="4"/>
    <x v="2"/>
    <s v="Preservativo Masculino"/>
    <s v="Low Price "/>
    <x v="29"/>
    <n v="8748"/>
  </r>
  <r>
    <x v="29"/>
    <n v="2026"/>
    <x v="5"/>
    <x v="2"/>
    <s v="Preservativo Masculino"/>
    <s v="Low Price "/>
    <x v="29"/>
    <n v="7248"/>
  </r>
  <r>
    <x v="29"/>
    <n v="2026"/>
    <x v="6"/>
    <x v="2"/>
    <s v="Preservativo Masculino"/>
    <s v="Low Price "/>
    <x v="29"/>
    <n v="7248"/>
  </r>
  <r>
    <x v="29"/>
    <n v="2026"/>
    <x v="7"/>
    <x v="2"/>
    <s v="Preservativo Masculino"/>
    <s v="Low Price "/>
    <x v="29"/>
    <n v="7248"/>
  </r>
  <r>
    <x v="29"/>
    <n v="2026"/>
    <x v="8"/>
    <x v="2"/>
    <s v="Preservativo Masculino"/>
    <s v="Low Price "/>
    <x v="29"/>
    <n v="7248"/>
  </r>
  <r>
    <x v="29"/>
    <n v="2026"/>
    <x v="9"/>
    <x v="2"/>
    <s v="Preservativo Masculino"/>
    <s v="Low Price "/>
    <x v="29"/>
    <n v="7248"/>
  </r>
  <r>
    <x v="29"/>
    <n v="2026"/>
    <x v="10"/>
    <x v="2"/>
    <s v="Preservativo Masculino"/>
    <s v="Low Price "/>
    <x v="29"/>
    <n v="7248"/>
  </r>
  <r>
    <x v="29"/>
    <n v="2026"/>
    <x v="11"/>
    <x v="2"/>
    <s v="Preservativo Masculino"/>
    <s v="Low Price "/>
    <x v="29"/>
    <n v="7248"/>
  </r>
  <r>
    <x v="30"/>
    <n v="2026"/>
    <x v="0"/>
    <x v="2"/>
    <s v="Preservativo Masculino"/>
    <s v="Básico"/>
    <x v="30"/>
    <n v="11919.03832"/>
  </r>
  <r>
    <x v="30"/>
    <n v="2026"/>
    <x v="1"/>
    <x v="2"/>
    <s v="Preservativo Masculino"/>
    <s v="Básico"/>
    <x v="30"/>
    <n v="6919.0383199999997"/>
  </r>
  <r>
    <x v="30"/>
    <n v="2026"/>
    <x v="2"/>
    <x v="2"/>
    <s v="Preservativo Masculino"/>
    <s v="Básico"/>
    <x v="30"/>
    <n v="1919.0383199999997"/>
  </r>
  <r>
    <x v="30"/>
    <n v="2026"/>
    <x v="3"/>
    <x v="2"/>
    <s v="Preservativo Masculino"/>
    <s v="Básico"/>
    <x v="30"/>
    <n v="0"/>
  </r>
  <r>
    <x v="30"/>
    <n v="2026"/>
    <x v="4"/>
    <x v="2"/>
    <s v="Preservativo Masculino"/>
    <s v="Básico"/>
    <x v="30"/>
    <n v="0"/>
  </r>
  <r>
    <x v="30"/>
    <n v="2026"/>
    <x v="5"/>
    <x v="2"/>
    <s v="Preservativo Masculino"/>
    <s v="Básico"/>
    <x v="30"/>
    <n v="0"/>
  </r>
  <r>
    <x v="30"/>
    <n v="2026"/>
    <x v="6"/>
    <x v="2"/>
    <s v="Preservativo Masculino"/>
    <s v="Básico"/>
    <x v="30"/>
    <n v="0"/>
  </r>
  <r>
    <x v="30"/>
    <n v="2026"/>
    <x v="7"/>
    <x v="2"/>
    <s v="Preservativo Masculino"/>
    <s v="Básico"/>
    <x v="30"/>
    <n v="0"/>
  </r>
  <r>
    <x v="30"/>
    <n v="2026"/>
    <x v="8"/>
    <x v="2"/>
    <s v="Preservativo Masculino"/>
    <s v="Básico"/>
    <x v="30"/>
    <n v="0"/>
  </r>
  <r>
    <x v="30"/>
    <n v="2026"/>
    <x v="9"/>
    <x v="2"/>
    <s v="Preservativo Masculino"/>
    <s v="Básico"/>
    <x v="30"/>
    <n v="0"/>
  </r>
  <r>
    <x v="30"/>
    <n v="2026"/>
    <x v="10"/>
    <x v="2"/>
    <s v="Preservativo Masculino"/>
    <s v="Básico"/>
    <x v="30"/>
    <n v="0"/>
  </r>
  <r>
    <x v="30"/>
    <n v="2026"/>
    <x v="11"/>
    <x v="2"/>
    <s v="Preservativo Masculino"/>
    <s v="Básico"/>
    <x v="30"/>
    <n v="0"/>
  </r>
  <r>
    <x v="31"/>
    <n v="2026"/>
    <x v="0"/>
    <x v="2"/>
    <s v="Preservativo Masculino"/>
    <s v="Básico"/>
    <x v="31"/>
    <n v="20231.744139999995"/>
  </r>
  <r>
    <x v="31"/>
    <n v="2026"/>
    <x v="1"/>
    <x v="2"/>
    <s v="Preservativo Masculino"/>
    <s v="Básico"/>
    <x v="31"/>
    <n v="22031.744139999995"/>
  </r>
  <r>
    <x v="31"/>
    <n v="2026"/>
    <x v="2"/>
    <x v="2"/>
    <s v="Preservativo Masculino"/>
    <s v="Básico"/>
    <x v="31"/>
    <n v="23831.744139999995"/>
  </r>
  <r>
    <x v="31"/>
    <n v="2026"/>
    <x v="3"/>
    <x v="2"/>
    <s v="Preservativo Masculino"/>
    <s v="Básico"/>
    <x v="31"/>
    <n v="17831.744139999995"/>
  </r>
  <r>
    <x v="31"/>
    <n v="2026"/>
    <x v="4"/>
    <x v="2"/>
    <s v="Preservativo Masculino"/>
    <s v="Básico"/>
    <x v="31"/>
    <n v="11831.744139999995"/>
  </r>
  <r>
    <x v="31"/>
    <n v="2026"/>
    <x v="5"/>
    <x v="2"/>
    <s v="Preservativo Masculino"/>
    <s v="Básico"/>
    <x v="31"/>
    <n v="5831.7441399999952"/>
  </r>
  <r>
    <x v="31"/>
    <n v="2026"/>
    <x v="6"/>
    <x v="2"/>
    <s v="Preservativo Masculino"/>
    <s v="Básico"/>
    <x v="31"/>
    <n v="5831.7441399999952"/>
  </r>
  <r>
    <x v="31"/>
    <n v="2026"/>
    <x v="7"/>
    <x v="2"/>
    <s v="Preservativo Masculino"/>
    <s v="Básico"/>
    <x v="31"/>
    <n v="5831.7441399999952"/>
  </r>
  <r>
    <x v="31"/>
    <n v="2026"/>
    <x v="8"/>
    <x v="2"/>
    <s v="Preservativo Masculino"/>
    <s v="Básico"/>
    <x v="31"/>
    <n v="5831.7441399999952"/>
  </r>
  <r>
    <x v="31"/>
    <n v="2026"/>
    <x v="9"/>
    <x v="2"/>
    <s v="Preservativo Masculino"/>
    <s v="Básico"/>
    <x v="31"/>
    <n v="5831.7441399999952"/>
  </r>
  <r>
    <x v="31"/>
    <n v="2026"/>
    <x v="10"/>
    <x v="2"/>
    <s v="Preservativo Masculino"/>
    <s v="Básico"/>
    <x v="31"/>
    <n v="5831.7441399999952"/>
  </r>
  <r>
    <x v="31"/>
    <n v="2026"/>
    <x v="11"/>
    <x v="2"/>
    <s v="Preservativo Masculino"/>
    <s v="Básico"/>
    <x v="31"/>
    <n v="5831.7441399999952"/>
  </r>
  <r>
    <x v="32"/>
    <n v="2026"/>
    <x v="0"/>
    <x v="2"/>
    <s v="Preservativo Masculino"/>
    <s v="Básico"/>
    <x v="32"/>
    <n v="12966.166719999997"/>
  </r>
  <r>
    <x v="32"/>
    <n v="2026"/>
    <x v="1"/>
    <x v="2"/>
    <s v="Preservativo Masculino"/>
    <s v="Básico"/>
    <x v="32"/>
    <n v="8966.1667199999974"/>
  </r>
  <r>
    <x v="32"/>
    <n v="2026"/>
    <x v="2"/>
    <x v="2"/>
    <s v="Preservativo Masculino"/>
    <s v="Básico"/>
    <x v="32"/>
    <n v="8366.1667199999974"/>
  </r>
  <r>
    <x v="32"/>
    <n v="2026"/>
    <x v="3"/>
    <x v="2"/>
    <s v="Preservativo Masculino"/>
    <s v="Básico"/>
    <x v="32"/>
    <n v="4366.1667199999974"/>
  </r>
  <r>
    <x v="32"/>
    <n v="2026"/>
    <x v="4"/>
    <x v="2"/>
    <s v="Preservativo Masculino"/>
    <s v="Básico"/>
    <x v="32"/>
    <n v="366.16671999999744"/>
  </r>
  <r>
    <x v="32"/>
    <n v="2026"/>
    <x v="5"/>
    <x v="2"/>
    <s v="Preservativo Masculino"/>
    <s v="Básico"/>
    <x v="32"/>
    <n v="0"/>
  </r>
  <r>
    <x v="32"/>
    <n v="2026"/>
    <x v="6"/>
    <x v="2"/>
    <s v="Preservativo Masculino"/>
    <s v="Básico"/>
    <x v="32"/>
    <n v="0"/>
  </r>
  <r>
    <x v="32"/>
    <n v="2026"/>
    <x v="7"/>
    <x v="2"/>
    <s v="Preservativo Masculino"/>
    <s v="Básico"/>
    <x v="32"/>
    <n v="0"/>
  </r>
  <r>
    <x v="32"/>
    <n v="2026"/>
    <x v="8"/>
    <x v="2"/>
    <s v="Preservativo Masculino"/>
    <s v="Básico"/>
    <x v="32"/>
    <n v="0"/>
  </r>
  <r>
    <x v="32"/>
    <n v="2026"/>
    <x v="9"/>
    <x v="2"/>
    <s v="Preservativo Masculino"/>
    <s v="Básico"/>
    <x v="32"/>
    <n v="0"/>
  </r>
  <r>
    <x v="32"/>
    <n v="2026"/>
    <x v="10"/>
    <x v="2"/>
    <s v="Preservativo Masculino"/>
    <s v="Básico"/>
    <x v="32"/>
    <n v="0"/>
  </r>
  <r>
    <x v="32"/>
    <n v="2026"/>
    <x v="11"/>
    <x v="2"/>
    <s v="Preservativo Masculino"/>
    <s v="Básico"/>
    <x v="32"/>
    <n v="0"/>
  </r>
  <r>
    <x v="33"/>
    <n v="2026"/>
    <x v="0"/>
    <x v="2"/>
    <s v="Preservativo Masculino"/>
    <s v="Performance"/>
    <x v="33"/>
    <n v="2922.0359999999991"/>
  </r>
  <r>
    <x v="33"/>
    <n v="2026"/>
    <x v="1"/>
    <x v="2"/>
    <s v="Preservativo Masculino"/>
    <s v="Performance"/>
    <x v="33"/>
    <n v="5373.0359999999991"/>
  </r>
  <r>
    <x v="33"/>
    <n v="2026"/>
    <x v="2"/>
    <x v="2"/>
    <s v="Preservativo Masculino"/>
    <s v="Performance"/>
    <x v="33"/>
    <n v="4489.0359999999991"/>
  </r>
  <r>
    <x v="33"/>
    <n v="2026"/>
    <x v="3"/>
    <x v="2"/>
    <s v="Preservativo Masculino"/>
    <s v="Performance"/>
    <x v="33"/>
    <n v="3633.0359999999991"/>
  </r>
  <r>
    <x v="33"/>
    <n v="2026"/>
    <x v="4"/>
    <x v="2"/>
    <s v="Preservativo Masculino"/>
    <s v="Performance"/>
    <x v="33"/>
    <n v="2395.0359999999991"/>
  </r>
  <r>
    <x v="33"/>
    <n v="2026"/>
    <x v="5"/>
    <x v="2"/>
    <s v="Preservativo Masculino"/>
    <s v="Performance"/>
    <x v="33"/>
    <n v="1402.0359999999991"/>
  </r>
  <r>
    <x v="33"/>
    <n v="2026"/>
    <x v="6"/>
    <x v="2"/>
    <s v="Preservativo Masculino"/>
    <s v="Performance"/>
    <x v="33"/>
    <n v="1402.0359999999991"/>
  </r>
  <r>
    <x v="33"/>
    <n v="2026"/>
    <x v="7"/>
    <x v="2"/>
    <s v="Preservativo Masculino"/>
    <s v="Performance"/>
    <x v="33"/>
    <n v="1402.0359999999991"/>
  </r>
  <r>
    <x v="33"/>
    <n v="2026"/>
    <x v="8"/>
    <x v="2"/>
    <s v="Preservativo Masculino"/>
    <s v="Performance"/>
    <x v="33"/>
    <n v="1402.0359999999991"/>
  </r>
  <r>
    <x v="33"/>
    <n v="2026"/>
    <x v="9"/>
    <x v="2"/>
    <s v="Preservativo Masculino"/>
    <s v="Performance"/>
    <x v="33"/>
    <n v="1402.0359999999991"/>
  </r>
  <r>
    <x v="33"/>
    <n v="2026"/>
    <x v="10"/>
    <x v="2"/>
    <s v="Preservativo Masculino"/>
    <s v="Performance"/>
    <x v="33"/>
    <n v="1402.0359999999991"/>
  </r>
  <r>
    <x v="33"/>
    <n v="2026"/>
    <x v="11"/>
    <x v="2"/>
    <s v="Preservativo Masculino"/>
    <s v="Performance"/>
    <x v="33"/>
    <n v="1402.0359999999991"/>
  </r>
  <r>
    <x v="34"/>
    <n v="2026"/>
    <x v="0"/>
    <x v="2"/>
    <s v="Preservativo Masculino"/>
    <s v="Performance"/>
    <x v="34"/>
    <n v="6815.1370000000043"/>
  </r>
  <r>
    <x v="34"/>
    <n v="2026"/>
    <x v="1"/>
    <x v="2"/>
    <s v="Preservativo Masculino"/>
    <s v="Performance"/>
    <x v="34"/>
    <n v="4703.1370000000043"/>
  </r>
  <r>
    <x v="34"/>
    <n v="2026"/>
    <x v="2"/>
    <x v="2"/>
    <s v="Preservativo Masculino"/>
    <s v="Performance"/>
    <x v="34"/>
    <n v="2010.1370000000043"/>
  </r>
  <r>
    <x v="34"/>
    <n v="2026"/>
    <x v="3"/>
    <x v="2"/>
    <s v="Preservativo Masculino"/>
    <s v="Performance"/>
    <x v="34"/>
    <n v="0"/>
  </r>
  <r>
    <x v="34"/>
    <n v="2026"/>
    <x v="4"/>
    <x v="2"/>
    <s v="Preservativo Masculino"/>
    <s v="Performance"/>
    <x v="34"/>
    <n v="0"/>
  </r>
  <r>
    <x v="34"/>
    <n v="2026"/>
    <x v="5"/>
    <x v="2"/>
    <s v="Preservativo Masculino"/>
    <s v="Performance"/>
    <x v="34"/>
    <n v="0"/>
  </r>
  <r>
    <x v="34"/>
    <n v="2026"/>
    <x v="6"/>
    <x v="2"/>
    <s v="Preservativo Masculino"/>
    <s v="Performance"/>
    <x v="34"/>
    <n v="0"/>
  </r>
  <r>
    <x v="34"/>
    <n v="2026"/>
    <x v="7"/>
    <x v="2"/>
    <s v="Preservativo Masculino"/>
    <s v="Performance"/>
    <x v="34"/>
    <n v="0"/>
  </r>
  <r>
    <x v="34"/>
    <n v="2026"/>
    <x v="8"/>
    <x v="2"/>
    <s v="Preservativo Masculino"/>
    <s v="Performance"/>
    <x v="34"/>
    <n v="0"/>
  </r>
  <r>
    <x v="34"/>
    <n v="2026"/>
    <x v="9"/>
    <x v="2"/>
    <s v="Preservativo Masculino"/>
    <s v="Performance"/>
    <x v="34"/>
    <n v="0"/>
  </r>
  <r>
    <x v="34"/>
    <n v="2026"/>
    <x v="10"/>
    <x v="2"/>
    <s v="Preservativo Masculino"/>
    <s v="Performance"/>
    <x v="34"/>
    <n v="0"/>
  </r>
  <r>
    <x v="34"/>
    <n v="2026"/>
    <x v="11"/>
    <x v="2"/>
    <s v="Preservativo Masculino"/>
    <s v="Performance"/>
    <x v="34"/>
    <n v="0"/>
  </r>
  <r>
    <x v="35"/>
    <n v="2026"/>
    <x v="0"/>
    <x v="2"/>
    <s v="Preservativo Masculino"/>
    <s v="Performance"/>
    <x v="35"/>
    <n v="6678.5439999999999"/>
  </r>
  <r>
    <x v="35"/>
    <n v="2026"/>
    <x v="1"/>
    <x v="2"/>
    <s v="Preservativo Masculino"/>
    <s v="Performance"/>
    <x v="35"/>
    <n v="5678.5439999999999"/>
  </r>
  <r>
    <x v="35"/>
    <n v="2026"/>
    <x v="2"/>
    <x v="2"/>
    <s v="Preservativo Masculino"/>
    <s v="Performance"/>
    <x v="35"/>
    <n v="4678.5439999999999"/>
  </r>
  <r>
    <x v="35"/>
    <n v="2026"/>
    <x v="3"/>
    <x v="2"/>
    <s v="Preservativo Masculino"/>
    <s v="Performance"/>
    <x v="35"/>
    <n v="3178.5439999999999"/>
  </r>
  <r>
    <x v="35"/>
    <n v="2026"/>
    <x v="4"/>
    <x v="2"/>
    <s v="Preservativo Masculino"/>
    <s v="Performance"/>
    <x v="35"/>
    <n v="2678.5439999999999"/>
  </r>
  <r>
    <x v="35"/>
    <n v="2026"/>
    <x v="5"/>
    <x v="2"/>
    <s v="Preservativo Masculino"/>
    <s v="Performance"/>
    <x v="35"/>
    <n v="1678.5439999999999"/>
  </r>
  <r>
    <x v="35"/>
    <n v="2026"/>
    <x v="6"/>
    <x v="2"/>
    <s v="Preservativo Masculino"/>
    <s v="Performance"/>
    <x v="35"/>
    <n v="1678.5439999999999"/>
  </r>
  <r>
    <x v="35"/>
    <n v="2026"/>
    <x v="7"/>
    <x v="2"/>
    <s v="Preservativo Masculino"/>
    <s v="Performance"/>
    <x v="35"/>
    <n v="1678.5439999999999"/>
  </r>
  <r>
    <x v="35"/>
    <n v="2026"/>
    <x v="8"/>
    <x v="2"/>
    <s v="Preservativo Masculino"/>
    <s v="Performance"/>
    <x v="35"/>
    <n v="1678.5439999999999"/>
  </r>
  <r>
    <x v="35"/>
    <n v="2026"/>
    <x v="9"/>
    <x v="2"/>
    <s v="Preservativo Masculino"/>
    <s v="Performance"/>
    <x v="35"/>
    <n v="1678.5439999999999"/>
  </r>
  <r>
    <x v="35"/>
    <n v="2026"/>
    <x v="10"/>
    <x v="2"/>
    <s v="Preservativo Masculino"/>
    <s v="Performance"/>
    <x v="35"/>
    <n v="1678.5439999999999"/>
  </r>
  <r>
    <x v="35"/>
    <n v="2026"/>
    <x v="11"/>
    <x v="2"/>
    <s v="Preservativo Masculino"/>
    <s v="Performance"/>
    <x v="35"/>
    <n v="1678.5439999999999"/>
  </r>
  <r>
    <x v="36"/>
    <n v="2026"/>
    <x v="0"/>
    <x v="2"/>
    <s v="Preservativo Masculino"/>
    <s v="Performance"/>
    <x v="36"/>
    <n v="2991.8999999999983"/>
  </r>
  <r>
    <x v="36"/>
    <n v="2026"/>
    <x v="1"/>
    <x v="2"/>
    <s v="Preservativo Masculino"/>
    <s v="Performance"/>
    <x v="36"/>
    <n v="2491.8999999999983"/>
  </r>
  <r>
    <x v="36"/>
    <n v="2026"/>
    <x v="2"/>
    <x v="2"/>
    <s v="Preservativo Masculino"/>
    <s v="Performance"/>
    <x v="36"/>
    <n v="1991.8999999999983"/>
  </r>
  <r>
    <x v="36"/>
    <n v="2026"/>
    <x v="3"/>
    <x v="2"/>
    <s v="Preservativo Masculino"/>
    <s v="Performance"/>
    <x v="36"/>
    <n v="1341.8999999999983"/>
  </r>
  <r>
    <x v="36"/>
    <n v="2026"/>
    <x v="4"/>
    <x v="2"/>
    <s v="Preservativo Masculino"/>
    <s v="Performance"/>
    <x v="36"/>
    <n v="991.89999999999827"/>
  </r>
  <r>
    <x v="36"/>
    <n v="2026"/>
    <x v="5"/>
    <x v="2"/>
    <s v="Preservativo Masculino"/>
    <s v="Performance"/>
    <x v="36"/>
    <n v="491.89999999999827"/>
  </r>
  <r>
    <x v="36"/>
    <n v="2026"/>
    <x v="6"/>
    <x v="2"/>
    <s v="Preservativo Masculino"/>
    <s v="Performance"/>
    <x v="36"/>
    <n v="491.89999999999827"/>
  </r>
  <r>
    <x v="36"/>
    <n v="2026"/>
    <x v="7"/>
    <x v="2"/>
    <s v="Preservativo Masculino"/>
    <s v="Performance"/>
    <x v="36"/>
    <n v="491.89999999999827"/>
  </r>
  <r>
    <x v="36"/>
    <n v="2026"/>
    <x v="8"/>
    <x v="2"/>
    <s v="Preservativo Masculino"/>
    <s v="Performance"/>
    <x v="36"/>
    <n v="491.89999999999827"/>
  </r>
  <r>
    <x v="36"/>
    <n v="2026"/>
    <x v="9"/>
    <x v="2"/>
    <s v="Preservativo Masculino"/>
    <s v="Performance"/>
    <x v="36"/>
    <n v="491.89999999999827"/>
  </r>
  <r>
    <x v="36"/>
    <n v="2026"/>
    <x v="10"/>
    <x v="2"/>
    <s v="Preservativo Masculino"/>
    <s v="Performance"/>
    <x v="36"/>
    <n v="491.89999999999827"/>
  </r>
  <r>
    <x v="36"/>
    <n v="2026"/>
    <x v="11"/>
    <x v="2"/>
    <s v="Preservativo Masculino"/>
    <s v="Performance"/>
    <x v="36"/>
    <n v="491.89999999999827"/>
  </r>
  <r>
    <x v="37"/>
    <n v="2026"/>
    <x v="0"/>
    <x v="2"/>
    <s v="Preservativo Masculino"/>
    <s v="Performance"/>
    <x v="37"/>
    <n v="3754.3999999999996"/>
  </r>
  <r>
    <x v="37"/>
    <n v="2026"/>
    <x v="1"/>
    <x v="2"/>
    <s v="Preservativo Masculino"/>
    <s v="Performance"/>
    <x v="37"/>
    <n v="3054.3999999999996"/>
  </r>
  <r>
    <x v="37"/>
    <n v="2026"/>
    <x v="2"/>
    <x v="2"/>
    <s v="Preservativo Masculino"/>
    <s v="Performance"/>
    <x v="37"/>
    <n v="2354.3999999999996"/>
  </r>
  <r>
    <x v="37"/>
    <n v="2026"/>
    <x v="3"/>
    <x v="2"/>
    <s v="Preservativo Masculino"/>
    <s v="Performance"/>
    <x v="37"/>
    <n v="1444.3999999999996"/>
  </r>
  <r>
    <x v="37"/>
    <n v="2026"/>
    <x v="4"/>
    <x v="2"/>
    <s v="Preservativo Masculino"/>
    <s v="Performance"/>
    <x v="37"/>
    <n v="954.39999999999964"/>
  </r>
  <r>
    <x v="37"/>
    <n v="2026"/>
    <x v="5"/>
    <x v="2"/>
    <s v="Preservativo Masculino"/>
    <s v="Performance"/>
    <x v="37"/>
    <n v="254.39999999999964"/>
  </r>
  <r>
    <x v="37"/>
    <n v="2026"/>
    <x v="6"/>
    <x v="2"/>
    <s v="Preservativo Masculino"/>
    <s v="Performance"/>
    <x v="37"/>
    <n v="254.39999999999964"/>
  </r>
  <r>
    <x v="37"/>
    <n v="2026"/>
    <x v="7"/>
    <x v="2"/>
    <s v="Preservativo Masculino"/>
    <s v="Performance"/>
    <x v="37"/>
    <n v="254.39999999999964"/>
  </r>
  <r>
    <x v="37"/>
    <n v="2026"/>
    <x v="8"/>
    <x v="2"/>
    <s v="Preservativo Masculino"/>
    <s v="Performance"/>
    <x v="37"/>
    <n v="254.39999999999964"/>
  </r>
  <r>
    <x v="37"/>
    <n v="2026"/>
    <x v="9"/>
    <x v="2"/>
    <s v="Preservativo Masculino"/>
    <s v="Performance"/>
    <x v="37"/>
    <n v="254.39999999999964"/>
  </r>
  <r>
    <x v="37"/>
    <n v="2026"/>
    <x v="10"/>
    <x v="2"/>
    <s v="Preservativo Masculino"/>
    <s v="Performance"/>
    <x v="37"/>
    <n v="254.39999999999964"/>
  </r>
  <r>
    <x v="37"/>
    <n v="2026"/>
    <x v="11"/>
    <x v="2"/>
    <s v="Preservativo Masculino"/>
    <s v="Performance"/>
    <x v="37"/>
    <n v="254.39999999999964"/>
  </r>
  <r>
    <x v="38"/>
    <n v="2026"/>
    <x v="0"/>
    <x v="2"/>
    <s v="Preservativo Masculino"/>
    <s v="Performance"/>
    <x v="38"/>
    <n v="2821.5350000000003"/>
  </r>
  <r>
    <x v="38"/>
    <n v="2026"/>
    <x v="1"/>
    <x v="2"/>
    <s v="Preservativo Masculino"/>
    <s v="Performance"/>
    <x v="38"/>
    <n v="2457.5350000000003"/>
  </r>
  <r>
    <x v="38"/>
    <n v="2026"/>
    <x v="2"/>
    <x v="2"/>
    <s v="Preservativo Masculino"/>
    <s v="Performance"/>
    <x v="38"/>
    <n v="2050.5350000000003"/>
  </r>
  <r>
    <x v="38"/>
    <n v="2026"/>
    <x v="3"/>
    <x v="2"/>
    <s v="Preservativo Masculino"/>
    <s v="Performance"/>
    <x v="38"/>
    <n v="1713.5350000000003"/>
  </r>
  <r>
    <x v="38"/>
    <n v="2026"/>
    <x v="4"/>
    <x v="2"/>
    <s v="Preservativo Masculino"/>
    <s v="Performance"/>
    <x v="38"/>
    <n v="1282.5350000000003"/>
  </r>
  <r>
    <x v="38"/>
    <n v="2026"/>
    <x v="5"/>
    <x v="2"/>
    <s v="Preservativo Masculino"/>
    <s v="Performance"/>
    <x v="38"/>
    <n v="890.53500000000031"/>
  </r>
  <r>
    <x v="38"/>
    <n v="2026"/>
    <x v="6"/>
    <x v="2"/>
    <s v="Preservativo Masculino"/>
    <s v="Performance"/>
    <x v="38"/>
    <n v="890.53500000000031"/>
  </r>
  <r>
    <x v="38"/>
    <n v="2026"/>
    <x v="7"/>
    <x v="2"/>
    <s v="Preservativo Masculino"/>
    <s v="Performance"/>
    <x v="38"/>
    <n v="890.53500000000031"/>
  </r>
  <r>
    <x v="38"/>
    <n v="2026"/>
    <x v="8"/>
    <x v="2"/>
    <s v="Preservativo Masculino"/>
    <s v="Performance"/>
    <x v="38"/>
    <n v="890.53500000000031"/>
  </r>
  <r>
    <x v="38"/>
    <n v="2026"/>
    <x v="9"/>
    <x v="2"/>
    <s v="Preservativo Masculino"/>
    <s v="Performance"/>
    <x v="38"/>
    <n v="890.53500000000031"/>
  </r>
  <r>
    <x v="38"/>
    <n v="2026"/>
    <x v="10"/>
    <x v="2"/>
    <s v="Preservativo Masculino"/>
    <s v="Performance"/>
    <x v="38"/>
    <n v="890.53500000000031"/>
  </r>
  <r>
    <x v="38"/>
    <n v="2026"/>
    <x v="11"/>
    <x v="2"/>
    <s v="Preservativo Masculino"/>
    <s v="Performance"/>
    <x v="38"/>
    <n v="890.53500000000031"/>
  </r>
  <r>
    <x v="39"/>
    <n v="2026"/>
    <x v="0"/>
    <x v="2"/>
    <s v="Preservativo Masculino"/>
    <s v="Performance"/>
    <x v="39"/>
    <n v="1460"/>
  </r>
  <r>
    <x v="39"/>
    <n v="2026"/>
    <x v="1"/>
    <x v="2"/>
    <s v="Preservativo Masculino"/>
    <s v="Performance"/>
    <x v="39"/>
    <n v="746"/>
  </r>
  <r>
    <x v="39"/>
    <n v="2026"/>
    <x v="2"/>
    <x v="2"/>
    <s v="Preservativo Masculino"/>
    <s v="Performance"/>
    <x v="39"/>
    <n v="0"/>
  </r>
  <r>
    <x v="39"/>
    <n v="2026"/>
    <x v="3"/>
    <x v="2"/>
    <s v="Preservativo Masculino"/>
    <s v="Performance"/>
    <x v="39"/>
    <n v="0"/>
  </r>
  <r>
    <x v="39"/>
    <n v="2026"/>
    <x v="4"/>
    <x v="2"/>
    <s v="Preservativo Masculino"/>
    <s v="Performance"/>
    <x v="39"/>
    <n v="0"/>
  </r>
  <r>
    <x v="39"/>
    <n v="2026"/>
    <x v="5"/>
    <x v="2"/>
    <s v="Preservativo Masculino"/>
    <s v="Performance"/>
    <x v="39"/>
    <n v="0"/>
  </r>
  <r>
    <x v="39"/>
    <n v="2026"/>
    <x v="6"/>
    <x v="2"/>
    <s v="Preservativo Masculino"/>
    <s v="Performance"/>
    <x v="39"/>
    <n v="0"/>
  </r>
  <r>
    <x v="39"/>
    <n v="2026"/>
    <x v="7"/>
    <x v="2"/>
    <s v="Preservativo Masculino"/>
    <s v="Performance"/>
    <x v="39"/>
    <n v="0"/>
  </r>
  <r>
    <x v="39"/>
    <n v="2026"/>
    <x v="8"/>
    <x v="2"/>
    <s v="Preservativo Masculino"/>
    <s v="Performance"/>
    <x v="39"/>
    <n v="0"/>
  </r>
  <r>
    <x v="39"/>
    <n v="2026"/>
    <x v="9"/>
    <x v="2"/>
    <s v="Preservativo Masculino"/>
    <s v="Performance"/>
    <x v="39"/>
    <n v="0"/>
  </r>
  <r>
    <x v="39"/>
    <n v="2026"/>
    <x v="10"/>
    <x v="2"/>
    <s v="Preservativo Masculino"/>
    <s v="Performance"/>
    <x v="39"/>
    <n v="0"/>
  </r>
  <r>
    <x v="39"/>
    <n v="2026"/>
    <x v="11"/>
    <x v="2"/>
    <s v="Preservativo Masculino"/>
    <s v="Performance"/>
    <x v="39"/>
    <n v="0"/>
  </r>
  <r>
    <x v="40"/>
    <n v="2026"/>
    <x v="0"/>
    <x v="2"/>
    <s v="Gel Lubrificante"/>
    <s v="Lub 100G"/>
    <x v="40"/>
    <n v="0"/>
  </r>
  <r>
    <x v="40"/>
    <n v="2026"/>
    <x v="1"/>
    <x v="2"/>
    <s v="Gel Lubrificante"/>
    <s v="Lub 100G"/>
    <x v="40"/>
    <n v="0"/>
  </r>
  <r>
    <x v="40"/>
    <n v="2026"/>
    <x v="2"/>
    <x v="2"/>
    <s v="Gel Lubrificante"/>
    <s v="Lub 100G"/>
    <x v="40"/>
    <n v="0"/>
  </r>
  <r>
    <x v="40"/>
    <n v="2026"/>
    <x v="3"/>
    <x v="2"/>
    <s v="Gel Lubrificante"/>
    <s v="Lub 100G"/>
    <x v="40"/>
    <n v="0"/>
  </r>
  <r>
    <x v="40"/>
    <n v="2026"/>
    <x v="4"/>
    <x v="2"/>
    <s v="Gel Lubrificante"/>
    <s v="Lub 100G"/>
    <x v="40"/>
    <n v="0"/>
  </r>
  <r>
    <x v="40"/>
    <n v="2026"/>
    <x v="5"/>
    <x v="2"/>
    <s v="Gel Lubrificante"/>
    <s v="Lub 100G"/>
    <x v="40"/>
    <n v="0"/>
  </r>
  <r>
    <x v="40"/>
    <n v="2026"/>
    <x v="6"/>
    <x v="2"/>
    <s v="Gel Lubrificante"/>
    <s v="Lub 100G"/>
    <x v="40"/>
    <n v="0"/>
  </r>
  <r>
    <x v="40"/>
    <n v="2026"/>
    <x v="7"/>
    <x v="2"/>
    <s v="Gel Lubrificante"/>
    <s v="Lub 100G"/>
    <x v="40"/>
    <n v="0"/>
  </r>
  <r>
    <x v="40"/>
    <n v="2026"/>
    <x v="8"/>
    <x v="2"/>
    <s v="Gel Lubrificante"/>
    <s v="Lub 100G"/>
    <x v="40"/>
    <n v="0"/>
  </r>
  <r>
    <x v="40"/>
    <n v="2026"/>
    <x v="9"/>
    <x v="2"/>
    <s v="Gel Lubrificante"/>
    <s v="Lub 100G"/>
    <x v="40"/>
    <n v="0"/>
  </r>
  <r>
    <x v="40"/>
    <n v="2026"/>
    <x v="10"/>
    <x v="2"/>
    <s v="Gel Lubrificante"/>
    <s v="Lub 100G"/>
    <x v="40"/>
    <n v="0"/>
  </r>
  <r>
    <x v="40"/>
    <n v="2026"/>
    <x v="11"/>
    <x v="2"/>
    <s v="Gel Lubrificante"/>
    <s v="Lub 100G"/>
    <x v="40"/>
    <n v="0"/>
  </r>
  <r>
    <x v="41"/>
    <n v="2026"/>
    <x v="0"/>
    <x v="2"/>
    <s v="Gel Lubrificante"/>
    <s v="Lub 100G"/>
    <x v="41"/>
    <n v="0"/>
  </r>
  <r>
    <x v="41"/>
    <n v="2026"/>
    <x v="1"/>
    <x v="2"/>
    <s v="Gel Lubrificante"/>
    <s v="Lub 100G"/>
    <x v="41"/>
    <n v="0"/>
  </r>
  <r>
    <x v="41"/>
    <n v="2026"/>
    <x v="2"/>
    <x v="2"/>
    <s v="Gel Lubrificante"/>
    <s v="Lub 100G"/>
    <x v="41"/>
    <n v="0"/>
  </r>
  <r>
    <x v="41"/>
    <n v="2026"/>
    <x v="3"/>
    <x v="2"/>
    <s v="Gel Lubrificante"/>
    <s v="Lub 100G"/>
    <x v="41"/>
    <n v="0"/>
  </r>
  <r>
    <x v="41"/>
    <n v="2026"/>
    <x v="4"/>
    <x v="2"/>
    <s v="Gel Lubrificante"/>
    <s v="Lub 100G"/>
    <x v="41"/>
    <n v="0"/>
  </r>
  <r>
    <x v="41"/>
    <n v="2026"/>
    <x v="5"/>
    <x v="2"/>
    <s v="Gel Lubrificante"/>
    <s v="Lub 100G"/>
    <x v="41"/>
    <n v="0"/>
  </r>
  <r>
    <x v="41"/>
    <n v="2026"/>
    <x v="6"/>
    <x v="2"/>
    <s v="Gel Lubrificante"/>
    <s v="Lub 100G"/>
    <x v="41"/>
    <n v="0"/>
  </r>
  <r>
    <x v="41"/>
    <n v="2026"/>
    <x v="7"/>
    <x v="2"/>
    <s v="Gel Lubrificante"/>
    <s v="Lub 100G"/>
    <x v="41"/>
    <n v="0"/>
  </r>
  <r>
    <x v="41"/>
    <n v="2026"/>
    <x v="8"/>
    <x v="2"/>
    <s v="Gel Lubrificante"/>
    <s v="Lub 100G"/>
    <x v="41"/>
    <n v="0"/>
  </r>
  <r>
    <x v="41"/>
    <n v="2026"/>
    <x v="9"/>
    <x v="2"/>
    <s v="Gel Lubrificante"/>
    <s v="Lub 100G"/>
    <x v="41"/>
    <n v="0"/>
  </r>
  <r>
    <x v="41"/>
    <n v="2026"/>
    <x v="10"/>
    <x v="2"/>
    <s v="Gel Lubrificante"/>
    <s v="Lub 100G"/>
    <x v="41"/>
    <n v="0"/>
  </r>
  <r>
    <x v="41"/>
    <n v="2026"/>
    <x v="11"/>
    <x v="2"/>
    <s v="Gel Lubrificante"/>
    <s v="Lub 100G"/>
    <x v="41"/>
    <n v="0"/>
  </r>
  <r>
    <x v="42"/>
    <n v="2026"/>
    <x v="0"/>
    <x v="2"/>
    <s v="Gel Lubrificante"/>
    <s v="Lub 100G"/>
    <x v="42"/>
    <n v="0"/>
  </r>
  <r>
    <x v="42"/>
    <n v="2026"/>
    <x v="1"/>
    <x v="2"/>
    <s v="Gel Lubrificante"/>
    <s v="Lub 100G"/>
    <x v="42"/>
    <n v="0"/>
  </r>
  <r>
    <x v="42"/>
    <n v="2026"/>
    <x v="2"/>
    <x v="2"/>
    <s v="Gel Lubrificante"/>
    <s v="Lub 100G"/>
    <x v="42"/>
    <n v="0"/>
  </r>
  <r>
    <x v="42"/>
    <n v="2026"/>
    <x v="3"/>
    <x v="2"/>
    <s v="Gel Lubrificante"/>
    <s v="Lub 100G"/>
    <x v="42"/>
    <n v="0"/>
  </r>
  <r>
    <x v="42"/>
    <n v="2026"/>
    <x v="4"/>
    <x v="2"/>
    <s v="Gel Lubrificante"/>
    <s v="Lub 100G"/>
    <x v="42"/>
    <n v="0"/>
  </r>
  <r>
    <x v="42"/>
    <n v="2026"/>
    <x v="5"/>
    <x v="2"/>
    <s v="Gel Lubrificante"/>
    <s v="Lub 100G"/>
    <x v="42"/>
    <n v="0"/>
  </r>
  <r>
    <x v="42"/>
    <n v="2026"/>
    <x v="6"/>
    <x v="2"/>
    <s v="Gel Lubrificante"/>
    <s v="Lub 100G"/>
    <x v="42"/>
    <n v="0"/>
  </r>
  <r>
    <x v="42"/>
    <n v="2026"/>
    <x v="7"/>
    <x v="2"/>
    <s v="Gel Lubrificante"/>
    <s v="Lub 100G"/>
    <x v="42"/>
    <n v="0"/>
  </r>
  <r>
    <x v="42"/>
    <n v="2026"/>
    <x v="8"/>
    <x v="2"/>
    <s v="Gel Lubrificante"/>
    <s v="Lub 100G"/>
    <x v="42"/>
    <n v="0"/>
  </r>
  <r>
    <x v="42"/>
    <n v="2026"/>
    <x v="9"/>
    <x v="2"/>
    <s v="Gel Lubrificante"/>
    <s v="Lub 100G"/>
    <x v="42"/>
    <n v="0"/>
  </r>
  <r>
    <x v="42"/>
    <n v="2026"/>
    <x v="10"/>
    <x v="2"/>
    <s v="Gel Lubrificante"/>
    <s v="Lub 100G"/>
    <x v="42"/>
    <n v="0"/>
  </r>
  <r>
    <x v="42"/>
    <n v="2026"/>
    <x v="11"/>
    <x v="2"/>
    <s v="Gel Lubrificante"/>
    <s v="Lub 100G"/>
    <x v="42"/>
    <n v="0"/>
  </r>
  <r>
    <x v="43"/>
    <n v="2026"/>
    <x v="0"/>
    <x v="2"/>
    <s v="Gel Lubrificante"/>
    <s v="Lub 100G"/>
    <x v="43"/>
    <n v="0"/>
  </r>
  <r>
    <x v="43"/>
    <n v="2026"/>
    <x v="1"/>
    <x v="2"/>
    <s v="Gel Lubrificante"/>
    <s v="Lub 100G"/>
    <x v="43"/>
    <n v="0"/>
  </r>
  <r>
    <x v="43"/>
    <n v="2026"/>
    <x v="2"/>
    <x v="2"/>
    <s v="Gel Lubrificante"/>
    <s v="Lub 100G"/>
    <x v="43"/>
    <n v="0"/>
  </r>
  <r>
    <x v="43"/>
    <n v="2026"/>
    <x v="3"/>
    <x v="2"/>
    <s v="Gel Lubrificante"/>
    <s v="Lub 100G"/>
    <x v="43"/>
    <n v="0"/>
  </r>
  <r>
    <x v="43"/>
    <n v="2026"/>
    <x v="4"/>
    <x v="2"/>
    <s v="Gel Lubrificante"/>
    <s v="Lub 100G"/>
    <x v="43"/>
    <n v="0"/>
  </r>
  <r>
    <x v="43"/>
    <n v="2026"/>
    <x v="5"/>
    <x v="2"/>
    <s v="Gel Lubrificante"/>
    <s v="Lub 100G"/>
    <x v="43"/>
    <n v="0"/>
  </r>
  <r>
    <x v="43"/>
    <n v="2026"/>
    <x v="6"/>
    <x v="2"/>
    <s v="Gel Lubrificante"/>
    <s v="Lub 100G"/>
    <x v="43"/>
    <n v="0"/>
  </r>
  <r>
    <x v="43"/>
    <n v="2026"/>
    <x v="7"/>
    <x v="2"/>
    <s v="Gel Lubrificante"/>
    <s v="Lub 100G"/>
    <x v="43"/>
    <n v="0"/>
  </r>
  <r>
    <x v="43"/>
    <n v="2026"/>
    <x v="8"/>
    <x v="2"/>
    <s v="Gel Lubrificante"/>
    <s v="Lub 100G"/>
    <x v="43"/>
    <n v="0"/>
  </r>
  <r>
    <x v="43"/>
    <n v="2026"/>
    <x v="9"/>
    <x v="2"/>
    <s v="Gel Lubrificante"/>
    <s v="Lub 100G"/>
    <x v="43"/>
    <n v="0"/>
  </r>
  <r>
    <x v="43"/>
    <n v="2026"/>
    <x v="10"/>
    <x v="2"/>
    <s v="Gel Lubrificante"/>
    <s v="Lub 100G"/>
    <x v="43"/>
    <n v="0"/>
  </r>
  <r>
    <x v="43"/>
    <n v="2026"/>
    <x v="11"/>
    <x v="2"/>
    <s v="Gel Lubrificante"/>
    <s v="Lub 100G"/>
    <x v="43"/>
    <n v="0"/>
  </r>
  <r>
    <x v="44"/>
    <n v="2026"/>
    <x v="0"/>
    <x v="2"/>
    <s v="Gel Lubrificante"/>
    <s v="Lub 60G"/>
    <x v="44"/>
    <n v="0"/>
  </r>
  <r>
    <x v="44"/>
    <n v="2026"/>
    <x v="1"/>
    <x v="2"/>
    <s v="Gel Lubrificante"/>
    <s v="Lub 60G"/>
    <x v="44"/>
    <n v="0"/>
  </r>
  <r>
    <x v="44"/>
    <n v="2026"/>
    <x v="2"/>
    <x v="2"/>
    <s v="Gel Lubrificante"/>
    <s v="Lub 60G"/>
    <x v="44"/>
    <n v="0"/>
  </r>
  <r>
    <x v="44"/>
    <n v="2026"/>
    <x v="3"/>
    <x v="2"/>
    <s v="Gel Lubrificante"/>
    <s v="Lub 60G"/>
    <x v="44"/>
    <n v="0"/>
  </r>
  <r>
    <x v="44"/>
    <n v="2026"/>
    <x v="4"/>
    <x v="2"/>
    <s v="Gel Lubrificante"/>
    <s v="Lub 60G"/>
    <x v="44"/>
    <n v="0"/>
  </r>
  <r>
    <x v="44"/>
    <n v="2026"/>
    <x v="5"/>
    <x v="2"/>
    <s v="Gel Lubrificante"/>
    <s v="Lub 60G"/>
    <x v="44"/>
    <n v="0"/>
  </r>
  <r>
    <x v="44"/>
    <n v="2026"/>
    <x v="6"/>
    <x v="2"/>
    <s v="Gel Lubrificante"/>
    <s v="Lub 60G"/>
    <x v="44"/>
    <n v="0"/>
  </r>
  <r>
    <x v="44"/>
    <n v="2026"/>
    <x v="7"/>
    <x v="2"/>
    <s v="Gel Lubrificante"/>
    <s v="Lub 60G"/>
    <x v="44"/>
    <n v="0"/>
  </r>
  <r>
    <x v="44"/>
    <n v="2026"/>
    <x v="8"/>
    <x v="2"/>
    <s v="Gel Lubrificante"/>
    <s v="Lub 60G"/>
    <x v="44"/>
    <n v="0"/>
  </r>
  <r>
    <x v="44"/>
    <n v="2026"/>
    <x v="9"/>
    <x v="2"/>
    <s v="Gel Lubrificante"/>
    <s v="Lub 60G"/>
    <x v="44"/>
    <n v="0"/>
  </r>
  <r>
    <x v="44"/>
    <n v="2026"/>
    <x v="10"/>
    <x v="2"/>
    <s v="Gel Lubrificante"/>
    <s v="Lub 60G"/>
    <x v="44"/>
    <n v="0"/>
  </r>
  <r>
    <x v="44"/>
    <n v="2026"/>
    <x v="11"/>
    <x v="2"/>
    <s v="Gel Lubrificante"/>
    <s v="Lub 60G"/>
    <x v="44"/>
    <n v="0"/>
  </r>
  <r>
    <x v="45"/>
    <n v="2026"/>
    <x v="0"/>
    <x v="2"/>
    <s v="Intima"/>
    <s v="Wipes &amp; Softcup"/>
    <x v="45"/>
    <n v="1961.2259999999997"/>
  </r>
  <r>
    <x v="45"/>
    <n v="2026"/>
    <x v="1"/>
    <x v="2"/>
    <s v="Intima"/>
    <s v="Wipes &amp; Softcup"/>
    <x v="45"/>
    <n v="1465.2259999999997"/>
  </r>
  <r>
    <x v="45"/>
    <n v="2026"/>
    <x v="2"/>
    <x v="2"/>
    <s v="Intima"/>
    <s v="Wipes &amp; Softcup"/>
    <x v="45"/>
    <n v="978.22599999999966"/>
  </r>
  <r>
    <x v="45"/>
    <n v="2026"/>
    <x v="3"/>
    <x v="2"/>
    <s v="Intima"/>
    <s v="Wipes &amp; Softcup"/>
    <x v="45"/>
    <n v="501.22599999999966"/>
  </r>
  <r>
    <x v="45"/>
    <n v="2026"/>
    <x v="4"/>
    <x v="2"/>
    <s v="Intima"/>
    <s v="Wipes &amp; Softcup"/>
    <x v="45"/>
    <n v="0"/>
  </r>
  <r>
    <x v="45"/>
    <n v="2026"/>
    <x v="5"/>
    <x v="2"/>
    <s v="Intima"/>
    <s v="Wipes &amp; Softcup"/>
    <x v="45"/>
    <n v="0"/>
  </r>
  <r>
    <x v="45"/>
    <n v="2026"/>
    <x v="6"/>
    <x v="2"/>
    <s v="Intima"/>
    <s v="Wipes &amp; Softcup"/>
    <x v="45"/>
    <n v="0"/>
  </r>
  <r>
    <x v="45"/>
    <n v="2026"/>
    <x v="7"/>
    <x v="2"/>
    <s v="Intima"/>
    <s v="Wipes &amp; Softcup"/>
    <x v="45"/>
    <n v="0"/>
  </r>
  <r>
    <x v="45"/>
    <n v="2026"/>
    <x v="8"/>
    <x v="2"/>
    <s v="Intima"/>
    <s v="Wipes &amp; Softcup"/>
    <x v="45"/>
    <n v="0"/>
  </r>
  <r>
    <x v="45"/>
    <n v="2026"/>
    <x v="9"/>
    <x v="2"/>
    <s v="Intima"/>
    <s v="Wipes &amp; Softcup"/>
    <x v="45"/>
    <n v="0"/>
  </r>
  <r>
    <x v="45"/>
    <n v="2026"/>
    <x v="10"/>
    <x v="2"/>
    <s v="Intima"/>
    <s v="Wipes &amp; Softcup"/>
    <x v="45"/>
    <n v="0"/>
  </r>
  <r>
    <x v="45"/>
    <n v="2026"/>
    <x v="11"/>
    <x v="2"/>
    <s v="Intima"/>
    <s v="Wipes &amp; Softcup"/>
    <x v="45"/>
    <n v="0"/>
  </r>
  <r>
    <x v="46"/>
    <n v="2026"/>
    <x v="0"/>
    <x v="2"/>
    <s v="Intima"/>
    <s v="Wipes &amp; Softcup"/>
    <x v="46"/>
    <n v="0"/>
  </r>
  <r>
    <x v="46"/>
    <n v="2026"/>
    <x v="1"/>
    <x v="2"/>
    <s v="Intima"/>
    <s v="Wipes &amp; Softcup"/>
    <x v="46"/>
    <n v="0"/>
  </r>
  <r>
    <x v="46"/>
    <n v="2026"/>
    <x v="2"/>
    <x v="2"/>
    <s v="Intima"/>
    <s v="Wipes &amp; Softcup"/>
    <x v="46"/>
    <n v="0"/>
  </r>
  <r>
    <x v="46"/>
    <n v="2026"/>
    <x v="3"/>
    <x v="2"/>
    <s v="Intima"/>
    <s v="Wipes &amp; Softcup"/>
    <x v="46"/>
    <n v="0"/>
  </r>
  <r>
    <x v="46"/>
    <n v="2026"/>
    <x v="4"/>
    <x v="2"/>
    <s v="Intima"/>
    <s v="Wipes &amp; Softcup"/>
    <x v="46"/>
    <n v="0"/>
  </r>
  <r>
    <x v="46"/>
    <n v="2026"/>
    <x v="5"/>
    <x v="2"/>
    <s v="Intima"/>
    <s v="Wipes &amp; Softcup"/>
    <x v="46"/>
    <n v="0"/>
  </r>
  <r>
    <x v="46"/>
    <n v="2026"/>
    <x v="6"/>
    <x v="2"/>
    <s v="Intima"/>
    <s v="Wipes &amp; Softcup"/>
    <x v="46"/>
    <n v="0"/>
  </r>
  <r>
    <x v="46"/>
    <n v="2026"/>
    <x v="7"/>
    <x v="2"/>
    <s v="Intima"/>
    <s v="Wipes &amp; Softcup"/>
    <x v="46"/>
    <n v="0"/>
  </r>
  <r>
    <x v="46"/>
    <n v="2026"/>
    <x v="8"/>
    <x v="2"/>
    <s v="Intima"/>
    <s v="Wipes &amp; Softcup"/>
    <x v="46"/>
    <n v="0"/>
  </r>
  <r>
    <x v="46"/>
    <n v="2026"/>
    <x v="9"/>
    <x v="2"/>
    <s v="Intima"/>
    <s v="Wipes &amp; Softcup"/>
    <x v="46"/>
    <n v="0"/>
  </r>
  <r>
    <x v="46"/>
    <n v="2026"/>
    <x v="10"/>
    <x v="2"/>
    <s v="Intima"/>
    <s v="Wipes &amp; Softcup"/>
    <x v="46"/>
    <n v="0"/>
  </r>
  <r>
    <x v="46"/>
    <n v="2026"/>
    <x v="11"/>
    <x v="2"/>
    <s v="Intima"/>
    <s v="Wipes &amp; Softcup"/>
    <x v="46"/>
    <n v="0"/>
  </r>
  <r>
    <x v="47"/>
    <n v="2026"/>
    <x v="0"/>
    <x v="2"/>
    <s v="RX"/>
    <s v="Aspirators"/>
    <x v="47"/>
    <n v="5783"/>
  </r>
  <r>
    <x v="47"/>
    <n v="2026"/>
    <x v="1"/>
    <x v="2"/>
    <s v="RX"/>
    <s v="Aspirators"/>
    <x v="47"/>
    <n v="4595"/>
  </r>
  <r>
    <x v="47"/>
    <n v="2026"/>
    <x v="2"/>
    <x v="2"/>
    <s v="RX"/>
    <s v="Aspirators"/>
    <x v="47"/>
    <n v="5831"/>
  </r>
  <r>
    <x v="47"/>
    <n v="2026"/>
    <x v="3"/>
    <x v="2"/>
    <s v="RX"/>
    <s v="Aspirators"/>
    <x v="47"/>
    <n v="4643"/>
  </r>
  <r>
    <x v="47"/>
    <n v="2026"/>
    <x v="4"/>
    <x v="2"/>
    <s v="RX"/>
    <s v="Aspirators"/>
    <x v="47"/>
    <n v="5899"/>
  </r>
  <r>
    <x v="47"/>
    <n v="2026"/>
    <x v="5"/>
    <x v="2"/>
    <s v="RX"/>
    <s v="Aspirators"/>
    <x v="47"/>
    <n v="4959"/>
  </r>
  <r>
    <x v="47"/>
    <n v="2026"/>
    <x v="6"/>
    <x v="2"/>
    <s v="RX"/>
    <s v="Aspirators"/>
    <x v="47"/>
    <n v="4119"/>
  </r>
  <r>
    <x v="47"/>
    <n v="2026"/>
    <x v="7"/>
    <x v="2"/>
    <s v="RX"/>
    <s v="Aspirators"/>
    <x v="47"/>
    <n v="4119"/>
  </r>
  <r>
    <x v="47"/>
    <n v="2026"/>
    <x v="8"/>
    <x v="2"/>
    <s v="RX"/>
    <s v="Aspirators"/>
    <x v="47"/>
    <n v="4119"/>
  </r>
  <r>
    <x v="47"/>
    <n v="2026"/>
    <x v="9"/>
    <x v="2"/>
    <s v="RX"/>
    <s v="Aspirators"/>
    <x v="47"/>
    <n v="4119"/>
  </r>
  <r>
    <x v="47"/>
    <n v="2026"/>
    <x v="10"/>
    <x v="2"/>
    <s v="RX"/>
    <s v="Aspirators"/>
    <x v="47"/>
    <n v="4119"/>
  </r>
  <r>
    <x v="47"/>
    <n v="2026"/>
    <x v="11"/>
    <x v="2"/>
    <s v="RX"/>
    <s v="Aspirators"/>
    <x v="47"/>
    <n v="4119"/>
  </r>
  <r>
    <x v="48"/>
    <n v="2026"/>
    <x v="0"/>
    <x v="2"/>
    <s v="RX"/>
    <s v="Aspirators"/>
    <x v="48"/>
    <n v="1172"/>
  </r>
  <r>
    <x v="48"/>
    <n v="2026"/>
    <x v="1"/>
    <x v="2"/>
    <s v="RX"/>
    <s v="Aspirators"/>
    <x v="48"/>
    <n v="853"/>
  </r>
  <r>
    <x v="48"/>
    <n v="2026"/>
    <x v="2"/>
    <x v="2"/>
    <s v="RX"/>
    <s v="Aspirators"/>
    <x v="48"/>
    <n v="1721"/>
  </r>
  <r>
    <x v="48"/>
    <n v="2026"/>
    <x v="3"/>
    <x v="2"/>
    <s v="RX"/>
    <s v="Aspirators"/>
    <x v="48"/>
    <n v="1358"/>
  </r>
  <r>
    <x v="48"/>
    <n v="2026"/>
    <x v="4"/>
    <x v="2"/>
    <s v="RX"/>
    <s v="Aspirators"/>
    <x v="48"/>
    <n v="2263"/>
  </r>
  <r>
    <x v="48"/>
    <n v="2026"/>
    <x v="5"/>
    <x v="2"/>
    <s v="RX"/>
    <s v="Aspirators"/>
    <x v="48"/>
    <n v="1900"/>
  </r>
  <r>
    <x v="48"/>
    <n v="2026"/>
    <x v="6"/>
    <x v="2"/>
    <s v="RX"/>
    <s v="Aspirators"/>
    <x v="48"/>
    <n v="1570"/>
  </r>
  <r>
    <x v="48"/>
    <n v="2026"/>
    <x v="7"/>
    <x v="2"/>
    <s v="RX"/>
    <s v="Aspirators"/>
    <x v="48"/>
    <n v="1570"/>
  </r>
  <r>
    <x v="48"/>
    <n v="2026"/>
    <x v="8"/>
    <x v="2"/>
    <s v="RX"/>
    <s v="Aspirators"/>
    <x v="48"/>
    <n v="1570"/>
  </r>
  <r>
    <x v="48"/>
    <n v="2026"/>
    <x v="9"/>
    <x v="2"/>
    <s v="RX"/>
    <s v="Aspirators"/>
    <x v="48"/>
    <n v="1570"/>
  </r>
  <r>
    <x v="48"/>
    <n v="2026"/>
    <x v="10"/>
    <x v="2"/>
    <s v="RX"/>
    <s v="Aspirators"/>
    <x v="48"/>
    <n v="1570"/>
  </r>
  <r>
    <x v="48"/>
    <n v="2026"/>
    <x v="11"/>
    <x v="2"/>
    <s v="RX"/>
    <s v="Aspirators"/>
    <x v="48"/>
    <n v="1570"/>
  </r>
  <r>
    <x v="49"/>
    <n v="2026"/>
    <x v="0"/>
    <x v="2"/>
    <s v="RX"/>
    <s v="Cannulae"/>
    <x v="49"/>
    <n v="4500.8950000000004"/>
  </r>
  <r>
    <x v="49"/>
    <n v="2026"/>
    <x v="1"/>
    <x v="2"/>
    <s v="RX"/>
    <s v="Cannulae"/>
    <x v="49"/>
    <n v="4160.8950000000004"/>
  </r>
  <r>
    <x v="49"/>
    <n v="2026"/>
    <x v="2"/>
    <x v="2"/>
    <s v="RX"/>
    <s v="Cannulae"/>
    <x v="49"/>
    <n v="3820.8950000000004"/>
  </r>
  <r>
    <x v="49"/>
    <n v="2026"/>
    <x v="3"/>
    <x v="2"/>
    <s v="RX"/>
    <s v="Cannulae"/>
    <x v="49"/>
    <n v="3061.3950000000004"/>
  </r>
  <r>
    <x v="49"/>
    <n v="2026"/>
    <x v="4"/>
    <x v="2"/>
    <s v="RX"/>
    <s v="Cannulae"/>
    <x v="49"/>
    <n v="2541.3950000000004"/>
  </r>
  <r>
    <x v="49"/>
    <n v="2026"/>
    <x v="5"/>
    <x v="2"/>
    <s v="RX"/>
    <s v="Cannulae"/>
    <x v="49"/>
    <n v="2141.3950000000004"/>
  </r>
  <r>
    <x v="49"/>
    <n v="2026"/>
    <x v="6"/>
    <x v="2"/>
    <s v="RX"/>
    <s v="Cannulae"/>
    <x v="49"/>
    <n v="1801.3950000000004"/>
  </r>
  <r>
    <x v="49"/>
    <n v="2026"/>
    <x v="7"/>
    <x v="2"/>
    <s v="RX"/>
    <s v="Cannulae"/>
    <x v="49"/>
    <n v="1801.3950000000004"/>
  </r>
  <r>
    <x v="49"/>
    <n v="2026"/>
    <x v="8"/>
    <x v="2"/>
    <s v="RX"/>
    <s v="Cannulae"/>
    <x v="49"/>
    <n v="1801.3950000000004"/>
  </r>
  <r>
    <x v="49"/>
    <n v="2026"/>
    <x v="9"/>
    <x v="2"/>
    <s v="RX"/>
    <s v="Cannulae"/>
    <x v="49"/>
    <n v="1801.3950000000004"/>
  </r>
  <r>
    <x v="49"/>
    <n v="2026"/>
    <x v="10"/>
    <x v="2"/>
    <s v="RX"/>
    <s v="Cannulae"/>
    <x v="49"/>
    <n v="1801.3950000000004"/>
  </r>
  <r>
    <x v="49"/>
    <n v="2026"/>
    <x v="11"/>
    <x v="2"/>
    <s v="RX"/>
    <s v="Cannulae"/>
    <x v="49"/>
    <n v="1801.3950000000004"/>
  </r>
  <r>
    <x v="50"/>
    <n v="2026"/>
    <x v="0"/>
    <x v="2"/>
    <s v="RX"/>
    <s v="Cannulae"/>
    <x v="50"/>
    <n v="2186"/>
  </r>
  <r>
    <x v="50"/>
    <n v="2026"/>
    <x v="1"/>
    <x v="2"/>
    <s v="RX"/>
    <s v="Cannulae"/>
    <x v="50"/>
    <n v="1481"/>
  </r>
  <r>
    <x v="50"/>
    <n v="2026"/>
    <x v="2"/>
    <x v="2"/>
    <s v="RX"/>
    <s v="Cannulae"/>
    <x v="50"/>
    <n v="2169"/>
  </r>
  <r>
    <x v="50"/>
    <n v="2026"/>
    <x v="3"/>
    <x v="2"/>
    <s v="RX"/>
    <s v="Cannulae"/>
    <x v="50"/>
    <n v="1518"/>
  </r>
  <r>
    <x v="50"/>
    <n v="2026"/>
    <x v="4"/>
    <x v="2"/>
    <s v="RX"/>
    <s v="Cannulae"/>
    <x v="50"/>
    <n v="2206"/>
  </r>
  <r>
    <x v="50"/>
    <n v="2026"/>
    <x v="5"/>
    <x v="2"/>
    <s v="RX"/>
    <s v="Cannulae"/>
    <x v="50"/>
    <n v="2556"/>
  </r>
  <r>
    <x v="50"/>
    <n v="2026"/>
    <x v="6"/>
    <x v="2"/>
    <s v="RX"/>
    <s v="Cannulae"/>
    <x v="50"/>
    <n v="1936"/>
  </r>
  <r>
    <x v="50"/>
    <n v="2026"/>
    <x v="7"/>
    <x v="2"/>
    <s v="RX"/>
    <s v="Cannulae"/>
    <x v="50"/>
    <n v="1936"/>
  </r>
  <r>
    <x v="50"/>
    <n v="2026"/>
    <x v="8"/>
    <x v="2"/>
    <s v="RX"/>
    <s v="Cannulae"/>
    <x v="50"/>
    <n v="1936"/>
  </r>
  <r>
    <x v="50"/>
    <n v="2026"/>
    <x v="9"/>
    <x v="2"/>
    <s v="RX"/>
    <s v="Cannulae"/>
    <x v="50"/>
    <n v="1936"/>
  </r>
  <r>
    <x v="50"/>
    <n v="2026"/>
    <x v="10"/>
    <x v="2"/>
    <s v="RX"/>
    <s v="Cannulae"/>
    <x v="50"/>
    <n v="1936"/>
  </r>
  <r>
    <x v="50"/>
    <n v="2026"/>
    <x v="11"/>
    <x v="2"/>
    <s v="RX"/>
    <s v="Cannulae"/>
    <x v="50"/>
    <n v="1936"/>
  </r>
  <r>
    <x v="51"/>
    <n v="2026"/>
    <x v="0"/>
    <x v="2"/>
    <s v="RX"/>
    <s v="Cannulae"/>
    <x v="51"/>
    <n v="2883"/>
  </r>
  <r>
    <x v="51"/>
    <n v="2026"/>
    <x v="1"/>
    <x v="2"/>
    <s v="RX"/>
    <s v="Cannulae"/>
    <x v="51"/>
    <n v="2178"/>
  </r>
  <r>
    <x v="51"/>
    <n v="2026"/>
    <x v="2"/>
    <x v="2"/>
    <s v="RX"/>
    <s v="Cannulae"/>
    <x v="51"/>
    <n v="2828"/>
  </r>
  <r>
    <x v="51"/>
    <n v="2026"/>
    <x v="3"/>
    <x v="2"/>
    <s v="RX"/>
    <s v="Cannulae"/>
    <x v="51"/>
    <n v="2177"/>
  </r>
  <r>
    <x v="51"/>
    <n v="2026"/>
    <x v="4"/>
    <x v="2"/>
    <s v="RX"/>
    <s v="Cannulae"/>
    <x v="51"/>
    <n v="2827"/>
  </r>
  <r>
    <x v="51"/>
    <n v="2026"/>
    <x v="5"/>
    <x v="2"/>
    <s v="RX"/>
    <s v="Cannulae"/>
    <x v="51"/>
    <n v="3177"/>
  </r>
  <r>
    <x v="51"/>
    <n v="2026"/>
    <x v="6"/>
    <x v="2"/>
    <s v="RX"/>
    <s v="Cannulae"/>
    <x v="51"/>
    <n v="2557"/>
  </r>
  <r>
    <x v="51"/>
    <n v="2026"/>
    <x v="7"/>
    <x v="2"/>
    <s v="RX"/>
    <s v="Cannulae"/>
    <x v="51"/>
    <n v="2557"/>
  </r>
  <r>
    <x v="51"/>
    <n v="2026"/>
    <x v="8"/>
    <x v="2"/>
    <s v="RX"/>
    <s v="Cannulae"/>
    <x v="51"/>
    <n v="2557"/>
  </r>
  <r>
    <x v="51"/>
    <n v="2026"/>
    <x v="9"/>
    <x v="2"/>
    <s v="RX"/>
    <s v="Cannulae"/>
    <x v="51"/>
    <n v="2557"/>
  </r>
  <r>
    <x v="51"/>
    <n v="2026"/>
    <x v="10"/>
    <x v="2"/>
    <s v="RX"/>
    <s v="Cannulae"/>
    <x v="51"/>
    <n v="2557"/>
  </r>
  <r>
    <x v="51"/>
    <n v="2026"/>
    <x v="11"/>
    <x v="2"/>
    <s v="RX"/>
    <s v="Cannulae"/>
    <x v="51"/>
    <n v="2557"/>
  </r>
  <r>
    <x v="52"/>
    <n v="2026"/>
    <x v="0"/>
    <x v="2"/>
    <s v="RX"/>
    <s v="Cannulae"/>
    <x v="52"/>
    <n v="6092"/>
  </r>
  <r>
    <x v="52"/>
    <n v="2026"/>
    <x v="1"/>
    <x v="2"/>
    <s v="RX"/>
    <s v="Cannulae"/>
    <x v="52"/>
    <n v="4566"/>
  </r>
  <r>
    <x v="52"/>
    <n v="2026"/>
    <x v="2"/>
    <x v="2"/>
    <s v="RX"/>
    <s v="Cannulae"/>
    <x v="52"/>
    <n v="4476"/>
  </r>
  <r>
    <x v="52"/>
    <n v="2026"/>
    <x v="3"/>
    <x v="2"/>
    <s v="RX"/>
    <s v="Cannulae"/>
    <x v="52"/>
    <n v="3168"/>
  </r>
  <r>
    <x v="52"/>
    <n v="2026"/>
    <x v="4"/>
    <x v="2"/>
    <s v="RX"/>
    <s v="Cannulae"/>
    <x v="52"/>
    <n v="4298"/>
  </r>
  <r>
    <x v="52"/>
    <n v="2026"/>
    <x v="5"/>
    <x v="2"/>
    <s v="RX"/>
    <s v="Cannulae"/>
    <x v="52"/>
    <n v="2998"/>
  </r>
  <r>
    <x v="52"/>
    <n v="2026"/>
    <x v="6"/>
    <x v="2"/>
    <s v="RX"/>
    <s v="Cannulae"/>
    <x v="52"/>
    <n v="3658"/>
  </r>
  <r>
    <x v="52"/>
    <n v="2026"/>
    <x v="7"/>
    <x v="2"/>
    <s v="RX"/>
    <s v="Cannulae"/>
    <x v="52"/>
    <n v="3658"/>
  </r>
  <r>
    <x v="52"/>
    <n v="2026"/>
    <x v="8"/>
    <x v="2"/>
    <s v="RX"/>
    <s v="Cannulae"/>
    <x v="52"/>
    <n v="3658"/>
  </r>
  <r>
    <x v="52"/>
    <n v="2026"/>
    <x v="9"/>
    <x v="2"/>
    <s v="RX"/>
    <s v="Cannulae"/>
    <x v="52"/>
    <n v="3658"/>
  </r>
  <r>
    <x v="52"/>
    <n v="2026"/>
    <x v="10"/>
    <x v="2"/>
    <s v="RX"/>
    <s v="Cannulae"/>
    <x v="52"/>
    <n v="3658"/>
  </r>
  <r>
    <x v="52"/>
    <n v="2026"/>
    <x v="11"/>
    <x v="2"/>
    <s v="RX"/>
    <s v="Cannulae"/>
    <x v="52"/>
    <n v="3658"/>
  </r>
  <r>
    <x v="53"/>
    <n v="2026"/>
    <x v="0"/>
    <x v="2"/>
    <s v="RX"/>
    <s v="Cannulae"/>
    <x v="53"/>
    <n v="4971"/>
  </r>
  <r>
    <x v="53"/>
    <n v="2026"/>
    <x v="1"/>
    <x v="2"/>
    <s v="RX"/>
    <s v="Cannulae"/>
    <x v="53"/>
    <n v="3772"/>
  </r>
  <r>
    <x v="53"/>
    <n v="2026"/>
    <x v="2"/>
    <x v="2"/>
    <s v="RX"/>
    <s v="Cannulae"/>
    <x v="53"/>
    <n v="3900"/>
  </r>
  <r>
    <x v="53"/>
    <n v="2026"/>
    <x v="3"/>
    <x v="2"/>
    <s v="RX"/>
    <s v="Cannulae"/>
    <x v="53"/>
    <n v="2810"/>
  </r>
  <r>
    <x v="53"/>
    <n v="2026"/>
    <x v="4"/>
    <x v="2"/>
    <s v="RX"/>
    <s v="Cannulae"/>
    <x v="53"/>
    <n v="3950"/>
  </r>
  <r>
    <x v="53"/>
    <n v="2026"/>
    <x v="5"/>
    <x v="2"/>
    <s v="RX"/>
    <s v="Cannulae"/>
    <x v="53"/>
    <n v="3841"/>
  </r>
  <r>
    <x v="53"/>
    <n v="2026"/>
    <x v="6"/>
    <x v="2"/>
    <s v="RX"/>
    <s v="Cannulae"/>
    <x v="53"/>
    <n v="2832"/>
  </r>
  <r>
    <x v="53"/>
    <n v="2026"/>
    <x v="7"/>
    <x v="2"/>
    <s v="RX"/>
    <s v="Cannulae"/>
    <x v="53"/>
    <n v="2832"/>
  </r>
  <r>
    <x v="53"/>
    <n v="2026"/>
    <x v="8"/>
    <x v="2"/>
    <s v="RX"/>
    <s v="Cannulae"/>
    <x v="53"/>
    <n v="2832"/>
  </r>
  <r>
    <x v="53"/>
    <n v="2026"/>
    <x v="9"/>
    <x v="2"/>
    <s v="RX"/>
    <s v="Cannulae"/>
    <x v="53"/>
    <n v="2832"/>
  </r>
  <r>
    <x v="53"/>
    <n v="2026"/>
    <x v="10"/>
    <x v="2"/>
    <s v="RX"/>
    <s v="Cannulae"/>
    <x v="53"/>
    <n v="2832"/>
  </r>
  <r>
    <x v="53"/>
    <n v="2026"/>
    <x v="11"/>
    <x v="2"/>
    <s v="RX"/>
    <s v="Cannulae"/>
    <x v="53"/>
    <n v="2832"/>
  </r>
  <r>
    <x v="54"/>
    <n v="2026"/>
    <x v="0"/>
    <x v="2"/>
    <s v="RX"/>
    <s v="Cannulae"/>
    <x v="54"/>
    <n v="3515"/>
  </r>
  <r>
    <x v="54"/>
    <n v="2026"/>
    <x v="1"/>
    <x v="2"/>
    <s v="RX"/>
    <s v="Cannulae"/>
    <x v="54"/>
    <n v="2643"/>
  </r>
  <r>
    <x v="54"/>
    <n v="2026"/>
    <x v="2"/>
    <x v="2"/>
    <s v="RX"/>
    <s v="Cannulae"/>
    <x v="54"/>
    <n v="2989"/>
  </r>
  <r>
    <x v="54"/>
    <n v="2026"/>
    <x v="3"/>
    <x v="2"/>
    <s v="RX"/>
    <s v="Cannulae"/>
    <x v="54"/>
    <n v="2117"/>
  </r>
  <r>
    <x v="54"/>
    <n v="2026"/>
    <x v="4"/>
    <x v="2"/>
    <s v="RX"/>
    <s v="Cannulae"/>
    <x v="54"/>
    <n v="2705"/>
  </r>
  <r>
    <x v="54"/>
    <n v="2026"/>
    <x v="5"/>
    <x v="2"/>
    <s v="RX"/>
    <s v="Cannulae"/>
    <x v="54"/>
    <n v="2835"/>
  </r>
  <r>
    <x v="54"/>
    <n v="2026"/>
    <x v="6"/>
    <x v="2"/>
    <s v="RX"/>
    <s v="Cannulae"/>
    <x v="54"/>
    <n v="2045"/>
  </r>
  <r>
    <x v="54"/>
    <n v="2026"/>
    <x v="7"/>
    <x v="2"/>
    <s v="RX"/>
    <s v="Cannulae"/>
    <x v="54"/>
    <n v="2045"/>
  </r>
  <r>
    <x v="54"/>
    <n v="2026"/>
    <x v="8"/>
    <x v="2"/>
    <s v="RX"/>
    <s v="Cannulae"/>
    <x v="54"/>
    <n v="2045"/>
  </r>
  <r>
    <x v="54"/>
    <n v="2026"/>
    <x v="9"/>
    <x v="2"/>
    <s v="RX"/>
    <s v="Cannulae"/>
    <x v="54"/>
    <n v="2045"/>
  </r>
  <r>
    <x v="54"/>
    <n v="2026"/>
    <x v="10"/>
    <x v="2"/>
    <s v="RX"/>
    <s v="Cannulae"/>
    <x v="54"/>
    <n v="2045"/>
  </r>
  <r>
    <x v="54"/>
    <n v="2026"/>
    <x v="11"/>
    <x v="2"/>
    <s v="RX"/>
    <s v="Cannulae"/>
    <x v="54"/>
    <n v="2045"/>
  </r>
  <r>
    <x v="55"/>
    <n v="2026"/>
    <x v="0"/>
    <x v="2"/>
    <s v="RX"/>
    <s v="Cannulae"/>
    <x v="55"/>
    <n v="2923"/>
  </r>
  <r>
    <x v="55"/>
    <n v="2026"/>
    <x v="1"/>
    <x v="2"/>
    <s v="RX"/>
    <s v="Cannulae"/>
    <x v="55"/>
    <n v="2272"/>
  </r>
  <r>
    <x v="55"/>
    <n v="2026"/>
    <x v="2"/>
    <x v="2"/>
    <s v="RX"/>
    <s v="Cannulae"/>
    <x v="55"/>
    <n v="2838"/>
  </r>
  <r>
    <x v="55"/>
    <n v="2026"/>
    <x v="3"/>
    <x v="2"/>
    <s v="RX"/>
    <s v="Cannulae"/>
    <x v="55"/>
    <n v="2187"/>
  </r>
  <r>
    <x v="55"/>
    <n v="2026"/>
    <x v="4"/>
    <x v="2"/>
    <s v="RX"/>
    <s v="Cannulae"/>
    <x v="55"/>
    <n v="1797"/>
  </r>
  <r>
    <x v="55"/>
    <n v="2026"/>
    <x v="5"/>
    <x v="2"/>
    <s v="RX"/>
    <s v="Cannulae"/>
    <x v="55"/>
    <n v="2145"/>
  </r>
  <r>
    <x v="55"/>
    <n v="2026"/>
    <x v="6"/>
    <x v="2"/>
    <s v="RX"/>
    <s v="Cannulae"/>
    <x v="55"/>
    <n v="1365"/>
  </r>
  <r>
    <x v="55"/>
    <n v="2026"/>
    <x v="7"/>
    <x v="2"/>
    <s v="RX"/>
    <s v="Cannulae"/>
    <x v="55"/>
    <n v="1365"/>
  </r>
  <r>
    <x v="55"/>
    <n v="2026"/>
    <x v="8"/>
    <x v="2"/>
    <s v="RX"/>
    <s v="Cannulae"/>
    <x v="55"/>
    <n v="1365"/>
  </r>
  <r>
    <x v="55"/>
    <n v="2026"/>
    <x v="9"/>
    <x v="2"/>
    <s v="RX"/>
    <s v="Cannulae"/>
    <x v="55"/>
    <n v="1365"/>
  </r>
  <r>
    <x v="55"/>
    <n v="2026"/>
    <x v="10"/>
    <x v="2"/>
    <s v="RX"/>
    <s v="Cannulae"/>
    <x v="55"/>
    <n v="1365"/>
  </r>
  <r>
    <x v="55"/>
    <n v="2026"/>
    <x v="11"/>
    <x v="2"/>
    <s v="RX"/>
    <s v="Cannulae"/>
    <x v="55"/>
    <n v="1365"/>
  </r>
  <r>
    <x v="56"/>
    <n v="2026"/>
    <x v="0"/>
    <x v="2"/>
    <s v="RX"/>
    <s v="Cannulae"/>
    <x v="56"/>
    <n v="1540"/>
  </r>
  <r>
    <x v="56"/>
    <n v="2026"/>
    <x v="1"/>
    <x v="2"/>
    <s v="RX"/>
    <s v="Cannulae"/>
    <x v="56"/>
    <n v="1160"/>
  </r>
  <r>
    <x v="56"/>
    <n v="2026"/>
    <x v="2"/>
    <x v="2"/>
    <s v="RX"/>
    <s v="Cannulae"/>
    <x v="56"/>
    <n v="943"/>
  </r>
  <r>
    <x v="56"/>
    <n v="2026"/>
    <x v="3"/>
    <x v="2"/>
    <s v="RX"/>
    <s v="Cannulae"/>
    <x v="56"/>
    <n v="563"/>
  </r>
  <r>
    <x v="56"/>
    <n v="2026"/>
    <x v="4"/>
    <x v="2"/>
    <s v="RX"/>
    <s v="Cannulae"/>
    <x v="56"/>
    <n v="1442"/>
  </r>
  <r>
    <x v="56"/>
    <n v="2026"/>
    <x v="5"/>
    <x v="2"/>
    <s v="RX"/>
    <s v="Cannulae"/>
    <x v="56"/>
    <n v="1057"/>
  </r>
  <r>
    <x v="56"/>
    <n v="2026"/>
    <x v="6"/>
    <x v="2"/>
    <s v="RX"/>
    <s v="Cannulae"/>
    <x v="56"/>
    <n v="682"/>
  </r>
  <r>
    <x v="56"/>
    <n v="2026"/>
    <x v="7"/>
    <x v="2"/>
    <s v="RX"/>
    <s v="Cannulae"/>
    <x v="56"/>
    <n v="682"/>
  </r>
  <r>
    <x v="56"/>
    <n v="2026"/>
    <x v="8"/>
    <x v="2"/>
    <s v="RX"/>
    <s v="Cannulae"/>
    <x v="56"/>
    <n v="682"/>
  </r>
  <r>
    <x v="56"/>
    <n v="2026"/>
    <x v="9"/>
    <x v="2"/>
    <s v="RX"/>
    <s v="Cannulae"/>
    <x v="56"/>
    <n v="682"/>
  </r>
  <r>
    <x v="56"/>
    <n v="2026"/>
    <x v="10"/>
    <x v="2"/>
    <s v="RX"/>
    <s v="Cannulae"/>
    <x v="56"/>
    <n v="682"/>
  </r>
  <r>
    <x v="56"/>
    <n v="2026"/>
    <x v="11"/>
    <x v="2"/>
    <s v="RX"/>
    <s v="Cannulae"/>
    <x v="56"/>
    <n v="682"/>
  </r>
  <r>
    <x v="57"/>
    <n v="2026"/>
    <x v="0"/>
    <x v="2"/>
    <s v="RX"/>
    <s v="Dilators"/>
    <x v="57"/>
    <n v="21578"/>
  </r>
  <r>
    <x v="57"/>
    <n v="2026"/>
    <x v="1"/>
    <x v="2"/>
    <s v="RX"/>
    <s v="Dilators"/>
    <x v="57"/>
    <n v="16740"/>
  </r>
  <r>
    <x v="57"/>
    <n v="2026"/>
    <x v="2"/>
    <x v="2"/>
    <s v="RX"/>
    <s v="Dilators"/>
    <x v="57"/>
    <n v="13525"/>
  </r>
  <r>
    <x v="57"/>
    <n v="2026"/>
    <x v="3"/>
    <x v="2"/>
    <s v="RX"/>
    <s v="Dilators"/>
    <x v="57"/>
    <n v="8257"/>
  </r>
  <r>
    <x v="57"/>
    <n v="2026"/>
    <x v="4"/>
    <x v="2"/>
    <s v="RX"/>
    <s v="Dilators"/>
    <x v="57"/>
    <n v="5057"/>
  </r>
  <r>
    <x v="57"/>
    <n v="2026"/>
    <x v="5"/>
    <x v="2"/>
    <s v="RX"/>
    <s v="Dilators"/>
    <x v="57"/>
    <n v="157"/>
  </r>
  <r>
    <x v="57"/>
    <n v="2026"/>
    <x v="6"/>
    <x v="2"/>
    <s v="RX"/>
    <s v="Dilators"/>
    <x v="57"/>
    <n v="0"/>
  </r>
  <r>
    <x v="57"/>
    <n v="2026"/>
    <x v="7"/>
    <x v="2"/>
    <s v="RX"/>
    <s v="Dilators"/>
    <x v="57"/>
    <n v="0"/>
  </r>
  <r>
    <x v="57"/>
    <n v="2026"/>
    <x v="8"/>
    <x v="2"/>
    <s v="RX"/>
    <s v="Dilators"/>
    <x v="57"/>
    <n v="0"/>
  </r>
  <r>
    <x v="57"/>
    <n v="2026"/>
    <x v="9"/>
    <x v="2"/>
    <s v="RX"/>
    <s v="Dilators"/>
    <x v="57"/>
    <n v="0"/>
  </r>
  <r>
    <x v="57"/>
    <n v="2026"/>
    <x v="10"/>
    <x v="2"/>
    <s v="RX"/>
    <s v="Dilators"/>
    <x v="57"/>
    <n v="0"/>
  </r>
  <r>
    <x v="57"/>
    <n v="2026"/>
    <x v="11"/>
    <x v="2"/>
    <s v="RX"/>
    <s v="Dilators"/>
    <x v="57"/>
    <n v="0"/>
  </r>
  <r>
    <x v="58"/>
    <n v="2026"/>
    <x v="0"/>
    <x v="2"/>
    <s v="RX"/>
    <s v="IUDs Cu &amp; IUS &amp; IUB"/>
    <x v="58"/>
    <n v="4876"/>
  </r>
  <r>
    <x v="58"/>
    <n v="2026"/>
    <x v="1"/>
    <x v="2"/>
    <s v="RX"/>
    <s v="IUDs Cu &amp; IUS &amp; IUB"/>
    <x v="58"/>
    <n v="4500"/>
  </r>
  <r>
    <x v="58"/>
    <n v="2026"/>
    <x v="2"/>
    <x v="2"/>
    <s v="RX"/>
    <s v="IUDs Cu &amp; IUS &amp; IUB"/>
    <x v="58"/>
    <n v="4285"/>
  </r>
  <r>
    <x v="58"/>
    <n v="2026"/>
    <x v="3"/>
    <x v="2"/>
    <s v="RX"/>
    <s v="IUDs Cu &amp; IUS &amp; IUB"/>
    <x v="58"/>
    <n v="3909"/>
  </r>
  <r>
    <x v="58"/>
    <n v="2026"/>
    <x v="4"/>
    <x v="2"/>
    <s v="RX"/>
    <s v="IUDs Cu &amp; IUS &amp; IUB"/>
    <x v="58"/>
    <n v="3719"/>
  </r>
  <r>
    <x v="58"/>
    <n v="2026"/>
    <x v="5"/>
    <x v="2"/>
    <s v="RX"/>
    <s v="IUDs Cu &amp; IUS &amp; IUB"/>
    <x v="58"/>
    <n v="3339"/>
  </r>
  <r>
    <x v="58"/>
    <n v="2026"/>
    <x v="6"/>
    <x v="2"/>
    <s v="RX"/>
    <s v="IUDs Cu &amp; IUS &amp; IUB"/>
    <x v="58"/>
    <n v="3039"/>
  </r>
  <r>
    <x v="58"/>
    <n v="2026"/>
    <x v="7"/>
    <x v="2"/>
    <s v="RX"/>
    <s v="IUDs Cu &amp; IUS &amp; IUB"/>
    <x v="58"/>
    <n v="3039"/>
  </r>
  <r>
    <x v="58"/>
    <n v="2026"/>
    <x v="8"/>
    <x v="2"/>
    <s v="RX"/>
    <s v="IUDs Cu &amp; IUS &amp; IUB"/>
    <x v="58"/>
    <n v="3039"/>
  </r>
  <r>
    <x v="58"/>
    <n v="2026"/>
    <x v="9"/>
    <x v="2"/>
    <s v="RX"/>
    <s v="IUDs Cu &amp; IUS &amp; IUB"/>
    <x v="58"/>
    <n v="3039"/>
  </r>
  <r>
    <x v="58"/>
    <n v="2026"/>
    <x v="10"/>
    <x v="2"/>
    <s v="RX"/>
    <s v="IUDs Cu &amp; IUS &amp; IUB"/>
    <x v="58"/>
    <n v="3039"/>
  </r>
  <r>
    <x v="58"/>
    <n v="2026"/>
    <x v="11"/>
    <x v="2"/>
    <s v="RX"/>
    <s v="IUDs Cu &amp; IUS &amp; IUB"/>
    <x v="58"/>
    <n v="3039"/>
  </r>
  <r>
    <x v="59"/>
    <n v="2026"/>
    <x v="0"/>
    <x v="2"/>
    <s v="RX"/>
    <s v="IUDs Cu &amp; IUS &amp; IUB"/>
    <x v="59"/>
    <n v="10809"/>
  </r>
  <r>
    <x v="59"/>
    <n v="2026"/>
    <x v="1"/>
    <x v="2"/>
    <s v="RX"/>
    <s v="IUDs Cu &amp; IUS &amp; IUB"/>
    <x v="59"/>
    <n v="10327"/>
  </r>
  <r>
    <x v="59"/>
    <n v="2026"/>
    <x v="2"/>
    <x v="2"/>
    <s v="RX"/>
    <s v="IUDs Cu &amp; IUS &amp; IUB"/>
    <x v="59"/>
    <n v="10017"/>
  </r>
  <r>
    <x v="59"/>
    <n v="2026"/>
    <x v="3"/>
    <x v="2"/>
    <s v="RX"/>
    <s v="IUDs Cu &amp; IUS &amp; IUB"/>
    <x v="59"/>
    <n v="9568"/>
  </r>
  <r>
    <x v="59"/>
    <n v="2026"/>
    <x v="4"/>
    <x v="2"/>
    <s v="RX"/>
    <s v="IUDs Cu &amp; IUS &amp; IUB"/>
    <x v="59"/>
    <n v="9456"/>
  </r>
  <r>
    <x v="59"/>
    <n v="2026"/>
    <x v="5"/>
    <x v="2"/>
    <s v="RX"/>
    <s v="IUDs Cu &amp; IUS &amp; IUB"/>
    <x v="59"/>
    <n v="9016"/>
  </r>
  <r>
    <x v="59"/>
    <n v="2026"/>
    <x v="6"/>
    <x v="2"/>
    <s v="RX"/>
    <s v="IUDs Cu &amp; IUS &amp; IUB"/>
    <x v="59"/>
    <n v="8586"/>
  </r>
  <r>
    <x v="59"/>
    <n v="2026"/>
    <x v="7"/>
    <x v="2"/>
    <s v="RX"/>
    <s v="IUDs Cu &amp; IUS &amp; IUB"/>
    <x v="59"/>
    <n v="8586"/>
  </r>
  <r>
    <x v="59"/>
    <n v="2026"/>
    <x v="8"/>
    <x v="2"/>
    <s v="RX"/>
    <s v="IUDs Cu &amp; IUS &amp; IUB"/>
    <x v="59"/>
    <n v="8586"/>
  </r>
  <r>
    <x v="59"/>
    <n v="2026"/>
    <x v="9"/>
    <x v="2"/>
    <s v="RX"/>
    <s v="IUDs Cu &amp; IUS &amp; IUB"/>
    <x v="59"/>
    <n v="8586"/>
  </r>
  <r>
    <x v="59"/>
    <n v="2026"/>
    <x v="10"/>
    <x v="2"/>
    <s v="RX"/>
    <s v="IUDs Cu &amp; IUS &amp; IUB"/>
    <x v="59"/>
    <n v="8586"/>
  </r>
  <r>
    <x v="59"/>
    <n v="2026"/>
    <x v="11"/>
    <x v="2"/>
    <s v="RX"/>
    <s v="IUDs Cu &amp; IUS &amp; IUB"/>
    <x v="59"/>
    <n v="8586"/>
  </r>
  <r>
    <x v="60"/>
    <n v="2026"/>
    <x v="0"/>
    <x v="2"/>
    <s v="RX"/>
    <s v="IUDs Cu &amp; IUS &amp; IUB"/>
    <x v="60"/>
    <n v="11231"/>
  </r>
  <r>
    <x v="60"/>
    <n v="2026"/>
    <x v="1"/>
    <x v="2"/>
    <s v="RX"/>
    <s v="IUDs Cu &amp; IUS &amp; IUB"/>
    <x v="60"/>
    <n v="7945"/>
  </r>
  <r>
    <x v="60"/>
    <n v="2026"/>
    <x v="2"/>
    <x v="2"/>
    <s v="RX"/>
    <s v="IUDs Cu &amp; IUS &amp; IUB"/>
    <x v="60"/>
    <n v="6355"/>
  </r>
  <r>
    <x v="60"/>
    <n v="2026"/>
    <x v="3"/>
    <x v="2"/>
    <s v="RX"/>
    <s v="IUDs Cu &amp; IUS &amp; IUB"/>
    <x v="60"/>
    <n v="3228"/>
  </r>
  <r>
    <x v="60"/>
    <n v="2026"/>
    <x v="4"/>
    <x v="2"/>
    <s v="RX"/>
    <s v="IUDs Cu &amp; IUS &amp; IUB"/>
    <x v="60"/>
    <n v="2016"/>
  </r>
  <r>
    <x v="60"/>
    <n v="2026"/>
    <x v="5"/>
    <x v="2"/>
    <s v="RX"/>
    <s v="IUDs Cu &amp; IUS &amp; IUB"/>
    <x v="60"/>
    <n v="0"/>
  </r>
  <r>
    <x v="60"/>
    <n v="2026"/>
    <x v="6"/>
    <x v="2"/>
    <s v="RX"/>
    <s v="IUDs Cu &amp; IUS &amp; IUB"/>
    <x v="60"/>
    <n v="0"/>
  </r>
  <r>
    <x v="60"/>
    <n v="2026"/>
    <x v="7"/>
    <x v="2"/>
    <s v="RX"/>
    <s v="IUDs Cu &amp; IUS &amp; IUB"/>
    <x v="60"/>
    <n v="0"/>
  </r>
  <r>
    <x v="60"/>
    <n v="2026"/>
    <x v="8"/>
    <x v="2"/>
    <s v="RX"/>
    <s v="IUDs Cu &amp; IUS &amp; IUB"/>
    <x v="60"/>
    <n v="0"/>
  </r>
  <r>
    <x v="60"/>
    <n v="2026"/>
    <x v="9"/>
    <x v="2"/>
    <s v="RX"/>
    <s v="IUDs Cu &amp; IUS &amp; IUB"/>
    <x v="60"/>
    <n v="0"/>
  </r>
  <r>
    <x v="60"/>
    <n v="2026"/>
    <x v="10"/>
    <x v="2"/>
    <s v="RX"/>
    <s v="IUDs Cu &amp; IUS &amp; IUB"/>
    <x v="60"/>
    <n v="0"/>
  </r>
  <r>
    <x v="60"/>
    <n v="2026"/>
    <x v="11"/>
    <x v="2"/>
    <s v="RX"/>
    <s v="IUDs Cu &amp; IUS &amp; IUB"/>
    <x v="60"/>
    <n v="0"/>
  </r>
  <r>
    <x v="61"/>
    <n v="2026"/>
    <x v="0"/>
    <x v="2"/>
    <s v="RX"/>
    <s v="IUDs Cu &amp; IUS &amp; IUB"/>
    <x v="61"/>
    <n v="11057"/>
  </r>
  <r>
    <x v="61"/>
    <n v="2026"/>
    <x v="1"/>
    <x v="2"/>
    <s v="RX"/>
    <s v="IUDs Cu &amp; IUS &amp; IUB"/>
    <x v="61"/>
    <n v="9937"/>
  </r>
  <r>
    <x v="61"/>
    <n v="2026"/>
    <x v="2"/>
    <x v="2"/>
    <s v="RX"/>
    <s v="IUDs Cu &amp; IUS &amp; IUB"/>
    <x v="61"/>
    <n v="8665"/>
  </r>
  <r>
    <x v="61"/>
    <n v="2026"/>
    <x v="3"/>
    <x v="2"/>
    <s v="RX"/>
    <s v="IUDs Cu &amp; IUS &amp; IUB"/>
    <x v="61"/>
    <n v="7181"/>
  </r>
  <r>
    <x v="61"/>
    <n v="2026"/>
    <x v="4"/>
    <x v="2"/>
    <s v="RX"/>
    <s v="IUDs Cu &amp; IUS &amp; IUB"/>
    <x v="61"/>
    <n v="6058"/>
  </r>
  <r>
    <x v="61"/>
    <n v="2026"/>
    <x v="5"/>
    <x v="2"/>
    <s v="RX"/>
    <s v="IUDs Cu &amp; IUS &amp; IUB"/>
    <x v="61"/>
    <n v="4828"/>
  </r>
  <r>
    <x v="61"/>
    <n v="2026"/>
    <x v="6"/>
    <x v="2"/>
    <s v="RX"/>
    <s v="IUDs Cu &amp; IUS &amp; IUB"/>
    <x v="61"/>
    <n v="3588"/>
  </r>
  <r>
    <x v="61"/>
    <n v="2026"/>
    <x v="7"/>
    <x v="2"/>
    <s v="RX"/>
    <s v="IUDs Cu &amp; IUS &amp; IUB"/>
    <x v="61"/>
    <n v="3588"/>
  </r>
  <r>
    <x v="61"/>
    <n v="2026"/>
    <x v="8"/>
    <x v="2"/>
    <s v="RX"/>
    <s v="IUDs Cu &amp; IUS &amp; IUB"/>
    <x v="61"/>
    <n v="3588"/>
  </r>
  <r>
    <x v="61"/>
    <n v="2026"/>
    <x v="9"/>
    <x v="2"/>
    <s v="RX"/>
    <s v="IUDs Cu &amp; IUS &amp; IUB"/>
    <x v="61"/>
    <n v="3588"/>
  </r>
  <r>
    <x v="61"/>
    <n v="2026"/>
    <x v="10"/>
    <x v="2"/>
    <s v="RX"/>
    <s v="IUDs Cu &amp; IUS &amp; IUB"/>
    <x v="61"/>
    <n v="3588"/>
  </r>
  <r>
    <x v="61"/>
    <n v="2026"/>
    <x v="11"/>
    <x v="2"/>
    <s v="RX"/>
    <s v="IUDs Cu &amp; IUS &amp; IUB"/>
    <x v="61"/>
    <n v="3588"/>
  </r>
  <r>
    <x v="62"/>
    <n v="2026"/>
    <x v="0"/>
    <x v="2"/>
    <s v="RX"/>
    <s v="IUDs Cu &amp; IUS &amp; IUB"/>
    <x v="62"/>
    <n v="6024"/>
  </r>
  <r>
    <x v="62"/>
    <n v="2026"/>
    <x v="1"/>
    <x v="2"/>
    <s v="RX"/>
    <s v="IUDs Cu &amp; IUS &amp; IUB"/>
    <x v="62"/>
    <n v="5917"/>
  </r>
  <r>
    <x v="62"/>
    <n v="2026"/>
    <x v="2"/>
    <x v="2"/>
    <s v="RX"/>
    <s v="IUDs Cu &amp; IUS &amp; IUB"/>
    <x v="62"/>
    <n v="5789"/>
  </r>
  <r>
    <x v="62"/>
    <n v="2026"/>
    <x v="3"/>
    <x v="2"/>
    <s v="RX"/>
    <s v="IUDs Cu &amp; IUS &amp; IUB"/>
    <x v="62"/>
    <n v="5509"/>
  </r>
  <r>
    <x v="62"/>
    <n v="2026"/>
    <x v="4"/>
    <x v="2"/>
    <s v="RX"/>
    <s v="IUDs Cu &amp; IUS &amp; IUB"/>
    <x v="62"/>
    <n v="5389"/>
  </r>
  <r>
    <x v="62"/>
    <n v="2026"/>
    <x v="5"/>
    <x v="2"/>
    <s v="RX"/>
    <s v="IUDs Cu &amp; IUS &amp; IUB"/>
    <x v="62"/>
    <n v="5179"/>
  </r>
  <r>
    <x v="62"/>
    <n v="2026"/>
    <x v="6"/>
    <x v="2"/>
    <s v="RX"/>
    <s v="IUDs Cu &amp; IUS &amp; IUB"/>
    <x v="62"/>
    <n v="4849"/>
  </r>
  <r>
    <x v="62"/>
    <n v="2026"/>
    <x v="7"/>
    <x v="2"/>
    <s v="RX"/>
    <s v="IUDs Cu &amp; IUS &amp; IUB"/>
    <x v="62"/>
    <n v="4849"/>
  </r>
  <r>
    <x v="62"/>
    <n v="2026"/>
    <x v="8"/>
    <x v="2"/>
    <s v="RX"/>
    <s v="IUDs Cu &amp; IUS &amp; IUB"/>
    <x v="62"/>
    <n v="4849"/>
  </r>
  <r>
    <x v="62"/>
    <n v="2026"/>
    <x v="9"/>
    <x v="2"/>
    <s v="RX"/>
    <s v="IUDs Cu &amp; IUS &amp; IUB"/>
    <x v="62"/>
    <n v="4849"/>
  </r>
  <r>
    <x v="62"/>
    <n v="2026"/>
    <x v="10"/>
    <x v="2"/>
    <s v="RX"/>
    <s v="IUDs Cu &amp; IUS &amp; IUB"/>
    <x v="62"/>
    <n v="4849"/>
  </r>
  <r>
    <x v="62"/>
    <n v="2026"/>
    <x v="11"/>
    <x v="2"/>
    <s v="RX"/>
    <s v="IUDs Cu &amp; IUS &amp; IUB"/>
    <x v="62"/>
    <n v="4849"/>
  </r>
  <r>
    <x v="63"/>
    <n v="2026"/>
    <x v="0"/>
    <x v="2"/>
    <s v="RX"/>
    <s v="IUDs Cu &amp; IUS &amp; IUB"/>
    <x v="63"/>
    <n v="7164"/>
  </r>
  <r>
    <x v="63"/>
    <n v="2026"/>
    <x v="1"/>
    <x v="2"/>
    <s v="RX"/>
    <s v="IUDs Cu &amp; IUS &amp; IUB"/>
    <x v="63"/>
    <n v="7100"/>
  </r>
  <r>
    <x v="63"/>
    <n v="2026"/>
    <x v="2"/>
    <x v="2"/>
    <s v="RX"/>
    <s v="IUDs Cu &amp; IUS &amp; IUB"/>
    <x v="63"/>
    <n v="7036"/>
  </r>
  <r>
    <x v="63"/>
    <n v="2026"/>
    <x v="3"/>
    <x v="2"/>
    <s v="RX"/>
    <s v="IUDs Cu &amp; IUS &amp; IUB"/>
    <x v="63"/>
    <n v="6856"/>
  </r>
  <r>
    <x v="63"/>
    <n v="2026"/>
    <x v="4"/>
    <x v="2"/>
    <s v="RX"/>
    <s v="IUDs Cu &amp; IUS &amp; IUB"/>
    <x v="63"/>
    <n v="6826"/>
  </r>
  <r>
    <x v="63"/>
    <n v="2026"/>
    <x v="5"/>
    <x v="2"/>
    <s v="RX"/>
    <s v="IUDs Cu &amp; IUS &amp; IUB"/>
    <x v="63"/>
    <n v="6756"/>
  </r>
  <r>
    <x v="63"/>
    <n v="2026"/>
    <x v="6"/>
    <x v="2"/>
    <s v="RX"/>
    <s v="IUDs Cu &amp; IUS &amp; IUB"/>
    <x v="63"/>
    <n v="6676"/>
  </r>
  <r>
    <x v="63"/>
    <n v="2026"/>
    <x v="7"/>
    <x v="2"/>
    <s v="RX"/>
    <s v="IUDs Cu &amp; IUS &amp; IUB"/>
    <x v="63"/>
    <n v="6676"/>
  </r>
  <r>
    <x v="63"/>
    <n v="2026"/>
    <x v="8"/>
    <x v="2"/>
    <s v="RX"/>
    <s v="IUDs Cu &amp; IUS &amp; IUB"/>
    <x v="63"/>
    <n v="6676"/>
  </r>
  <r>
    <x v="63"/>
    <n v="2026"/>
    <x v="9"/>
    <x v="2"/>
    <s v="RX"/>
    <s v="IUDs Cu &amp; IUS &amp; IUB"/>
    <x v="63"/>
    <n v="6676"/>
  </r>
  <r>
    <x v="63"/>
    <n v="2026"/>
    <x v="10"/>
    <x v="2"/>
    <s v="RX"/>
    <s v="IUDs Cu &amp; IUS &amp; IUB"/>
    <x v="63"/>
    <n v="6676"/>
  </r>
  <r>
    <x v="63"/>
    <n v="2026"/>
    <x v="11"/>
    <x v="2"/>
    <s v="RX"/>
    <s v="IUDs Cu &amp; IUS &amp; IUB"/>
    <x v="63"/>
    <n v="6676"/>
  </r>
  <r>
    <x v="64"/>
    <n v="2026"/>
    <x v="0"/>
    <x v="2"/>
    <s v="RX"/>
    <s v="Hysterometer"/>
    <x v="64"/>
    <n v="14269"/>
  </r>
  <r>
    <x v="64"/>
    <n v="2026"/>
    <x v="1"/>
    <x v="2"/>
    <s v="RX"/>
    <s v="Hysterometer"/>
    <x v="64"/>
    <n v="8269"/>
  </r>
  <r>
    <x v="64"/>
    <n v="2026"/>
    <x v="2"/>
    <x v="2"/>
    <s v="RX"/>
    <s v="Hysterometer"/>
    <x v="64"/>
    <n v="16669"/>
  </r>
  <r>
    <x v="64"/>
    <n v="2026"/>
    <x v="3"/>
    <x v="2"/>
    <s v="RX"/>
    <s v="Hysterometer"/>
    <x v="64"/>
    <n v="8597"/>
  </r>
  <r>
    <x v="64"/>
    <n v="2026"/>
    <x v="4"/>
    <x v="2"/>
    <s v="RX"/>
    <s v="Hysterometer"/>
    <x v="64"/>
    <n v="7397"/>
  </r>
  <r>
    <x v="64"/>
    <n v="2026"/>
    <x v="5"/>
    <x v="2"/>
    <s v="RX"/>
    <s v="Hysterometer"/>
    <x v="64"/>
    <n v="6197"/>
  </r>
  <r>
    <x v="64"/>
    <n v="2026"/>
    <x v="6"/>
    <x v="2"/>
    <s v="RX"/>
    <s v="Hysterometer"/>
    <x v="64"/>
    <n v="4197"/>
  </r>
  <r>
    <x v="64"/>
    <n v="2026"/>
    <x v="7"/>
    <x v="2"/>
    <s v="RX"/>
    <s v="Hysterometer"/>
    <x v="64"/>
    <n v="4197"/>
  </r>
  <r>
    <x v="64"/>
    <n v="2026"/>
    <x v="8"/>
    <x v="2"/>
    <s v="RX"/>
    <s v="Hysterometer"/>
    <x v="64"/>
    <n v="4197"/>
  </r>
  <r>
    <x v="64"/>
    <n v="2026"/>
    <x v="9"/>
    <x v="2"/>
    <s v="RX"/>
    <s v="Hysterometer"/>
    <x v="64"/>
    <n v="4197"/>
  </r>
  <r>
    <x v="64"/>
    <n v="2026"/>
    <x v="10"/>
    <x v="2"/>
    <s v="RX"/>
    <s v="Hysterometer"/>
    <x v="64"/>
    <n v="4197"/>
  </r>
  <r>
    <x v="64"/>
    <n v="2026"/>
    <x v="11"/>
    <x v="2"/>
    <s v="RX"/>
    <s v="Hysterometer"/>
    <x v="64"/>
    <n v="4197"/>
  </r>
  <r>
    <x v="65"/>
    <n v="2026"/>
    <x v="0"/>
    <x v="2"/>
    <s v="RX"/>
    <s v="Injetable"/>
    <x v="65"/>
    <n v="33100"/>
  </r>
  <r>
    <x v="65"/>
    <n v="2026"/>
    <x v="1"/>
    <x v="2"/>
    <s v="RX"/>
    <s v="Injetable"/>
    <x v="65"/>
    <n v="32600"/>
  </r>
  <r>
    <x v="65"/>
    <n v="2026"/>
    <x v="2"/>
    <x v="2"/>
    <s v="RX"/>
    <s v="Injetable"/>
    <x v="65"/>
    <n v="32100"/>
  </r>
  <r>
    <x v="65"/>
    <n v="2026"/>
    <x v="3"/>
    <x v="2"/>
    <s v="RX"/>
    <s v="Injetable"/>
    <x v="65"/>
    <n v="31100"/>
  </r>
  <r>
    <x v="65"/>
    <n v="2026"/>
    <x v="4"/>
    <x v="2"/>
    <s v="RX"/>
    <s v="Injetable"/>
    <x v="65"/>
    <n v="30100"/>
  </r>
  <r>
    <x v="65"/>
    <n v="2026"/>
    <x v="5"/>
    <x v="2"/>
    <s v="RX"/>
    <s v="Injetable"/>
    <x v="65"/>
    <n v="29100"/>
  </r>
  <r>
    <x v="65"/>
    <n v="2026"/>
    <x v="6"/>
    <x v="2"/>
    <s v="RX"/>
    <s v="Injetable"/>
    <x v="65"/>
    <n v="28100"/>
  </r>
  <r>
    <x v="65"/>
    <n v="2026"/>
    <x v="7"/>
    <x v="2"/>
    <s v="RX"/>
    <s v="Injetable"/>
    <x v="65"/>
    <n v="28100"/>
  </r>
  <r>
    <x v="65"/>
    <n v="2026"/>
    <x v="8"/>
    <x v="2"/>
    <s v="RX"/>
    <s v="Injetable"/>
    <x v="65"/>
    <n v="28100"/>
  </r>
  <r>
    <x v="65"/>
    <n v="2026"/>
    <x v="9"/>
    <x v="2"/>
    <s v="RX"/>
    <s v="Injetable"/>
    <x v="65"/>
    <n v="28100"/>
  </r>
  <r>
    <x v="65"/>
    <n v="2026"/>
    <x v="10"/>
    <x v="2"/>
    <s v="RX"/>
    <s v="Injetable"/>
    <x v="65"/>
    <n v="28100"/>
  </r>
  <r>
    <x v="65"/>
    <n v="2026"/>
    <x v="11"/>
    <x v="2"/>
    <s v="RX"/>
    <s v="Injetable"/>
    <x v="65"/>
    <n v="28100"/>
  </r>
  <r>
    <x v="66"/>
    <n v="2026"/>
    <x v="0"/>
    <x v="2"/>
    <s v="RX"/>
    <s v="EC"/>
    <x v="66"/>
    <n v="530000"/>
  </r>
  <r>
    <x v="66"/>
    <n v="2026"/>
    <x v="1"/>
    <x v="2"/>
    <s v="RX"/>
    <s v="EC"/>
    <x v="66"/>
    <n v="1250000"/>
  </r>
  <r>
    <x v="66"/>
    <n v="2026"/>
    <x v="2"/>
    <x v="2"/>
    <s v="RX"/>
    <s v="EC"/>
    <x v="66"/>
    <n v="1190000"/>
  </r>
  <r>
    <x v="66"/>
    <n v="2026"/>
    <x v="3"/>
    <x v="2"/>
    <s v="RX"/>
    <s v="EC"/>
    <x v="66"/>
    <n v="954000"/>
  </r>
  <r>
    <x v="66"/>
    <n v="2026"/>
    <x v="4"/>
    <x v="2"/>
    <s v="RX"/>
    <s v="EC"/>
    <x v="66"/>
    <n v="1090000"/>
  </r>
  <r>
    <x v="66"/>
    <n v="2026"/>
    <x v="5"/>
    <x v="2"/>
    <s v="RX"/>
    <s v="EC"/>
    <x v="66"/>
    <n v="730000"/>
  </r>
  <r>
    <x v="66"/>
    <n v="2026"/>
    <x v="6"/>
    <x v="2"/>
    <s v="RX"/>
    <s v="EC"/>
    <x v="66"/>
    <n v="606000"/>
  </r>
  <r>
    <x v="66"/>
    <n v="2026"/>
    <x v="7"/>
    <x v="2"/>
    <s v="RX"/>
    <s v="EC"/>
    <x v="66"/>
    <n v="606000"/>
  </r>
  <r>
    <x v="66"/>
    <n v="2026"/>
    <x v="8"/>
    <x v="2"/>
    <s v="RX"/>
    <s v="EC"/>
    <x v="66"/>
    <n v="606000"/>
  </r>
  <r>
    <x v="66"/>
    <n v="2026"/>
    <x v="9"/>
    <x v="2"/>
    <s v="RX"/>
    <s v="EC"/>
    <x v="66"/>
    <n v="606000"/>
  </r>
  <r>
    <x v="66"/>
    <n v="2026"/>
    <x v="10"/>
    <x v="2"/>
    <s v="RX"/>
    <s v="EC"/>
    <x v="66"/>
    <n v="606000"/>
  </r>
  <r>
    <x v="66"/>
    <n v="2026"/>
    <x v="11"/>
    <x v="2"/>
    <s v="RX"/>
    <s v="EC"/>
    <x v="66"/>
    <n v="606000"/>
  </r>
  <r>
    <x v="0"/>
    <n v="2026"/>
    <x v="0"/>
    <x v="3"/>
    <s v="Preservativo Masculino"/>
    <s v="Básico"/>
    <x v="0"/>
    <n v="6000"/>
  </r>
  <r>
    <x v="0"/>
    <n v="2026"/>
    <x v="1"/>
    <x v="3"/>
    <s v="Preservativo Masculino"/>
    <s v="Básico"/>
    <x v="0"/>
    <n v="15000"/>
  </r>
  <r>
    <x v="0"/>
    <n v="2026"/>
    <x v="2"/>
    <x v="3"/>
    <s v="Preservativo Masculino"/>
    <s v="Básico"/>
    <x v="0"/>
    <n v="6000"/>
  </r>
  <r>
    <x v="0"/>
    <n v="2026"/>
    <x v="3"/>
    <x v="3"/>
    <s v="Preservativo Masculino"/>
    <s v="Básico"/>
    <x v="0"/>
    <n v="9000"/>
  </r>
  <r>
    <x v="0"/>
    <n v="2026"/>
    <x v="4"/>
    <x v="3"/>
    <s v="Preservativo Masculino"/>
    <s v="Básico"/>
    <x v="0"/>
    <n v="0"/>
  </r>
  <r>
    <x v="0"/>
    <n v="2026"/>
    <x v="5"/>
    <x v="3"/>
    <s v="Preservativo Masculino"/>
    <s v="Básico"/>
    <x v="0"/>
    <n v="0"/>
  </r>
  <r>
    <x v="0"/>
    <n v="2026"/>
    <x v="6"/>
    <x v="3"/>
    <s v="Preservativo Masculino"/>
    <s v="Básico"/>
    <x v="0"/>
    <n v="0"/>
  </r>
  <r>
    <x v="0"/>
    <n v="2026"/>
    <x v="7"/>
    <x v="3"/>
    <s v="Preservativo Masculino"/>
    <s v="Básico"/>
    <x v="0"/>
    <n v="0"/>
  </r>
  <r>
    <x v="0"/>
    <n v="2026"/>
    <x v="8"/>
    <x v="3"/>
    <s v="Preservativo Masculino"/>
    <s v="Básico"/>
    <x v="0"/>
    <n v="0"/>
  </r>
  <r>
    <x v="0"/>
    <n v="2026"/>
    <x v="9"/>
    <x v="3"/>
    <s v="Preservativo Masculino"/>
    <s v="Básico"/>
    <x v="0"/>
    <n v="0"/>
  </r>
  <r>
    <x v="0"/>
    <n v="2026"/>
    <x v="10"/>
    <x v="3"/>
    <s v="Preservativo Masculino"/>
    <s v="Básico"/>
    <x v="0"/>
    <n v="0"/>
  </r>
  <r>
    <x v="0"/>
    <n v="2026"/>
    <x v="11"/>
    <x v="3"/>
    <s v="Preservativo Masculino"/>
    <s v="Básico"/>
    <x v="0"/>
    <n v="0"/>
  </r>
  <r>
    <x v="1"/>
    <n v="2026"/>
    <x v="0"/>
    <x v="3"/>
    <s v="Preservativo Masculino"/>
    <s v="Básico"/>
    <x v="1"/>
    <n v="0"/>
  </r>
  <r>
    <x v="1"/>
    <n v="2026"/>
    <x v="1"/>
    <x v="3"/>
    <s v="Preservativo Masculino"/>
    <s v="Básico"/>
    <x v="1"/>
    <n v="0"/>
  </r>
  <r>
    <x v="1"/>
    <n v="2026"/>
    <x v="2"/>
    <x v="3"/>
    <s v="Preservativo Masculino"/>
    <s v="Básico"/>
    <x v="1"/>
    <n v="0"/>
  </r>
  <r>
    <x v="1"/>
    <n v="2026"/>
    <x v="3"/>
    <x v="3"/>
    <s v="Preservativo Masculino"/>
    <s v="Básico"/>
    <x v="1"/>
    <n v="4200"/>
  </r>
  <r>
    <x v="1"/>
    <n v="2026"/>
    <x v="4"/>
    <x v="3"/>
    <s v="Preservativo Masculino"/>
    <s v="Básico"/>
    <x v="1"/>
    <n v="4200"/>
  </r>
  <r>
    <x v="1"/>
    <n v="2026"/>
    <x v="5"/>
    <x v="3"/>
    <s v="Preservativo Masculino"/>
    <s v="Básico"/>
    <x v="1"/>
    <n v="0"/>
  </r>
  <r>
    <x v="1"/>
    <n v="2026"/>
    <x v="6"/>
    <x v="3"/>
    <s v="Preservativo Masculino"/>
    <s v="Básico"/>
    <x v="1"/>
    <n v="0"/>
  </r>
  <r>
    <x v="1"/>
    <n v="2026"/>
    <x v="7"/>
    <x v="3"/>
    <s v="Preservativo Masculino"/>
    <s v="Básico"/>
    <x v="1"/>
    <n v="0"/>
  </r>
  <r>
    <x v="1"/>
    <n v="2026"/>
    <x v="8"/>
    <x v="3"/>
    <s v="Preservativo Masculino"/>
    <s v="Básico"/>
    <x v="1"/>
    <n v="0"/>
  </r>
  <r>
    <x v="1"/>
    <n v="2026"/>
    <x v="9"/>
    <x v="3"/>
    <s v="Preservativo Masculino"/>
    <s v="Básico"/>
    <x v="1"/>
    <n v="0"/>
  </r>
  <r>
    <x v="1"/>
    <n v="2026"/>
    <x v="10"/>
    <x v="3"/>
    <s v="Preservativo Masculino"/>
    <s v="Básico"/>
    <x v="1"/>
    <n v="0"/>
  </r>
  <r>
    <x v="1"/>
    <n v="2026"/>
    <x v="11"/>
    <x v="3"/>
    <s v="Preservativo Masculino"/>
    <s v="Básico"/>
    <x v="1"/>
    <n v="0"/>
  </r>
  <r>
    <x v="2"/>
    <n v="2026"/>
    <x v="0"/>
    <x v="3"/>
    <s v="Preservativo Masculino"/>
    <s v="Básico"/>
    <x v="2"/>
    <n v="0"/>
  </r>
  <r>
    <x v="2"/>
    <n v="2026"/>
    <x v="1"/>
    <x v="3"/>
    <s v="Preservativo Masculino"/>
    <s v="Básico"/>
    <x v="2"/>
    <n v="0"/>
  </r>
  <r>
    <x v="2"/>
    <n v="2026"/>
    <x v="2"/>
    <x v="3"/>
    <s v="Preservativo Masculino"/>
    <s v="Básico"/>
    <x v="2"/>
    <n v="0"/>
  </r>
  <r>
    <x v="2"/>
    <n v="2026"/>
    <x v="3"/>
    <x v="3"/>
    <s v="Preservativo Masculino"/>
    <s v="Básico"/>
    <x v="2"/>
    <n v="0"/>
  </r>
  <r>
    <x v="2"/>
    <n v="2026"/>
    <x v="4"/>
    <x v="3"/>
    <s v="Preservativo Masculino"/>
    <s v="Básico"/>
    <x v="2"/>
    <n v="0"/>
  </r>
  <r>
    <x v="2"/>
    <n v="2026"/>
    <x v="5"/>
    <x v="3"/>
    <s v="Preservativo Masculino"/>
    <s v="Básico"/>
    <x v="2"/>
    <n v="0"/>
  </r>
  <r>
    <x v="2"/>
    <n v="2026"/>
    <x v="6"/>
    <x v="3"/>
    <s v="Preservativo Masculino"/>
    <s v="Básico"/>
    <x v="2"/>
    <n v="0"/>
  </r>
  <r>
    <x v="2"/>
    <n v="2026"/>
    <x v="7"/>
    <x v="3"/>
    <s v="Preservativo Masculino"/>
    <s v="Básico"/>
    <x v="2"/>
    <n v="0"/>
  </r>
  <r>
    <x v="2"/>
    <n v="2026"/>
    <x v="8"/>
    <x v="3"/>
    <s v="Preservativo Masculino"/>
    <s v="Básico"/>
    <x v="2"/>
    <n v="0"/>
  </r>
  <r>
    <x v="2"/>
    <n v="2026"/>
    <x v="9"/>
    <x v="3"/>
    <s v="Preservativo Masculino"/>
    <s v="Básico"/>
    <x v="2"/>
    <n v="0"/>
  </r>
  <r>
    <x v="2"/>
    <n v="2026"/>
    <x v="10"/>
    <x v="3"/>
    <s v="Preservativo Masculino"/>
    <s v="Básico"/>
    <x v="2"/>
    <n v="0"/>
  </r>
  <r>
    <x v="2"/>
    <n v="2026"/>
    <x v="11"/>
    <x v="3"/>
    <s v="Preservativo Masculino"/>
    <s v="Básico"/>
    <x v="2"/>
    <n v="0"/>
  </r>
  <r>
    <x v="3"/>
    <n v="2026"/>
    <x v="0"/>
    <x v="3"/>
    <s v="Preservativo Masculino"/>
    <s v="Cores e Sabores"/>
    <x v="3"/>
    <n v="0"/>
  </r>
  <r>
    <x v="3"/>
    <n v="2026"/>
    <x v="1"/>
    <x v="3"/>
    <s v="Preservativo Masculino"/>
    <s v="Cores e Sabores"/>
    <x v="3"/>
    <n v="6000"/>
  </r>
  <r>
    <x v="3"/>
    <n v="2026"/>
    <x v="2"/>
    <x v="3"/>
    <s v="Preservativo Masculino"/>
    <s v="Cores e Sabores"/>
    <x v="3"/>
    <n v="6000"/>
  </r>
  <r>
    <x v="3"/>
    <n v="2026"/>
    <x v="3"/>
    <x v="3"/>
    <s v="Preservativo Masculino"/>
    <s v="Cores e Sabores"/>
    <x v="3"/>
    <n v="0"/>
  </r>
  <r>
    <x v="3"/>
    <n v="2026"/>
    <x v="4"/>
    <x v="3"/>
    <s v="Preservativo Masculino"/>
    <s v="Cores e Sabores"/>
    <x v="3"/>
    <n v="0"/>
  </r>
  <r>
    <x v="3"/>
    <n v="2026"/>
    <x v="5"/>
    <x v="3"/>
    <s v="Preservativo Masculino"/>
    <s v="Cores e Sabores"/>
    <x v="3"/>
    <n v="0"/>
  </r>
  <r>
    <x v="3"/>
    <n v="2026"/>
    <x v="6"/>
    <x v="3"/>
    <s v="Preservativo Masculino"/>
    <s v="Cores e Sabores"/>
    <x v="3"/>
    <n v="0"/>
  </r>
  <r>
    <x v="3"/>
    <n v="2026"/>
    <x v="7"/>
    <x v="3"/>
    <s v="Preservativo Masculino"/>
    <s v="Cores e Sabores"/>
    <x v="3"/>
    <n v="0"/>
  </r>
  <r>
    <x v="3"/>
    <n v="2026"/>
    <x v="8"/>
    <x v="3"/>
    <s v="Preservativo Masculino"/>
    <s v="Cores e Sabores"/>
    <x v="3"/>
    <n v="0"/>
  </r>
  <r>
    <x v="3"/>
    <n v="2026"/>
    <x v="9"/>
    <x v="3"/>
    <s v="Preservativo Masculino"/>
    <s v="Cores e Sabores"/>
    <x v="3"/>
    <n v="0"/>
  </r>
  <r>
    <x v="3"/>
    <n v="2026"/>
    <x v="10"/>
    <x v="3"/>
    <s v="Preservativo Masculino"/>
    <s v="Cores e Sabores"/>
    <x v="3"/>
    <n v="0"/>
  </r>
  <r>
    <x v="3"/>
    <n v="2026"/>
    <x v="11"/>
    <x v="3"/>
    <s v="Preservativo Masculino"/>
    <s v="Cores e Sabores"/>
    <x v="3"/>
    <n v="0"/>
  </r>
  <r>
    <x v="4"/>
    <n v="2026"/>
    <x v="0"/>
    <x v="3"/>
    <s v="Preservativo Masculino"/>
    <s v="Cores e Sabores"/>
    <x v="4"/>
    <n v="0"/>
  </r>
  <r>
    <x v="4"/>
    <n v="2026"/>
    <x v="1"/>
    <x v="3"/>
    <s v="Preservativo Masculino"/>
    <s v="Cores e Sabores"/>
    <x v="4"/>
    <n v="4200"/>
  </r>
  <r>
    <x v="4"/>
    <n v="2026"/>
    <x v="2"/>
    <x v="3"/>
    <s v="Preservativo Masculino"/>
    <s v="Cores e Sabores"/>
    <x v="4"/>
    <n v="4200"/>
  </r>
  <r>
    <x v="4"/>
    <n v="2026"/>
    <x v="3"/>
    <x v="3"/>
    <s v="Preservativo Masculino"/>
    <s v="Cores e Sabores"/>
    <x v="4"/>
    <n v="0"/>
  </r>
  <r>
    <x v="4"/>
    <n v="2026"/>
    <x v="4"/>
    <x v="3"/>
    <s v="Preservativo Masculino"/>
    <s v="Cores e Sabores"/>
    <x v="4"/>
    <n v="0"/>
  </r>
  <r>
    <x v="4"/>
    <n v="2026"/>
    <x v="5"/>
    <x v="3"/>
    <s v="Preservativo Masculino"/>
    <s v="Cores e Sabores"/>
    <x v="4"/>
    <n v="0"/>
  </r>
  <r>
    <x v="4"/>
    <n v="2026"/>
    <x v="6"/>
    <x v="3"/>
    <s v="Preservativo Masculino"/>
    <s v="Cores e Sabores"/>
    <x v="4"/>
    <n v="0"/>
  </r>
  <r>
    <x v="4"/>
    <n v="2026"/>
    <x v="7"/>
    <x v="3"/>
    <s v="Preservativo Masculino"/>
    <s v="Cores e Sabores"/>
    <x v="4"/>
    <n v="0"/>
  </r>
  <r>
    <x v="4"/>
    <n v="2026"/>
    <x v="8"/>
    <x v="3"/>
    <s v="Preservativo Masculino"/>
    <s v="Cores e Sabores"/>
    <x v="4"/>
    <n v="0"/>
  </r>
  <r>
    <x v="4"/>
    <n v="2026"/>
    <x v="9"/>
    <x v="3"/>
    <s v="Preservativo Masculino"/>
    <s v="Cores e Sabores"/>
    <x v="4"/>
    <n v="0"/>
  </r>
  <r>
    <x v="4"/>
    <n v="2026"/>
    <x v="10"/>
    <x v="3"/>
    <s v="Preservativo Masculino"/>
    <s v="Cores e Sabores"/>
    <x v="4"/>
    <n v="0"/>
  </r>
  <r>
    <x v="4"/>
    <n v="2026"/>
    <x v="11"/>
    <x v="3"/>
    <s v="Preservativo Masculino"/>
    <s v="Cores e Sabores"/>
    <x v="4"/>
    <n v="0"/>
  </r>
  <r>
    <x v="5"/>
    <n v="2026"/>
    <x v="0"/>
    <x v="3"/>
    <s v="Preservativo Masculino"/>
    <s v="Cores e Sabores"/>
    <x v="5"/>
    <n v="0"/>
  </r>
  <r>
    <x v="5"/>
    <n v="2026"/>
    <x v="1"/>
    <x v="3"/>
    <s v="Preservativo Masculino"/>
    <s v="Cores e Sabores"/>
    <x v="5"/>
    <n v="3000"/>
  </r>
  <r>
    <x v="5"/>
    <n v="2026"/>
    <x v="2"/>
    <x v="3"/>
    <s v="Preservativo Masculino"/>
    <s v="Cores e Sabores"/>
    <x v="5"/>
    <n v="3000"/>
  </r>
  <r>
    <x v="5"/>
    <n v="2026"/>
    <x v="3"/>
    <x v="3"/>
    <s v="Preservativo Masculino"/>
    <s v="Cores e Sabores"/>
    <x v="5"/>
    <n v="0"/>
  </r>
  <r>
    <x v="5"/>
    <n v="2026"/>
    <x v="4"/>
    <x v="3"/>
    <s v="Preservativo Masculino"/>
    <s v="Cores e Sabores"/>
    <x v="5"/>
    <n v="0"/>
  </r>
  <r>
    <x v="5"/>
    <n v="2026"/>
    <x v="5"/>
    <x v="3"/>
    <s v="Preservativo Masculino"/>
    <s v="Cores e Sabores"/>
    <x v="5"/>
    <n v="0"/>
  </r>
  <r>
    <x v="5"/>
    <n v="2026"/>
    <x v="6"/>
    <x v="3"/>
    <s v="Preservativo Masculino"/>
    <s v="Cores e Sabores"/>
    <x v="5"/>
    <n v="0"/>
  </r>
  <r>
    <x v="5"/>
    <n v="2026"/>
    <x v="7"/>
    <x v="3"/>
    <s v="Preservativo Masculino"/>
    <s v="Cores e Sabores"/>
    <x v="5"/>
    <n v="0"/>
  </r>
  <r>
    <x v="5"/>
    <n v="2026"/>
    <x v="8"/>
    <x v="3"/>
    <s v="Preservativo Masculino"/>
    <s v="Cores e Sabores"/>
    <x v="5"/>
    <n v="0"/>
  </r>
  <r>
    <x v="5"/>
    <n v="2026"/>
    <x v="9"/>
    <x v="3"/>
    <s v="Preservativo Masculino"/>
    <s v="Cores e Sabores"/>
    <x v="5"/>
    <n v="0"/>
  </r>
  <r>
    <x v="5"/>
    <n v="2026"/>
    <x v="10"/>
    <x v="3"/>
    <s v="Preservativo Masculino"/>
    <s v="Cores e Sabores"/>
    <x v="5"/>
    <n v="0"/>
  </r>
  <r>
    <x v="5"/>
    <n v="2026"/>
    <x v="11"/>
    <x v="3"/>
    <s v="Preservativo Masculino"/>
    <s v="Cores e Sabores"/>
    <x v="5"/>
    <n v="0"/>
  </r>
  <r>
    <x v="6"/>
    <n v="2026"/>
    <x v="0"/>
    <x v="3"/>
    <s v="Preservativo Masculino"/>
    <s v="Cores e Sabores"/>
    <x v="6"/>
    <n v="0"/>
  </r>
  <r>
    <x v="6"/>
    <n v="2026"/>
    <x v="1"/>
    <x v="3"/>
    <s v="Preservativo Masculino"/>
    <s v="Cores e Sabores"/>
    <x v="6"/>
    <n v="2100"/>
  </r>
  <r>
    <x v="6"/>
    <n v="2026"/>
    <x v="2"/>
    <x v="3"/>
    <s v="Preservativo Masculino"/>
    <s v="Cores e Sabores"/>
    <x v="6"/>
    <n v="2100"/>
  </r>
  <r>
    <x v="6"/>
    <n v="2026"/>
    <x v="3"/>
    <x v="3"/>
    <s v="Preservativo Masculino"/>
    <s v="Cores e Sabores"/>
    <x v="6"/>
    <n v="0"/>
  </r>
  <r>
    <x v="6"/>
    <n v="2026"/>
    <x v="4"/>
    <x v="3"/>
    <s v="Preservativo Masculino"/>
    <s v="Cores e Sabores"/>
    <x v="6"/>
    <n v="0"/>
  </r>
  <r>
    <x v="6"/>
    <n v="2026"/>
    <x v="5"/>
    <x v="3"/>
    <s v="Preservativo Masculino"/>
    <s v="Cores e Sabores"/>
    <x v="6"/>
    <n v="0"/>
  </r>
  <r>
    <x v="6"/>
    <n v="2026"/>
    <x v="6"/>
    <x v="3"/>
    <s v="Preservativo Masculino"/>
    <s v="Cores e Sabores"/>
    <x v="6"/>
    <n v="0"/>
  </r>
  <r>
    <x v="6"/>
    <n v="2026"/>
    <x v="7"/>
    <x v="3"/>
    <s v="Preservativo Masculino"/>
    <s v="Cores e Sabores"/>
    <x v="6"/>
    <n v="0"/>
  </r>
  <r>
    <x v="6"/>
    <n v="2026"/>
    <x v="8"/>
    <x v="3"/>
    <s v="Preservativo Masculino"/>
    <s v="Cores e Sabores"/>
    <x v="6"/>
    <n v="0"/>
  </r>
  <r>
    <x v="6"/>
    <n v="2026"/>
    <x v="9"/>
    <x v="3"/>
    <s v="Preservativo Masculino"/>
    <s v="Cores e Sabores"/>
    <x v="6"/>
    <n v="0"/>
  </r>
  <r>
    <x v="6"/>
    <n v="2026"/>
    <x v="10"/>
    <x v="3"/>
    <s v="Preservativo Masculino"/>
    <s v="Cores e Sabores"/>
    <x v="6"/>
    <n v="0"/>
  </r>
  <r>
    <x v="6"/>
    <n v="2026"/>
    <x v="11"/>
    <x v="3"/>
    <s v="Preservativo Masculino"/>
    <s v="Cores e Sabores"/>
    <x v="6"/>
    <n v="0"/>
  </r>
  <r>
    <x v="7"/>
    <n v="2026"/>
    <x v="0"/>
    <x v="3"/>
    <s v="Preservativo Masculino"/>
    <s v="Cores e Sabores"/>
    <x v="7"/>
    <n v="0"/>
  </r>
  <r>
    <x v="7"/>
    <n v="2026"/>
    <x v="1"/>
    <x v="3"/>
    <s v="Preservativo Masculino"/>
    <s v="Cores e Sabores"/>
    <x v="7"/>
    <n v="6000"/>
  </r>
  <r>
    <x v="7"/>
    <n v="2026"/>
    <x v="2"/>
    <x v="3"/>
    <s v="Preservativo Masculino"/>
    <s v="Cores e Sabores"/>
    <x v="7"/>
    <n v="6000"/>
  </r>
  <r>
    <x v="7"/>
    <n v="2026"/>
    <x v="3"/>
    <x v="3"/>
    <s v="Preservativo Masculino"/>
    <s v="Cores e Sabores"/>
    <x v="7"/>
    <n v="0"/>
  </r>
  <r>
    <x v="7"/>
    <n v="2026"/>
    <x v="4"/>
    <x v="3"/>
    <s v="Preservativo Masculino"/>
    <s v="Cores e Sabores"/>
    <x v="7"/>
    <n v="0"/>
  </r>
  <r>
    <x v="7"/>
    <n v="2026"/>
    <x v="5"/>
    <x v="3"/>
    <s v="Preservativo Masculino"/>
    <s v="Cores e Sabores"/>
    <x v="7"/>
    <n v="0"/>
  </r>
  <r>
    <x v="7"/>
    <n v="2026"/>
    <x v="6"/>
    <x v="3"/>
    <s v="Preservativo Masculino"/>
    <s v="Cores e Sabores"/>
    <x v="7"/>
    <n v="0"/>
  </r>
  <r>
    <x v="7"/>
    <n v="2026"/>
    <x v="7"/>
    <x v="3"/>
    <s v="Preservativo Masculino"/>
    <s v="Cores e Sabores"/>
    <x v="7"/>
    <n v="0"/>
  </r>
  <r>
    <x v="7"/>
    <n v="2026"/>
    <x v="8"/>
    <x v="3"/>
    <s v="Preservativo Masculino"/>
    <s v="Cores e Sabores"/>
    <x v="7"/>
    <n v="0"/>
  </r>
  <r>
    <x v="7"/>
    <n v="2026"/>
    <x v="9"/>
    <x v="3"/>
    <s v="Preservativo Masculino"/>
    <s v="Cores e Sabores"/>
    <x v="7"/>
    <n v="0"/>
  </r>
  <r>
    <x v="7"/>
    <n v="2026"/>
    <x v="10"/>
    <x v="3"/>
    <s v="Preservativo Masculino"/>
    <s v="Cores e Sabores"/>
    <x v="7"/>
    <n v="0"/>
  </r>
  <r>
    <x v="7"/>
    <n v="2026"/>
    <x v="11"/>
    <x v="3"/>
    <s v="Preservativo Masculino"/>
    <s v="Cores e Sabores"/>
    <x v="7"/>
    <n v="0"/>
  </r>
  <r>
    <x v="8"/>
    <n v="2026"/>
    <x v="0"/>
    <x v="3"/>
    <s v="Preservativo Masculino"/>
    <s v="Cores e Sabores"/>
    <x v="8"/>
    <n v="0"/>
  </r>
  <r>
    <x v="8"/>
    <n v="2026"/>
    <x v="1"/>
    <x v="3"/>
    <s v="Preservativo Masculino"/>
    <s v="Cores e Sabores"/>
    <x v="8"/>
    <n v="0"/>
  </r>
  <r>
    <x v="8"/>
    <n v="2026"/>
    <x v="2"/>
    <x v="3"/>
    <s v="Preservativo Masculino"/>
    <s v="Cores e Sabores"/>
    <x v="8"/>
    <n v="0"/>
  </r>
  <r>
    <x v="8"/>
    <n v="2026"/>
    <x v="3"/>
    <x v="3"/>
    <s v="Preservativo Masculino"/>
    <s v="Cores e Sabores"/>
    <x v="8"/>
    <n v="0"/>
  </r>
  <r>
    <x v="8"/>
    <n v="2026"/>
    <x v="4"/>
    <x v="3"/>
    <s v="Preservativo Masculino"/>
    <s v="Cores e Sabores"/>
    <x v="8"/>
    <n v="0"/>
  </r>
  <r>
    <x v="8"/>
    <n v="2026"/>
    <x v="5"/>
    <x v="3"/>
    <s v="Preservativo Masculino"/>
    <s v="Cores e Sabores"/>
    <x v="8"/>
    <n v="0"/>
  </r>
  <r>
    <x v="8"/>
    <n v="2026"/>
    <x v="6"/>
    <x v="3"/>
    <s v="Preservativo Masculino"/>
    <s v="Cores e Sabores"/>
    <x v="8"/>
    <n v="0"/>
  </r>
  <r>
    <x v="8"/>
    <n v="2026"/>
    <x v="7"/>
    <x v="3"/>
    <s v="Preservativo Masculino"/>
    <s v="Cores e Sabores"/>
    <x v="8"/>
    <n v="0"/>
  </r>
  <r>
    <x v="8"/>
    <n v="2026"/>
    <x v="8"/>
    <x v="3"/>
    <s v="Preservativo Masculino"/>
    <s v="Cores e Sabores"/>
    <x v="8"/>
    <n v="0"/>
  </r>
  <r>
    <x v="8"/>
    <n v="2026"/>
    <x v="9"/>
    <x v="3"/>
    <s v="Preservativo Masculino"/>
    <s v="Cores e Sabores"/>
    <x v="8"/>
    <n v="0"/>
  </r>
  <r>
    <x v="8"/>
    <n v="2026"/>
    <x v="10"/>
    <x v="3"/>
    <s v="Preservativo Masculino"/>
    <s v="Cores e Sabores"/>
    <x v="8"/>
    <n v="0"/>
  </r>
  <r>
    <x v="8"/>
    <n v="2026"/>
    <x v="11"/>
    <x v="3"/>
    <s v="Preservativo Masculino"/>
    <s v="Cores e Sabores"/>
    <x v="8"/>
    <n v="0"/>
  </r>
  <r>
    <x v="9"/>
    <n v="2026"/>
    <x v="0"/>
    <x v="3"/>
    <s v="Preservativo Masculino"/>
    <s v="Cores e Sabores"/>
    <x v="9"/>
    <n v="3000"/>
  </r>
  <r>
    <x v="9"/>
    <n v="2026"/>
    <x v="1"/>
    <x v="3"/>
    <s v="Preservativo Masculino"/>
    <s v="Cores e Sabores"/>
    <x v="9"/>
    <n v="0"/>
  </r>
  <r>
    <x v="9"/>
    <n v="2026"/>
    <x v="2"/>
    <x v="3"/>
    <s v="Preservativo Masculino"/>
    <s v="Cores e Sabores"/>
    <x v="9"/>
    <n v="0"/>
  </r>
  <r>
    <x v="9"/>
    <n v="2026"/>
    <x v="3"/>
    <x v="3"/>
    <s v="Preservativo Masculino"/>
    <s v="Cores e Sabores"/>
    <x v="9"/>
    <n v="0"/>
  </r>
  <r>
    <x v="9"/>
    <n v="2026"/>
    <x v="4"/>
    <x v="3"/>
    <s v="Preservativo Masculino"/>
    <s v="Cores e Sabores"/>
    <x v="9"/>
    <n v="0"/>
  </r>
  <r>
    <x v="9"/>
    <n v="2026"/>
    <x v="5"/>
    <x v="3"/>
    <s v="Preservativo Masculino"/>
    <s v="Cores e Sabores"/>
    <x v="9"/>
    <n v="0"/>
  </r>
  <r>
    <x v="9"/>
    <n v="2026"/>
    <x v="6"/>
    <x v="3"/>
    <s v="Preservativo Masculino"/>
    <s v="Cores e Sabores"/>
    <x v="9"/>
    <n v="0"/>
  </r>
  <r>
    <x v="9"/>
    <n v="2026"/>
    <x v="7"/>
    <x v="3"/>
    <s v="Preservativo Masculino"/>
    <s v="Cores e Sabores"/>
    <x v="9"/>
    <n v="0"/>
  </r>
  <r>
    <x v="9"/>
    <n v="2026"/>
    <x v="8"/>
    <x v="3"/>
    <s v="Preservativo Masculino"/>
    <s v="Cores e Sabores"/>
    <x v="9"/>
    <n v="0"/>
  </r>
  <r>
    <x v="9"/>
    <n v="2026"/>
    <x v="9"/>
    <x v="3"/>
    <s v="Preservativo Masculino"/>
    <s v="Cores e Sabores"/>
    <x v="9"/>
    <n v="0"/>
  </r>
  <r>
    <x v="9"/>
    <n v="2026"/>
    <x v="10"/>
    <x v="3"/>
    <s v="Preservativo Masculino"/>
    <s v="Cores e Sabores"/>
    <x v="9"/>
    <n v="0"/>
  </r>
  <r>
    <x v="9"/>
    <n v="2026"/>
    <x v="11"/>
    <x v="3"/>
    <s v="Preservativo Masculino"/>
    <s v="Cores e Sabores"/>
    <x v="9"/>
    <n v="0"/>
  </r>
  <r>
    <x v="10"/>
    <n v="2026"/>
    <x v="0"/>
    <x v="3"/>
    <s v="Preservativo Masculino"/>
    <s v="Cores e Sabores"/>
    <x v="10"/>
    <n v="3000"/>
  </r>
  <r>
    <x v="10"/>
    <n v="2026"/>
    <x v="1"/>
    <x v="3"/>
    <s v="Preservativo Masculino"/>
    <s v="Cores e Sabores"/>
    <x v="10"/>
    <n v="0"/>
  </r>
  <r>
    <x v="10"/>
    <n v="2026"/>
    <x v="2"/>
    <x v="3"/>
    <s v="Preservativo Masculino"/>
    <s v="Cores e Sabores"/>
    <x v="10"/>
    <n v="0"/>
  </r>
  <r>
    <x v="10"/>
    <n v="2026"/>
    <x v="3"/>
    <x v="3"/>
    <s v="Preservativo Masculino"/>
    <s v="Cores e Sabores"/>
    <x v="10"/>
    <n v="0"/>
  </r>
  <r>
    <x v="10"/>
    <n v="2026"/>
    <x v="4"/>
    <x v="3"/>
    <s v="Preservativo Masculino"/>
    <s v="Cores e Sabores"/>
    <x v="10"/>
    <n v="0"/>
  </r>
  <r>
    <x v="10"/>
    <n v="2026"/>
    <x v="5"/>
    <x v="3"/>
    <s v="Preservativo Masculino"/>
    <s v="Cores e Sabores"/>
    <x v="10"/>
    <n v="0"/>
  </r>
  <r>
    <x v="10"/>
    <n v="2026"/>
    <x v="6"/>
    <x v="3"/>
    <s v="Preservativo Masculino"/>
    <s v="Cores e Sabores"/>
    <x v="10"/>
    <n v="0"/>
  </r>
  <r>
    <x v="10"/>
    <n v="2026"/>
    <x v="7"/>
    <x v="3"/>
    <s v="Preservativo Masculino"/>
    <s v="Cores e Sabores"/>
    <x v="10"/>
    <n v="0"/>
  </r>
  <r>
    <x v="10"/>
    <n v="2026"/>
    <x v="8"/>
    <x v="3"/>
    <s v="Preservativo Masculino"/>
    <s v="Cores e Sabores"/>
    <x v="10"/>
    <n v="0"/>
  </r>
  <r>
    <x v="10"/>
    <n v="2026"/>
    <x v="9"/>
    <x v="3"/>
    <s v="Preservativo Masculino"/>
    <s v="Cores e Sabores"/>
    <x v="10"/>
    <n v="0"/>
  </r>
  <r>
    <x v="10"/>
    <n v="2026"/>
    <x v="10"/>
    <x v="3"/>
    <s v="Preservativo Masculino"/>
    <s v="Cores e Sabores"/>
    <x v="10"/>
    <n v="0"/>
  </r>
  <r>
    <x v="10"/>
    <n v="2026"/>
    <x v="11"/>
    <x v="3"/>
    <s v="Preservativo Masculino"/>
    <s v="Cores e Sabores"/>
    <x v="10"/>
    <n v="0"/>
  </r>
  <r>
    <x v="11"/>
    <n v="2026"/>
    <x v="0"/>
    <x v="3"/>
    <s v="Preservativo Masculino"/>
    <s v="Cores e Sabores"/>
    <x v="11"/>
    <n v="0"/>
  </r>
  <r>
    <x v="11"/>
    <n v="2026"/>
    <x v="1"/>
    <x v="3"/>
    <s v="Preservativo Masculino"/>
    <s v="Cores e Sabores"/>
    <x v="11"/>
    <n v="0"/>
  </r>
  <r>
    <x v="11"/>
    <n v="2026"/>
    <x v="2"/>
    <x v="3"/>
    <s v="Preservativo Masculino"/>
    <s v="Cores e Sabores"/>
    <x v="11"/>
    <n v="0"/>
  </r>
  <r>
    <x v="11"/>
    <n v="2026"/>
    <x v="3"/>
    <x v="3"/>
    <s v="Preservativo Masculino"/>
    <s v="Cores e Sabores"/>
    <x v="11"/>
    <n v="0"/>
  </r>
  <r>
    <x v="11"/>
    <n v="2026"/>
    <x v="4"/>
    <x v="3"/>
    <s v="Preservativo Masculino"/>
    <s v="Cores e Sabores"/>
    <x v="11"/>
    <n v="0"/>
  </r>
  <r>
    <x v="11"/>
    <n v="2026"/>
    <x v="5"/>
    <x v="3"/>
    <s v="Preservativo Masculino"/>
    <s v="Cores e Sabores"/>
    <x v="11"/>
    <n v="0"/>
  </r>
  <r>
    <x v="11"/>
    <n v="2026"/>
    <x v="6"/>
    <x v="3"/>
    <s v="Preservativo Masculino"/>
    <s v="Cores e Sabores"/>
    <x v="11"/>
    <n v="0"/>
  </r>
  <r>
    <x v="11"/>
    <n v="2026"/>
    <x v="7"/>
    <x v="3"/>
    <s v="Preservativo Masculino"/>
    <s v="Cores e Sabores"/>
    <x v="11"/>
    <n v="0"/>
  </r>
  <r>
    <x v="11"/>
    <n v="2026"/>
    <x v="8"/>
    <x v="3"/>
    <s v="Preservativo Masculino"/>
    <s v="Cores e Sabores"/>
    <x v="11"/>
    <n v="0"/>
  </r>
  <r>
    <x v="11"/>
    <n v="2026"/>
    <x v="9"/>
    <x v="3"/>
    <s v="Preservativo Masculino"/>
    <s v="Cores e Sabores"/>
    <x v="11"/>
    <n v="0"/>
  </r>
  <r>
    <x v="11"/>
    <n v="2026"/>
    <x v="10"/>
    <x v="3"/>
    <s v="Preservativo Masculino"/>
    <s v="Cores e Sabores"/>
    <x v="11"/>
    <n v="0"/>
  </r>
  <r>
    <x v="11"/>
    <n v="2026"/>
    <x v="11"/>
    <x v="3"/>
    <s v="Preservativo Masculino"/>
    <s v="Cores e Sabores"/>
    <x v="11"/>
    <n v="0"/>
  </r>
  <r>
    <x v="12"/>
    <n v="2026"/>
    <x v="0"/>
    <x v="3"/>
    <s v="Preservativo Masculino"/>
    <s v="Cores e Sabores"/>
    <x v="12"/>
    <n v="0"/>
  </r>
  <r>
    <x v="12"/>
    <n v="2026"/>
    <x v="1"/>
    <x v="3"/>
    <s v="Preservativo Masculino"/>
    <s v="Cores e Sabores"/>
    <x v="12"/>
    <n v="3000"/>
  </r>
  <r>
    <x v="12"/>
    <n v="2026"/>
    <x v="2"/>
    <x v="3"/>
    <s v="Preservativo Masculino"/>
    <s v="Cores e Sabores"/>
    <x v="12"/>
    <n v="3000"/>
  </r>
  <r>
    <x v="12"/>
    <n v="2026"/>
    <x v="3"/>
    <x v="3"/>
    <s v="Preservativo Masculino"/>
    <s v="Cores e Sabores"/>
    <x v="12"/>
    <n v="0"/>
  </r>
  <r>
    <x v="12"/>
    <n v="2026"/>
    <x v="4"/>
    <x v="3"/>
    <s v="Preservativo Masculino"/>
    <s v="Cores e Sabores"/>
    <x v="12"/>
    <n v="0"/>
  </r>
  <r>
    <x v="12"/>
    <n v="2026"/>
    <x v="5"/>
    <x v="3"/>
    <s v="Preservativo Masculino"/>
    <s v="Cores e Sabores"/>
    <x v="12"/>
    <n v="0"/>
  </r>
  <r>
    <x v="12"/>
    <n v="2026"/>
    <x v="6"/>
    <x v="3"/>
    <s v="Preservativo Masculino"/>
    <s v="Cores e Sabores"/>
    <x v="12"/>
    <n v="0"/>
  </r>
  <r>
    <x v="12"/>
    <n v="2026"/>
    <x v="7"/>
    <x v="3"/>
    <s v="Preservativo Masculino"/>
    <s v="Cores e Sabores"/>
    <x v="12"/>
    <n v="0"/>
  </r>
  <r>
    <x v="12"/>
    <n v="2026"/>
    <x v="8"/>
    <x v="3"/>
    <s v="Preservativo Masculino"/>
    <s v="Cores e Sabores"/>
    <x v="12"/>
    <n v="0"/>
  </r>
  <r>
    <x v="12"/>
    <n v="2026"/>
    <x v="9"/>
    <x v="3"/>
    <s v="Preservativo Masculino"/>
    <s v="Cores e Sabores"/>
    <x v="12"/>
    <n v="0"/>
  </r>
  <r>
    <x v="12"/>
    <n v="2026"/>
    <x v="10"/>
    <x v="3"/>
    <s v="Preservativo Masculino"/>
    <s v="Cores e Sabores"/>
    <x v="12"/>
    <n v="0"/>
  </r>
  <r>
    <x v="12"/>
    <n v="2026"/>
    <x v="11"/>
    <x v="3"/>
    <s v="Preservativo Masculino"/>
    <s v="Cores e Sabores"/>
    <x v="12"/>
    <n v="0"/>
  </r>
  <r>
    <x v="13"/>
    <n v="2026"/>
    <x v="0"/>
    <x v="3"/>
    <s v="Preservativo Masculino"/>
    <s v="Cores e Sabores"/>
    <x v="13"/>
    <n v="0"/>
  </r>
  <r>
    <x v="13"/>
    <n v="2026"/>
    <x v="1"/>
    <x v="3"/>
    <s v="Preservativo Masculino"/>
    <s v="Cores e Sabores"/>
    <x v="13"/>
    <n v="0"/>
  </r>
  <r>
    <x v="13"/>
    <n v="2026"/>
    <x v="2"/>
    <x v="3"/>
    <s v="Preservativo Masculino"/>
    <s v="Cores e Sabores"/>
    <x v="13"/>
    <n v="0"/>
  </r>
  <r>
    <x v="13"/>
    <n v="2026"/>
    <x v="3"/>
    <x v="3"/>
    <s v="Preservativo Masculino"/>
    <s v="Cores e Sabores"/>
    <x v="13"/>
    <n v="0"/>
  </r>
  <r>
    <x v="13"/>
    <n v="2026"/>
    <x v="4"/>
    <x v="3"/>
    <s v="Preservativo Masculino"/>
    <s v="Cores e Sabores"/>
    <x v="13"/>
    <n v="0"/>
  </r>
  <r>
    <x v="13"/>
    <n v="2026"/>
    <x v="5"/>
    <x v="3"/>
    <s v="Preservativo Masculino"/>
    <s v="Cores e Sabores"/>
    <x v="13"/>
    <n v="0"/>
  </r>
  <r>
    <x v="13"/>
    <n v="2026"/>
    <x v="6"/>
    <x v="3"/>
    <s v="Preservativo Masculino"/>
    <s v="Cores e Sabores"/>
    <x v="13"/>
    <n v="0"/>
  </r>
  <r>
    <x v="13"/>
    <n v="2026"/>
    <x v="7"/>
    <x v="3"/>
    <s v="Preservativo Masculino"/>
    <s v="Cores e Sabores"/>
    <x v="13"/>
    <n v="0"/>
  </r>
  <r>
    <x v="13"/>
    <n v="2026"/>
    <x v="8"/>
    <x v="3"/>
    <s v="Preservativo Masculino"/>
    <s v="Cores e Sabores"/>
    <x v="13"/>
    <n v="0"/>
  </r>
  <r>
    <x v="13"/>
    <n v="2026"/>
    <x v="9"/>
    <x v="3"/>
    <s v="Preservativo Masculino"/>
    <s v="Cores e Sabores"/>
    <x v="13"/>
    <n v="0"/>
  </r>
  <r>
    <x v="13"/>
    <n v="2026"/>
    <x v="10"/>
    <x v="3"/>
    <s v="Preservativo Masculino"/>
    <s v="Cores e Sabores"/>
    <x v="13"/>
    <n v="0"/>
  </r>
  <r>
    <x v="13"/>
    <n v="2026"/>
    <x v="11"/>
    <x v="3"/>
    <s v="Preservativo Masculino"/>
    <s v="Cores e Sabores"/>
    <x v="13"/>
    <n v="0"/>
  </r>
  <r>
    <x v="14"/>
    <n v="2026"/>
    <x v="0"/>
    <x v="3"/>
    <s v="Preservativo Masculino"/>
    <s v="Cores e Sabores"/>
    <x v="14"/>
    <n v="0"/>
  </r>
  <r>
    <x v="14"/>
    <n v="2026"/>
    <x v="1"/>
    <x v="3"/>
    <s v="Preservativo Masculino"/>
    <s v="Cores e Sabores"/>
    <x v="14"/>
    <n v="0"/>
  </r>
  <r>
    <x v="14"/>
    <n v="2026"/>
    <x v="2"/>
    <x v="3"/>
    <s v="Preservativo Masculino"/>
    <s v="Cores e Sabores"/>
    <x v="14"/>
    <n v="0"/>
  </r>
  <r>
    <x v="14"/>
    <n v="2026"/>
    <x v="3"/>
    <x v="3"/>
    <s v="Preservativo Masculino"/>
    <s v="Cores e Sabores"/>
    <x v="14"/>
    <n v="3000"/>
  </r>
  <r>
    <x v="14"/>
    <n v="2026"/>
    <x v="4"/>
    <x v="3"/>
    <s v="Preservativo Masculino"/>
    <s v="Cores e Sabores"/>
    <x v="14"/>
    <n v="0"/>
  </r>
  <r>
    <x v="14"/>
    <n v="2026"/>
    <x v="5"/>
    <x v="3"/>
    <s v="Preservativo Masculino"/>
    <s v="Cores e Sabores"/>
    <x v="14"/>
    <n v="0"/>
  </r>
  <r>
    <x v="14"/>
    <n v="2026"/>
    <x v="6"/>
    <x v="3"/>
    <s v="Preservativo Masculino"/>
    <s v="Cores e Sabores"/>
    <x v="14"/>
    <n v="0"/>
  </r>
  <r>
    <x v="14"/>
    <n v="2026"/>
    <x v="7"/>
    <x v="3"/>
    <s v="Preservativo Masculino"/>
    <s v="Cores e Sabores"/>
    <x v="14"/>
    <n v="0"/>
  </r>
  <r>
    <x v="14"/>
    <n v="2026"/>
    <x v="8"/>
    <x v="3"/>
    <s v="Preservativo Masculino"/>
    <s v="Cores e Sabores"/>
    <x v="14"/>
    <n v="0"/>
  </r>
  <r>
    <x v="14"/>
    <n v="2026"/>
    <x v="9"/>
    <x v="3"/>
    <s v="Preservativo Masculino"/>
    <s v="Cores e Sabores"/>
    <x v="14"/>
    <n v="0"/>
  </r>
  <r>
    <x v="14"/>
    <n v="2026"/>
    <x v="10"/>
    <x v="3"/>
    <s v="Preservativo Masculino"/>
    <s v="Cores e Sabores"/>
    <x v="14"/>
    <n v="0"/>
  </r>
  <r>
    <x v="14"/>
    <n v="2026"/>
    <x v="11"/>
    <x v="3"/>
    <s v="Preservativo Masculino"/>
    <s v="Cores e Sabores"/>
    <x v="14"/>
    <n v="0"/>
  </r>
  <r>
    <x v="15"/>
    <n v="2026"/>
    <x v="0"/>
    <x v="3"/>
    <s v="Preservativo Masculino"/>
    <s v="Performance"/>
    <x v="15"/>
    <n v="6300"/>
  </r>
  <r>
    <x v="15"/>
    <n v="2026"/>
    <x v="1"/>
    <x v="3"/>
    <s v="Preservativo Masculino"/>
    <s v="Performance"/>
    <x v="15"/>
    <n v="6300"/>
  </r>
  <r>
    <x v="15"/>
    <n v="2026"/>
    <x v="2"/>
    <x v="3"/>
    <s v="Preservativo Masculino"/>
    <s v="Performance"/>
    <x v="15"/>
    <n v="6300"/>
  </r>
  <r>
    <x v="15"/>
    <n v="2026"/>
    <x v="3"/>
    <x v="3"/>
    <s v="Preservativo Masculino"/>
    <s v="Performance"/>
    <x v="15"/>
    <n v="0"/>
  </r>
  <r>
    <x v="15"/>
    <n v="2026"/>
    <x v="4"/>
    <x v="3"/>
    <s v="Preservativo Masculino"/>
    <s v="Performance"/>
    <x v="15"/>
    <n v="0"/>
  </r>
  <r>
    <x v="15"/>
    <n v="2026"/>
    <x v="5"/>
    <x v="3"/>
    <s v="Preservativo Masculino"/>
    <s v="Performance"/>
    <x v="15"/>
    <n v="0"/>
  </r>
  <r>
    <x v="15"/>
    <n v="2026"/>
    <x v="6"/>
    <x v="3"/>
    <s v="Preservativo Masculino"/>
    <s v="Performance"/>
    <x v="15"/>
    <n v="0"/>
  </r>
  <r>
    <x v="15"/>
    <n v="2026"/>
    <x v="7"/>
    <x v="3"/>
    <s v="Preservativo Masculino"/>
    <s v="Performance"/>
    <x v="15"/>
    <n v="0"/>
  </r>
  <r>
    <x v="15"/>
    <n v="2026"/>
    <x v="8"/>
    <x v="3"/>
    <s v="Preservativo Masculino"/>
    <s v="Performance"/>
    <x v="15"/>
    <n v="0"/>
  </r>
  <r>
    <x v="15"/>
    <n v="2026"/>
    <x v="9"/>
    <x v="3"/>
    <s v="Preservativo Masculino"/>
    <s v="Performance"/>
    <x v="15"/>
    <n v="0"/>
  </r>
  <r>
    <x v="15"/>
    <n v="2026"/>
    <x v="10"/>
    <x v="3"/>
    <s v="Preservativo Masculino"/>
    <s v="Performance"/>
    <x v="15"/>
    <n v="0"/>
  </r>
  <r>
    <x v="15"/>
    <n v="2026"/>
    <x v="11"/>
    <x v="3"/>
    <s v="Preservativo Masculino"/>
    <s v="Performance"/>
    <x v="15"/>
    <n v="0"/>
  </r>
  <r>
    <x v="16"/>
    <n v="2026"/>
    <x v="0"/>
    <x v="3"/>
    <s v="Preservativo Masculino"/>
    <s v="Performance"/>
    <x v="16"/>
    <n v="0"/>
  </r>
  <r>
    <x v="16"/>
    <n v="2026"/>
    <x v="1"/>
    <x v="3"/>
    <s v="Preservativo Masculino"/>
    <s v="Performance"/>
    <x v="16"/>
    <n v="0"/>
  </r>
  <r>
    <x v="16"/>
    <n v="2026"/>
    <x v="2"/>
    <x v="3"/>
    <s v="Preservativo Masculino"/>
    <s v="Performance"/>
    <x v="16"/>
    <n v="0"/>
  </r>
  <r>
    <x v="16"/>
    <n v="2026"/>
    <x v="3"/>
    <x v="3"/>
    <s v="Preservativo Masculino"/>
    <s v="Performance"/>
    <x v="16"/>
    <n v="0"/>
  </r>
  <r>
    <x v="16"/>
    <n v="2026"/>
    <x v="4"/>
    <x v="3"/>
    <s v="Preservativo Masculino"/>
    <s v="Performance"/>
    <x v="16"/>
    <n v="0"/>
  </r>
  <r>
    <x v="16"/>
    <n v="2026"/>
    <x v="5"/>
    <x v="3"/>
    <s v="Preservativo Masculino"/>
    <s v="Performance"/>
    <x v="16"/>
    <n v="0"/>
  </r>
  <r>
    <x v="16"/>
    <n v="2026"/>
    <x v="6"/>
    <x v="3"/>
    <s v="Preservativo Masculino"/>
    <s v="Performance"/>
    <x v="16"/>
    <n v="0"/>
  </r>
  <r>
    <x v="16"/>
    <n v="2026"/>
    <x v="7"/>
    <x v="3"/>
    <s v="Preservativo Masculino"/>
    <s v="Performance"/>
    <x v="16"/>
    <n v="0"/>
  </r>
  <r>
    <x v="16"/>
    <n v="2026"/>
    <x v="8"/>
    <x v="3"/>
    <s v="Preservativo Masculino"/>
    <s v="Performance"/>
    <x v="16"/>
    <n v="0"/>
  </r>
  <r>
    <x v="16"/>
    <n v="2026"/>
    <x v="9"/>
    <x v="3"/>
    <s v="Preservativo Masculino"/>
    <s v="Performance"/>
    <x v="16"/>
    <n v="0"/>
  </r>
  <r>
    <x v="16"/>
    <n v="2026"/>
    <x v="10"/>
    <x v="3"/>
    <s v="Preservativo Masculino"/>
    <s v="Performance"/>
    <x v="16"/>
    <n v="0"/>
  </r>
  <r>
    <x v="16"/>
    <n v="2026"/>
    <x v="11"/>
    <x v="3"/>
    <s v="Preservativo Masculino"/>
    <s v="Performance"/>
    <x v="16"/>
    <n v="0"/>
  </r>
  <r>
    <x v="17"/>
    <n v="2026"/>
    <x v="0"/>
    <x v="3"/>
    <s v="Preservativo Masculino"/>
    <s v="Performance"/>
    <x v="17"/>
    <n v="0"/>
  </r>
  <r>
    <x v="17"/>
    <n v="2026"/>
    <x v="1"/>
    <x v="3"/>
    <s v="Preservativo Masculino"/>
    <s v="Performance"/>
    <x v="17"/>
    <n v="0"/>
  </r>
  <r>
    <x v="17"/>
    <n v="2026"/>
    <x v="2"/>
    <x v="3"/>
    <s v="Preservativo Masculino"/>
    <s v="Performance"/>
    <x v="17"/>
    <n v="0"/>
  </r>
  <r>
    <x v="17"/>
    <n v="2026"/>
    <x v="3"/>
    <x v="3"/>
    <s v="Preservativo Masculino"/>
    <s v="Performance"/>
    <x v="17"/>
    <n v="3000"/>
  </r>
  <r>
    <x v="17"/>
    <n v="2026"/>
    <x v="4"/>
    <x v="3"/>
    <s v="Preservativo Masculino"/>
    <s v="Performance"/>
    <x v="17"/>
    <n v="0"/>
  </r>
  <r>
    <x v="17"/>
    <n v="2026"/>
    <x v="5"/>
    <x v="3"/>
    <s v="Preservativo Masculino"/>
    <s v="Performance"/>
    <x v="17"/>
    <n v="0"/>
  </r>
  <r>
    <x v="17"/>
    <n v="2026"/>
    <x v="6"/>
    <x v="3"/>
    <s v="Preservativo Masculino"/>
    <s v="Performance"/>
    <x v="17"/>
    <n v="0"/>
  </r>
  <r>
    <x v="17"/>
    <n v="2026"/>
    <x v="7"/>
    <x v="3"/>
    <s v="Preservativo Masculino"/>
    <s v="Performance"/>
    <x v="17"/>
    <n v="0"/>
  </r>
  <r>
    <x v="17"/>
    <n v="2026"/>
    <x v="8"/>
    <x v="3"/>
    <s v="Preservativo Masculino"/>
    <s v="Performance"/>
    <x v="17"/>
    <n v="0"/>
  </r>
  <r>
    <x v="17"/>
    <n v="2026"/>
    <x v="9"/>
    <x v="3"/>
    <s v="Preservativo Masculino"/>
    <s v="Performance"/>
    <x v="17"/>
    <n v="0"/>
  </r>
  <r>
    <x v="17"/>
    <n v="2026"/>
    <x v="10"/>
    <x v="3"/>
    <s v="Preservativo Masculino"/>
    <s v="Performance"/>
    <x v="17"/>
    <n v="0"/>
  </r>
  <r>
    <x v="17"/>
    <n v="2026"/>
    <x v="11"/>
    <x v="3"/>
    <s v="Preservativo Masculino"/>
    <s v="Performance"/>
    <x v="17"/>
    <n v="0"/>
  </r>
  <r>
    <x v="18"/>
    <n v="2026"/>
    <x v="0"/>
    <x v="3"/>
    <s v="Preservativo Masculino"/>
    <s v="Performance"/>
    <x v="18"/>
    <n v="0"/>
  </r>
  <r>
    <x v="18"/>
    <n v="2026"/>
    <x v="1"/>
    <x v="3"/>
    <s v="Preservativo Masculino"/>
    <s v="Performance"/>
    <x v="18"/>
    <n v="0"/>
  </r>
  <r>
    <x v="18"/>
    <n v="2026"/>
    <x v="2"/>
    <x v="3"/>
    <s v="Preservativo Masculino"/>
    <s v="Performance"/>
    <x v="18"/>
    <n v="0"/>
  </r>
  <r>
    <x v="18"/>
    <n v="2026"/>
    <x v="3"/>
    <x v="3"/>
    <s v="Preservativo Masculino"/>
    <s v="Performance"/>
    <x v="18"/>
    <n v="0"/>
  </r>
  <r>
    <x v="18"/>
    <n v="2026"/>
    <x v="4"/>
    <x v="3"/>
    <s v="Preservativo Masculino"/>
    <s v="Performance"/>
    <x v="18"/>
    <n v="0"/>
  </r>
  <r>
    <x v="18"/>
    <n v="2026"/>
    <x v="5"/>
    <x v="3"/>
    <s v="Preservativo Masculino"/>
    <s v="Performance"/>
    <x v="18"/>
    <n v="0"/>
  </r>
  <r>
    <x v="18"/>
    <n v="2026"/>
    <x v="6"/>
    <x v="3"/>
    <s v="Preservativo Masculino"/>
    <s v="Performance"/>
    <x v="18"/>
    <n v="0"/>
  </r>
  <r>
    <x v="18"/>
    <n v="2026"/>
    <x v="7"/>
    <x v="3"/>
    <s v="Preservativo Masculino"/>
    <s v="Performance"/>
    <x v="18"/>
    <n v="0"/>
  </r>
  <r>
    <x v="18"/>
    <n v="2026"/>
    <x v="8"/>
    <x v="3"/>
    <s v="Preservativo Masculino"/>
    <s v="Performance"/>
    <x v="18"/>
    <n v="0"/>
  </r>
  <r>
    <x v="18"/>
    <n v="2026"/>
    <x v="9"/>
    <x v="3"/>
    <s v="Preservativo Masculino"/>
    <s v="Performance"/>
    <x v="18"/>
    <n v="0"/>
  </r>
  <r>
    <x v="18"/>
    <n v="2026"/>
    <x v="10"/>
    <x v="3"/>
    <s v="Preservativo Masculino"/>
    <s v="Performance"/>
    <x v="18"/>
    <n v="0"/>
  </r>
  <r>
    <x v="18"/>
    <n v="2026"/>
    <x v="11"/>
    <x v="3"/>
    <s v="Preservativo Masculino"/>
    <s v="Performance"/>
    <x v="18"/>
    <n v="0"/>
  </r>
  <r>
    <x v="19"/>
    <n v="2026"/>
    <x v="0"/>
    <x v="3"/>
    <s v="Preservativo Masculino"/>
    <s v="Performance"/>
    <x v="19"/>
    <n v="0"/>
  </r>
  <r>
    <x v="19"/>
    <n v="2026"/>
    <x v="1"/>
    <x v="3"/>
    <s v="Preservativo Masculino"/>
    <s v="Performance"/>
    <x v="19"/>
    <n v="0"/>
  </r>
  <r>
    <x v="19"/>
    <n v="2026"/>
    <x v="2"/>
    <x v="3"/>
    <s v="Preservativo Masculino"/>
    <s v="Performance"/>
    <x v="19"/>
    <n v="0"/>
  </r>
  <r>
    <x v="19"/>
    <n v="2026"/>
    <x v="3"/>
    <x v="3"/>
    <s v="Preservativo Masculino"/>
    <s v="Performance"/>
    <x v="19"/>
    <n v="2100"/>
  </r>
  <r>
    <x v="19"/>
    <n v="2026"/>
    <x v="4"/>
    <x v="3"/>
    <s v="Preservativo Masculino"/>
    <s v="Performance"/>
    <x v="19"/>
    <n v="0"/>
  </r>
  <r>
    <x v="19"/>
    <n v="2026"/>
    <x v="5"/>
    <x v="3"/>
    <s v="Preservativo Masculino"/>
    <s v="Performance"/>
    <x v="19"/>
    <n v="0"/>
  </r>
  <r>
    <x v="19"/>
    <n v="2026"/>
    <x v="6"/>
    <x v="3"/>
    <s v="Preservativo Masculino"/>
    <s v="Performance"/>
    <x v="19"/>
    <n v="0"/>
  </r>
  <r>
    <x v="19"/>
    <n v="2026"/>
    <x v="7"/>
    <x v="3"/>
    <s v="Preservativo Masculino"/>
    <s v="Performance"/>
    <x v="19"/>
    <n v="0"/>
  </r>
  <r>
    <x v="19"/>
    <n v="2026"/>
    <x v="8"/>
    <x v="3"/>
    <s v="Preservativo Masculino"/>
    <s v="Performance"/>
    <x v="19"/>
    <n v="0"/>
  </r>
  <r>
    <x v="19"/>
    <n v="2026"/>
    <x v="9"/>
    <x v="3"/>
    <s v="Preservativo Masculino"/>
    <s v="Performance"/>
    <x v="19"/>
    <n v="0"/>
  </r>
  <r>
    <x v="19"/>
    <n v="2026"/>
    <x v="10"/>
    <x v="3"/>
    <s v="Preservativo Masculino"/>
    <s v="Performance"/>
    <x v="19"/>
    <n v="0"/>
  </r>
  <r>
    <x v="19"/>
    <n v="2026"/>
    <x v="11"/>
    <x v="3"/>
    <s v="Preservativo Masculino"/>
    <s v="Performance"/>
    <x v="19"/>
    <n v="0"/>
  </r>
  <r>
    <x v="20"/>
    <n v="2026"/>
    <x v="0"/>
    <x v="3"/>
    <s v="Preservativo Masculino"/>
    <s v="Performance"/>
    <x v="20"/>
    <n v="1780"/>
  </r>
  <r>
    <x v="20"/>
    <n v="2026"/>
    <x v="1"/>
    <x v="3"/>
    <s v="Preservativo Masculino"/>
    <s v="Performance"/>
    <x v="20"/>
    <n v="3560"/>
  </r>
  <r>
    <x v="20"/>
    <n v="2026"/>
    <x v="2"/>
    <x v="3"/>
    <s v="Preservativo Masculino"/>
    <s v="Performance"/>
    <x v="20"/>
    <n v="3560"/>
  </r>
  <r>
    <x v="20"/>
    <n v="2026"/>
    <x v="3"/>
    <x v="3"/>
    <s v="Preservativo Masculino"/>
    <s v="Performance"/>
    <x v="20"/>
    <n v="3560"/>
  </r>
  <r>
    <x v="20"/>
    <n v="2026"/>
    <x v="4"/>
    <x v="3"/>
    <s v="Preservativo Masculino"/>
    <s v="Performance"/>
    <x v="20"/>
    <n v="0"/>
  </r>
  <r>
    <x v="20"/>
    <n v="2026"/>
    <x v="5"/>
    <x v="3"/>
    <s v="Preservativo Masculino"/>
    <s v="Performance"/>
    <x v="20"/>
    <n v="0"/>
  </r>
  <r>
    <x v="20"/>
    <n v="2026"/>
    <x v="6"/>
    <x v="3"/>
    <s v="Preservativo Masculino"/>
    <s v="Performance"/>
    <x v="20"/>
    <n v="0"/>
  </r>
  <r>
    <x v="20"/>
    <n v="2026"/>
    <x v="7"/>
    <x v="3"/>
    <s v="Preservativo Masculino"/>
    <s v="Performance"/>
    <x v="20"/>
    <n v="0"/>
  </r>
  <r>
    <x v="20"/>
    <n v="2026"/>
    <x v="8"/>
    <x v="3"/>
    <s v="Preservativo Masculino"/>
    <s v="Performance"/>
    <x v="20"/>
    <n v="0"/>
  </r>
  <r>
    <x v="20"/>
    <n v="2026"/>
    <x v="9"/>
    <x v="3"/>
    <s v="Preservativo Masculino"/>
    <s v="Performance"/>
    <x v="20"/>
    <n v="0"/>
  </r>
  <r>
    <x v="20"/>
    <n v="2026"/>
    <x v="10"/>
    <x v="3"/>
    <s v="Preservativo Masculino"/>
    <s v="Performance"/>
    <x v="20"/>
    <n v="0"/>
  </r>
  <r>
    <x v="20"/>
    <n v="2026"/>
    <x v="11"/>
    <x v="3"/>
    <s v="Preservativo Masculino"/>
    <s v="Performance"/>
    <x v="20"/>
    <n v="0"/>
  </r>
  <r>
    <x v="21"/>
    <n v="2026"/>
    <x v="0"/>
    <x v="3"/>
    <s v="Preservativo Masculino"/>
    <s v="Performance"/>
    <x v="21"/>
    <n v="0"/>
  </r>
  <r>
    <x v="21"/>
    <n v="2026"/>
    <x v="1"/>
    <x v="3"/>
    <s v="Preservativo Masculino"/>
    <s v="Performance"/>
    <x v="21"/>
    <n v="0"/>
  </r>
  <r>
    <x v="21"/>
    <n v="2026"/>
    <x v="2"/>
    <x v="3"/>
    <s v="Preservativo Masculino"/>
    <s v="Performance"/>
    <x v="21"/>
    <n v="0"/>
  </r>
  <r>
    <x v="21"/>
    <n v="2026"/>
    <x v="3"/>
    <x v="3"/>
    <s v="Preservativo Masculino"/>
    <s v="Performance"/>
    <x v="21"/>
    <n v="0"/>
  </r>
  <r>
    <x v="21"/>
    <n v="2026"/>
    <x v="4"/>
    <x v="3"/>
    <s v="Preservativo Masculino"/>
    <s v="Performance"/>
    <x v="21"/>
    <n v="0"/>
  </r>
  <r>
    <x v="21"/>
    <n v="2026"/>
    <x v="5"/>
    <x v="3"/>
    <s v="Preservativo Masculino"/>
    <s v="Performance"/>
    <x v="21"/>
    <n v="0"/>
  </r>
  <r>
    <x v="21"/>
    <n v="2026"/>
    <x v="6"/>
    <x v="3"/>
    <s v="Preservativo Masculino"/>
    <s v="Performance"/>
    <x v="21"/>
    <n v="0"/>
  </r>
  <r>
    <x v="21"/>
    <n v="2026"/>
    <x v="7"/>
    <x v="3"/>
    <s v="Preservativo Masculino"/>
    <s v="Performance"/>
    <x v="21"/>
    <n v="0"/>
  </r>
  <r>
    <x v="21"/>
    <n v="2026"/>
    <x v="8"/>
    <x v="3"/>
    <s v="Preservativo Masculino"/>
    <s v="Performance"/>
    <x v="21"/>
    <n v="0"/>
  </r>
  <r>
    <x v="21"/>
    <n v="2026"/>
    <x v="9"/>
    <x v="3"/>
    <s v="Preservativo Masculino"/>
    <s v="Performance"/>
    <x v="21"/>
    <n v="0"/>
  </r>
  <r>
    <x v="21"/>
    <n v="2026"/>
    <x v="10"/>
    <x v="3"/>
    <s v="Preservativo Masculino"/>
    <s v="Performance"/>
    <x v="21"/>
    <n v="0"/>
  </r>
  <r>
    <x v="21"/>
    <n v="2026"/>
    <x v="11"/>
    <x v="3"/>
    <s v="Preservativo Masculino"/>
    <s v="Performance"/>
    <x v="21"/>
    <n v="0"/>
  </r>
  <r>
    <x v="22"/>
    <n v="2026"/>
    <x v="0"/>
    <x v="3"/>
    <s v="Preservativo Masculino"/>
    <s v="Cores e Sabores"/>
    <x v="22"/>
    <n v="0"/>
  </r>
  <r>
    <x v="22"/>
    <n v="2026"/>
    <x v="1"/>
    <x v="3"/>
    <s v="Preservativo Masculino"/>
    <s v="Cores e Sabores"/>
    <x v="22"/>
    <n v="0"/>
  </r>
  <r>
    <x v="22"/>
    <n v="2026"/>
    <x v="2"/>
    <x v="3"/>
    <s v="Preservativo Masculino"/>
    <s v="Cores e Sabores"/>
    <x v="22"/>
    <n v="0"/>
  </r>
  <r>
    <x v="22"/>
    <n v="2026"/>
    <x v="3"/>
    <x v="3"/>
    <s v="Preservativo Masculino"/>
    <s v="Cores e Sabores"/>
    <x v="22"/>
    <n v="0"/>
  </r>
  <r>
    <x v="22"/>
    <n v="2026"/>
    <x v="4"/>
    <x v="3"/>
    <s v="Preservativo Masculino"/>
    <s v="Cores e Sabores"/>
    <x v="22"/>
    <n v="0"/>
  </r>
  <r>
    <x v="22"/>
    <n v="2026"/>
    <x v="5"/>
    <x v="3"/>
    <s v="Preservativo Masculino"/>
    <s v="Cores e Sabores"/>
    <x v="22"/>
    <n v="0"/>
  </r>
  <r>
    <x v="22"/>
    <n v="2026"/>
    <x v="6"/>
    <x v="3"/>
    <s v="Preservativo Masculino"/>
    <s v="Cores e Sabores"/>
    <x v="22"/>
    <n v="0"/>
  </r>
  <r>
    <x v="22"/>
    <n v="2026"/>
    <x v="7"/>
    <x v="3"/>
    <s v="Preservativo Masculino"/>
    <s v="Cores e Sabores"/>
    <x v="22"/>
    <n v="0"/>
  </r>
  <r>
    <x v="22"/>
    <n v="2026"/>
    <x v="8"/>
    <x v="3"/>
    <s v="Preservativo Masculino"/>
    <s v="Cores e Sabores"/>
    <x v="22"/>
    <n v="0"/>
  </r>
  <r>
    <x v="22"/>
    <n v="2026"/>
    <x v="9"/>
    <x v="3"/>
    <s v="Preservativo Masculino"/>
    <s v="Cores e Sabores"/>
    <x v="22"/>
    <n v="0"/>
  </r>
  <r>
    <x v="22"/>
    <n v="2026"/>
    <x v="10"/>
    <x v="3"/>
    <s v="Preservativo Masculino"/>
    <s v="Cores e Sabores"/>
    <x v="22"/>
    <n v="0"/>
  </r>
  <r>
    <x v="22"/>
    <n v="2026"/>
    <x v="11"/>
    <x v="3"/>
    <s v="Preservativo Masculino"/>
    <s v="Cores e Sabores"/>
    <x v="22"/>
    <n v="0"/>
  </r>
  <r>
    <x v="23"/>
    <n v="2026"/>
    <x v="0"/>
    <x v="3"/>
    <s v="Preservativo Masculino"/>
    <s v="Performance"/>
    <x v="23"/>
    <n v="0"/>
  </r>
  <r>
    <x v="23"/>
    <n v="2026"/>
    <x v="1"/>
    <x v="3"/>
    <s v="Preservativo Masculino"/>
    <s v="Performance"/>
    <x v="23"/>
    <n v="0"/>
  </r>
  <r>
    <x v="23"/>
    <n v="2026"/>
    <x v="2"/>
    <x v="3"/>
    <s v="Preservativo Masculino"/>
    <s v="Performance"/>
    <x v="23"/>
    <n v="0"/>
  </r>
  <r>
    <x v="23"/>
    <n v="2026"/>
    <x v="3"/>
    <x v="3"/>
    <s v="Preservativo Masculino"/>
    <s v="Performance"/>
    <x v="23"/>
    <n v="0"/>
  </r>
  <r>
    <x v="23"/>
    <n v="2026"/>
    <x v="4"/>
    <x v="3"/>
    <s v="Preservativo Masculino"/>
    <s v="Performance"/>
    <x v="23"/>
    <n v="0"/>
  </r>
  <r>
    <x v="23"/>
    <n v="2026"/>
    <x v="5"/>
    <x v="3"/>
    <s v="Preservativo Masculino"/>
    <s v="Performance"/>
    <x v="23"/>
    <n v="0"/>
  </r>
  <r>
    <x v="23"/>
    <n v="2026"/>
    <x v="6"/>
    <x v="3"/>
    <s v="Preservativo Masculino"/>
    <s v="Performance"/>
    <x v="23"/>
    <n v="0"/>
  </r>
  <r>
    <x v="23"/>
    <n v="2026"/>
    <x v="7"/>
    <x v="3"/>
    <s v="Preservativo Masculino"/>
    <s v="Performance"/>
    <x v="23"/>
    <n v="0"/>
  </r>
  <r>
    <x v="23"/>
    <n v="2026"/>
    <x v="8"/>
    <x v="3"/>
    <s v="Preservativo Masculino"/>
    <s v="Performance"/>
    <x v="23"/>
    <n v="0"/>
  </r>
  <r>
    <x v="23"/>
    <n v="2026"/>
    <x v="9"/>
    <x v="3"/>
    <s v="Preservativo Masculino"/>
    <s v="Performance"/>
    <x v="23"/>
    <n v="0"/>
  </r>
  <r>
    <x v="23"/>
    <n v="2026"/>
    <x v="10"/>
    <x v="3"/>
    <s v="Preservativo Masculino"/>
    <s v="Performance"/>
    <x v="23"/>
    <n v="0"/>
  </r>
  <r>
    <x v="23"/>
    <n v="2026"/>
    <x v="11"/>
    <x v="3"/>
    <s v="Preservativo Masculino"/>
    <s v="Performance"/>
    <x v="23"/>
    <n v="0"/>
  </r>
  <r>
    <x v="24"/>
    <n v="2026"/>
    <x v="0"/>
    <x v="3"/>
    <s v="Preservativo Masculino"/>
    <s v="Performance"/>
    <x v="24"/>
    <n v="0"/>
  </r>
  <r>
    <x v="24"/>
    <n v="2026"/>
    <x v="1"/>
    <x v="3"/>
    <s v="Preservativo Masculino"/>
    <s v="Performance"/>
    <x v="24"/>
    <n v="0"/>
  </r>
  <r>
    <x v="24"/>
    <n v="2026"/>
    <x v="2"/>
    <x v="3"/>
    <s v="Preservativo Masculino"/>
    <s v="Performance"/>
    <x v="24"/>
    <n v="0"/>
  </r>
  <r>
    <x v="24"/>
    <n v="2026"/>
    <x v="3"/>
    <x v="3"/>
    <s v="Preservativo Masculino"/>
    <s v="Performance"/>
    <x v="24"/>
    <n v="0"/>
  </r>
  <r>
    <x v="24"/>
    <n v="2026"/>
    <x v="4"/>
    <x v="3"/>
    <s v="Preservativo Masculino"/>
    <s v="Performance"/>
    <x v="24"/>
    <n v="0"/>
  </r>
  <r>
    <x v="24"/>
    <n v="2026"/>
    <x v="5"/>
    <x v="3"/>
    <s v="Preservativo Masculino"/>
    <s v="Performance"/>
    <x v="24"/>
    <n v="0"/>
  </r>
  <r>
    <x v="24"/>
    <n v="2026"/>
    <x v="6"/>
    <x v="3"/>
    <s v="Preservativo Masculino"/>
    <s v="Performance"/>
    <x v="24"/>
    <n v="0"/>
  </r>
  <r>
    <x v="24"/>
    <n v="2026"/>
    <x v="7"/>
    <x v="3"/>
    <s v="Preservativo Masculino"/>
    <s v="Performance"/>
    <x v="24"/>
    <n v="0"/>
  </r>
  <r>
    <x v="24"/>
    <n v="2026"/>
    <x v="8"/>
    <x v="3"/>
    <s v="Preservativo Masculino"/>
    <s v="Performance"/>
    <x v="24"/>
    <n v="0"/>
  </r>
  <r>
    <x v="24"/>
    <n v="2026"/>
    <x v="9"/>
    <x v="3"/>
    <s v="Preservativo Masculino"/>
    <s v="Performance"/>
    <x v="24"/>
    <n v="0"/>
  </r>
  <r>
    <x v="24"/>
    <n v="2026"/>
    <x v="10"/>
    <x v="3"/>
    <s v="Preservativo Masculino"/>
    <s v="Performance"/>
    <x v="24"/>
    <n v="0"/>
  </r>
  <r>
    <x v="24"/>
    <n v="2026"/>
    <x v="11"/>
    <x v="3"/>
    <s v="Preservativo Masculino"/>
    <s v="Performance"/>
    <x v="24"/>
    <n v="0"/>
  </r>
  <r>
    <x v="25"/>
    <n v="2026"/>
    <x v="0"/>
    <x v="3"/>
    <s v="Preservativo Masculino"/>
    <s v="Performance"/>
    <x v="25"/>
    <n v="0"/>
  </r>
  <r>
    <x v="25"/>
    <n v="2026"/>
    <x v="1"/>
    <x v="3"/>
    <s v="Preservativo Masculino"/>
    <s v="Performance"/>
    <x v="25"/>
    <n v="0"/>
  </r>
  <r>
    <x v="25"/>
    <n v="2026"/>
    <x v="2"/>
    <x v="3"/>
    <s v="Preservativo Masculino"/>
    <s v="Performance"/>
    <x v="25"/>
    <n v="0"/>
  </r>
  <r>
    <x v="25"/>
    <n v="2026"/>
    <x v="3"/>
    <x v="3"/>
    <s v="Preservativo Masculino"/>
    <s v="Performance"/>
    <x v="25"/>
    <n v="0"/>
  </r>
  <r>
    <x v="25"/>
    <n v="2026"/>
    <x v="4"/>
    <x v="3"/>
    <s v="Preservativo Masculino"/>
    <s v="Performance"/>
    <x v="25"/>
    <n v="0"/>
  </r>
  <r>
    <x v="25"/>
    <n v="2026"/>
    <x v="5"/>
    <x v="3"/>
    <s v="Preservativo Masculino"/>
    <s v="Performance"/>
    <x v="25"/>
    <n v="0"/>
  </r>
  <r>
    <x v="25"/>
    <n v="2026"/>
    <x v="6"/>
    <x v="3"/>
    <s v="Preservativo Masculino"/>
    <s v="Performance"/>
    <x v="25"/>
    <n v="0"/>
  </r>
  <r>
    <x v="25"/>
    <n v="2026"/>
    <x v="7"/>
    <x v="3"/>
    <s v="Preservativo Masculino"/>
    <s v="Performance"/>
    <x v="25"/>
    <n v="0"/>
  </r>
  <r>
    <x v="25"/>
    <n v="2026"/>
    <x v="8"/>
    <x v="3"/>
    <s v="Preservativo Masculino"/>
    <s v="Performance"/>
    <x v="25"/>
    <n v="0"/>
  </r>
  <r>
    <x v="25"/>
    <n v="2026"/>
    <x v="9"/>
    <x v="3"/>
    <s v="Preservativo Masculino"/>
    <s v="Performance"/>
    <x v="25"/>
    <n v="0"/>
  </r>
  <r>
    <x v="25"/>
    <n v="2026"/>
    <x v="10"/>
    <x v="3"/>
    <s v="Preservativo Masculino"/>
    <s v="Performance"/>
    <x v="25"/>
    <n v="0"/>
  </r>
  <r>
    <x v="25"/>
    <n v="2026"/>
    <x v="11"/>
    <x v="3"/>
    <s v="Preservativo Masculino"/>
    <s v="Performance"/>
    <x v="25"/>
    <n v="0"/>
  </r>
  <r>
    <x v="26"/>
    <n v="2026"/>
    <x v="0"/>
    <x v="3"/>
    <s v="Preservativo Masculino"/>
    <s v="Low Price "/>
    <x v="26"/>
    <n v="0"/>
  </r>
  <r>
    <x v="26"/>
    <n v="2026"/>
    <x v="1"/>
    <x v="3"/>
    <s v="Preservativo Masculino"/>
    <s v="Low Price "/>
    <x v="26"/>
    <n v="0"/>
  </r>
  <r>
    <x v="26"/>
    <n v="2026"/>
    <x v="2"/>
    <x v="3"/>
    <s v="Preservativo Masculino"/>
    <s v="Low Price "/>
    <x v="26"/>
    <n v="0"/>
  </r>
  <r>
    <x v="26"/>
    <n v="2026"/>
    <x v="3"/>
    <x v="3"/>
    <s v="Preservativo Masculino"/>
    <s v="Low Price "/>
    <x v="26"/>
    <n v="0"/>
  </r>
  <r>
    <x v="26"/>
    <n v="2026"/>
    <x v="4"/>
    <x v="3"/>
    <s v="Preservativo Masculino"/>
    <s v="Low Price "/>
    <x v="26"/>
    <n v="0"/>
  </r>
  <r>
    <x v="26"/>
    <n v="2026"/>
    <x v="5"/>
    <x v="3"/>
    <s v="Preservativo Masculino"/>
    <s v="Low Price "/>
    <x v="26"/>
    <n v="0"/>
  </r>
  <r>
    <x v="26"/>
    <n v="2026"/>
    <x v="6"/>
    <x v="3"/>
    <s v="Preservativo Masculino"/>
    <s v="Low Price "/>
    <x v="26"/>
    <n v="0"/>
  </r>
  <r>
    <x v="26"/>
    <n v="2026"/>
    <x v="7"/>
    <x v="3"/>
    <s v="Preservativo Masculino"/>
    <s v="Low Price "/>
    <x v="26"/>
    <n v="0"/>
  </r>
  <r>
    <x v="26"/>
    <n v="2026"/>
    <x v="8"/>
    <x v="3"/>
    <s v="Preservativo Masculino"/>
    <s v="Low Price "/>
    <x v="26"/>
    <n v="0"/>
  </r>
  <r>
    <x v="26"/>
    <n v="2026"/>
    <x v="9"/>
    <x v="3"/>
    <s v="Preservativo Masculino"/>
    <s v="Low Price "/>
    <x v="26"/>
    <n v="0"/>
  </r>
  <r>
    <x v="26"/>
    <n v="2026"/>
    <x v="10"/>
    <x v="3"/>
    <s v="Preservativo Masculino"/>
    <s v="Low Price "/>
    <x v="26"/>
    <n v="0"/>
  </r>
  <r>
    <x v="26"/>
    <n v="2026"/>
    <x v="11"/>
    <x v="3"/>
    <s v="Preservativo Masculino"/>
    <s v="Low Price "/>
    <x v="26"/>
    <n v="0"/>
  </r>
  <r>
    <x v="27"/>
    <n v="2026"/>
    <x v="0"/>
    <x v="3"/>
    <s v="Preservativo Masculino"/>
    <s v="Low Price "/>
    <x v="27"/>
    <n v="0"/>
  </r>
  <r>
    <x v="27"/>
    <n v="2026"/>
    <x v="1"/>
    <x v="3"/>
    <s v="Preservativo Masculino"/>
    <s v="Low Price "/>
    <x v="27"/>
    <n v="0"/>
  </r>
  <r>
    <x v="27"/>
    <n v="2026"/>
    <x v="2"/>
    <x v="3"/>
    <s v="Preservativo Masculino"/>
    <s v="Low Price "/>
    <x v="27"/>
    <n v="0"/>
  </r>
  <r>
    <x v="27"/>
    <n v="2026"/>
    <x v="3"/>
    <x v="3"/>
    <s v="Preservativo Masculino"/>
    <s v="Low Price "/>
    <x v="27"/>
    <n v="0"/>
  </r>
  <r>
    <x v="27"/>
    <n v="2026"/>
    <x v="4"/>
    <x v="3"/>
    <s v="Preservativo Masculino"/>
    <s v="Low Price "/>
    <x v="27"/>
    <n v="0"/>
  </r>
  <r>
    <x v="27"/>
    <n v="2026"/>
    <x v="5"/>
    <x v="3"/>
    <s v="Preservativo Masculino"/>
    <s v="Low Price "/>
    <x v="27"/>
    <n v="0"/>
  </r>
  <r>
    <x v="27"/>
    <n v="2026"/>
    <x v="6"/>
    <x v="3"/>
    <s v="Preservativo Masculino"/>
    <s v="Low Price "/>
    <x v="27"/>
    <n v="0"/>
  </r>
  <r>
    <x v="27"/>
    <n v="2026"/>
    <x v="7"/>
    <x v="3"/>
    <s v="Preservativo Masculino"/>
    <s v="Low Price "/>
    <x v="27"/>
    <n v="0"/>
  </r>
  <r>
    <x v="27"/>
    <n v="2026"/>
    <x v="8"/>
    <x v="3"/>
    <s v="Preservativo Masculino"/>
    <s v="Low Price "/>
    <x v="27"/>
    <n v="0"/>
  </r>
  <r>
    <x v="27"/>
    <n v="2026"/>
    <x v="9"/>
    <x v="3"/>
    <s v="Preservativo Masculino"/>
    <s v="Low Price "/>
    <x v="27"/>
    <n v="0"/>
  </r>
  <r>
    <x v="27"/>
    <n v="2026"/>
    <x v="10"/>
    <x v="3"/>
    <s v="Preservativo Masculino"/>
    <s v="Low Price "/>
    <x v="27"/>
    <n v="0"/>
  </r>
  <r>
    <x v="27"/>
    <n v="2026"/>
    <x v="11"/>
    <x v="3"/>
    <s v="Preservativo Masculino"/>
    <s v="Low Price "/>
    <x v="27"/>
    <n v="0"/>
  </r>
  <r>
    <x v="28"/>
    <n v="2026"/>
    <x v="0"/>
    <x v="3"/>
    <s v="Preservativo Masculino"/>
    <s v="Low Price "/>
    <x v="28"/>
    <n v="0"/>
  </r>
  <r>
    <x v="28"/>
    <n v="2026"/>
    <x v="1"/>
    <x v="3"/>
    <s v="Preservativo Masculino"/>
    <s v="Low Price "/>
    <x v="28"/>
    <n v="3000"/>
  </r>
  <r>
    <x v="28"/>
    <n v="2026"/>
    <x v="2"/>
    <x v="3"/>
    <s v="Preservativo Masculino"/>
    <s v="Low Price "/>
    <x v="28"/>
    <n v="3000"/>
  </r>
  <r>
    <x v="28"/>
    <n v="2026"/>
    <x v="3"/>
    <x v="3"/>
    <s v="Preservativo Masculino"/>
    <s v="Low Price "/>
    <x v="28"/>
    <n v="0"/>
  </r>
  <r>
    <x v="28"/>
    <n v="2026"/>
    <x v="4"/>
    <x v="3"/>
    <s v="Preservativo Masculino"/>
    <s v="Low Price "/>
    <x v="28"/>
    <n v="0"/>
  </r>
  <r>
    <x v="28"/>
    <n v="2026"/>
    <x v="5"/>
    <x v="3"/>
    <s v="Preservativo Masculino"/>
    <s v="Low Price "/>
    <x v="28"/>
    <n v="0"/>
  </r>
  <r>
    <x v="28"/>
    <n v="2026"/>
    <x v="6"/>
    <x v="3"/>
    <s v="Preservativo Masculino"/>
    <s v="Low Price "/>
    <x v="28"/>
    <n v="0"/>
  </r>
  <r>
    <x v="28"/>
    <n v="2026"/>
    <x v="7"/>
    <x v="3"/>
    <s v="Preservativo Masculino"/>
    <s v="Low Price "/>
    <x v="28"/>
    <n v="0"/>
  </r>
  <r>
    <x v="28"/>
    <n v="2026"/>
    <x v="8"/>
    <x v="3"/>
    <s v="Preservativo Masculino"/>
    <s v="Low Price "/>
    <x v="28"/>
    <n v="0"/>
  </r>
  <r>
    <x v="28"/>
    <n v="2026"/>
    <x v="9"/>
    <x v="3"/>
    <s v="Preservativo Masculino"/>
    <s v="Low Price "/>
    <x v="28"/>
    <n v="0"/>
  </r>
  <r>
    <x v="28"/>
    <n v="2026"/>
    <x v="10"/>
    <x v="3"/>
    <s v="Preservativo Masculino"/>
    <s v="Low Price "/>
    <x v="28"/>
    <n v="0"/>
  </r>
  <r>
    <x v="28"/>
    <n v="2026"/>
    <x v="11"/>
    <x v="3"/>
    <s v="Preservativo Masculino"/>
    <s v="Low Price "/>
    <x v="28"/>
    <n v="0"/>
  </r>
  <r>
    <x v="29"/>
    <n v="2026"/>
    <x v="0"/>
    <x v="3"/>
    <s v="Preservativo Masculino"/>
    <s v="Low Price "/>
    <x v="29"/>
    <n v="0"/>
  </r>
  <r>
    <x v="29"/>
    <n v="2026"/>
    <x v="1"/>
    <x v="3"/>
    <s v="Preservativo Masculino"/>
    <s v="Low Price "/>
    <x v="29"/>
    <n v="0"/>
  </r>
  <r>
    <x v="29"/>
    <n v="2026"/>
    <x v="2"/>
    <x v="3"/>
    <s v="Preservativo Masculino"/>
    <s v="Low Price "/>
    <x v="29"/>
    <n v="0"/>
  </r>
  <r>
    <x v="29"/>
    <n v="2026"/>
    <x v="3"/>
    <x v="3"/>
    <s v="Preservativo Masculino"/>
    <s v="Low Price "/>
    <x v="29"/>
    <n v="0"/>
  </r>
  <r>
    <x v="29"/>
    <n v="2026"/>
    <x v="4"/>
    <x v="3"/>
    <s v="Preservativo Masculino"/>
    <s v="Low Price "/>
    <x v="29"/>
    <n v="0"/>
  </r>
  <r>
    <x v="29"/>
    <n v="2026"/>
    <x v="5"/>
    <x v="3"/>
    <s v="Preservativo Masculino"/>
    <s v="Low Price "/>
    <x v="29"/>
    <n v="0"/>
  </r>
  <r>
    <x v="29"/>
    <n v="2026"/>
    <x v="6"/>
    <x v="3"/>
    <s v="Preservativo Masculino"/>
    <s v="Low Price "/>
    <x v="29"/>
    <n v="0"/>
  </r>
  <r>
    <x v="29"/>
    <n v="2026"/>
    <x v="7"/>
    <x v="3"/>
    <s v="Preservativo Masculino"/>
    <s v="Low Price "/>
    <x v="29"/>
    <n v="0"/>
  </r>
  <r>
    <x v="29"/>
    <n v="2026"/>
    <x v="8"/>
    <x v="3"/>
    <s v="Preservativo Masculino"/>
    <s v="Low Price "/>
    <x v="29"/>
    <n v="0"/>
  </r>
  <r>
    <x v="29"/>
    <n v="2026"/>
    <x v="9"/>
    <x v="3"/>
    <s v="Preservativo Masculino"/>
    <s v="Low Price "/>
    <x v="29"/>
    <n v="0"/>
  </r>
  <r>
    <x v="29"/>
    <n v="2026"/>
    <x v="10"/>
    <x v="3"/>
    <s v="Preservativo Masculino"/>
    <s v="Low Price "/>
    <x v="29"/>
    <n v="0"/>
  </r>
  <r>
    <x v="29"/>
    <n v="2026"/>
    <x v="11"/>
    <x v="3"/>
    <s v="Preservativo Masculino"/>
    <s v="Low Price "/>
    <x v="29"/>
    <n v="0"/>
  </r>
  <r>
    <x v="30"/>
    <n v="2026"/>
    <x v="0"/>
    <x v="3"/>
    <s v="Preservativo Masculino"/>
    <s v="Básico"/>
    <x v="30"/>
    <n v="0"/>
  </r>
  <r>
    <x v="30"/>
    <n v="2026"/>
    <x v="1"/>
    <x v="3"/>
    <s v="Preservativo Masculino"/>
    <s v="Básico"/>
    <x v="30"/>
    <n v="0"/>
  </r>
  <r>
    <x v="30"/>
    <n v="2026"/>
    <x v="2"/>
    <x v="3"/>
    <s v="Preservativo Masculino"/>
    <s v="Básico"/>
    <x v="30"/>
    <n v="0"/>
  </r>
  <r>
    <x v="30"/>
    <n v="2026"/>
    <x v="3"/>
    <x v="3"/>
    <s v="Preservativo Masculino"/>
    <s v="Básico"/>
    <x v="30"/>
    <n v="0"/>
  </r>
  <r>
    <x v="30"/>
    <n v="2026"/>
    <x v="4"/>
    <x v="3"/>
    <s v="Preservativo Masculino"/>
    <s v="Básico"/>
    <x v="30"/>
    <n v="0"/>
  </r>
  <r>
    <x v="30"/>
    <n v="2026"/>
    <x v="5"/>
    <x v="3"/>
    <s v="Preservativo Masculino"/>
    <s v="Básico"/>
    <x v="30"/>
    <n v="0"/>
  </r>
  <r>
    <x v="30"/>
    <n v="2026"/>
    <x v="6"/>
    <x v="3"/>
    <s v="Preservativo Masculino"/>
    <s v="Básico"/>
    <x v="30"/>
    <n v="0"/>
  </r>
  <r>
    <x v="30"/>
    <n v="2026"/>
    <x v="7"/>
    <x v="3"/>
    <s v="Preservativo Masculino"/>
    <s v="Básico"/>
    <x v="30"/>
    <n v="0"/>
  </r>
  <r>
    <x v="30"/>
    <n v="2026"/>
    <x v="8"/>
    <x v="3"/>
    <s v="Preservativo Masculino"/>
    <s v="Básico"/>
    <x v="30"/>
    <n v="0"/>
  </r>
  <r>
    <x v="30"/>
    <n v="2026"/>
    <x v="9"/>
    <x v="3"/>
    <s v="Preservativo Masculino"/>
    <s v="Básico"/>
    <x v="30"/>
    <n v="0"/>
  </r>
  <r>
    <x v="30"/>
    <n v="2026"/>
    <x v="10"/>
    <x v="3"/>
    <s v="Preservativo Masculino"/>
    <s v="Básico"/>
    <x v="30"/>
    <n v="0"/>
  </r>
  <r>
    <x v="30"/>
    <n v="2026"/>
    <x v="11"/>
    <x v="3"/>
    <s v="Preservativo Masculino"/>
    <s v="Básico"/>
    <x v="30"/>
    <n v="0"/>
  </r>
  <r>
    <x v="31"/>
    <n v="2026"/>
    <x v="0"/>
    <x v="3"/>
    <s v="Preservativo Masculino"/>
    <s v="Básico"/>
    <x v="31"/>
    <n v="7800"/>
  </r>
  <r>
    <x v="31"/>
    <n v="2026"/>
    <x v="1"/>
    <x v="3"/>
    <s v="Preservativo Masculino"/>
    <s v="Básico"/>
    <x v="31"/>
    <n v="7800"/>
  </r>
  <r>
    <x v="31"/>
    <n v="2026"/>
    <x v="2"/>
    <x v="3"/>
    <s v="Preservativo Masculino"/>
    <s v="Básico"/>
    <x v="31"/>
    <n v="7800"/>
  </r>
  <r>
    <x v="31"/>
    <n v="2026"/>
    <x v="3"/>
    <x v="3"/>
    <s v="Preservativo Masculino"/>
    <s v="Básico"/>
    <x v="31"/>
    <n v="0"/>
  </r>
  <r>
    <x v="31"/>
    <n v="2026"/>
    <x v="4"/>
    <x v="3"/>
    <s v="Preservativo Masculino"/>
    <s v="Básico"/>
    <x v="31"/>
    <n v="0"/>
  </r>
  <r>
    <x v="31"/>
    <n v="2026"/>
    <x v="5"/>
    <x v="3"/>
    <s v="Preservativo Masculino"/>
    <s v="Básico"/>
    <x v="31"/>
    <n v="0"/>
  </r>
  <r>
    <x v="31"/>
    <n v="2026"/>
    <x v="6"/>
    <x v="3"/>
    <s v="Preservativo Masculino"/>
    <s v="Básico"/>
    <x v="31"/>
    <n v="0"/>
  </r>
  <r>
    <x v="31"/>
    <n v="2026"/>
    <x v="7"/>
    <x v="3"/>
    <s v="Preservativo Masculino"/>
    <s v="Básico"/>
    <x v="31"/>
    <n v="0"/>
  </r>
  <r>
    <x v="31"/>
    <n v="2026"/>
    <x v="8"/>
    <x v="3"/>
    <s v="Preservativo Masculino"/>
    <s v="Básico"/>
    <x v="31"/>
    <n v="0"/>
  </r>
  <r>
    <x v="31"/>
    <n v="2026"/>
    <x v="9"/>
    <x v="3"/>
    <s v="Preservativo Masculino"/>
    <s v="Básico"/>
    <x v="31"/>
    <n v="0"/>
  </r>
  <r>
    <x v="31"/>
    <n v="2026"/>
    <x v="10"/>
    <x v="3"/>
    <s v="Preservativo Masculino"/>
    <s v="Básico"/>
    <x v="31"/>
    <n v="0"/>
  </r>
  <r>
    <x v="31"/>
    <n v="2026"/>
    <x v="11"/>
    <x v="3"/>
    <s v="Preservativo Masculino"/>
    <s v="Básico"/>
    <x v="31"/>
    <n v="0"/>
  </r>
  <r>
    <x v="32"/>
    <n v="2026"/>
    <x v="0"/>
    <x v="3"/>
    <s v="Preservativo Masculino"/>
    <s v="Básico"/>
    <x v="32"/>
    <n v="0"/>
  </r>
  <r>
    <x v="32"/>
    <n v="2026"/>
    <x v="1"/>
    <x v="3"/>
    <s v="Preservativo Masculino"/>
    <s v="Básico"/>
    <x v="32"/>
    <n v="3400"/>
  </r>
  <r>
    <x v="32"/>
    <n v="2026"/>
    <x v="2"/>
    <x v="3"/>
    <s v="Preservativo Masculino"/>
    <s v="Básico"/>
    <x v="32"/>
    <n v="3400"/>
  </r>
  <r>
    <x v="32"/>
    <n v="2026"/>
    <x v="3"/>
    <x v="3"/>
    <s v="Preservativo Masculino"/>
    <s v="Básico"/>
    <x v="32"/>
    <n v="0"/>
  </r>
  <r>
    <x v="32"/>
    <n v="2026"/>
    <x v="4"/>
    <x v="3"/>
    <s v="Preservativo Masculino"/>
    <s v="Básico"/>
    <x v="32"/>
    <n v="0"/>
  </r>
  <r>
    <x v="32"/>
    <n v="2026"/>
    <x v="5"/>
    <x v="3"/>
    <s v="Preservativo Masculino"/>
    <s v="Básico"/>
    <x v="32"/>
    <n v="0"/>
  </r>
  <r>
    <x v="32"/>
    <n v="2026"/>
    <x v="6"/>
    <x v="3"/>
    <s v="Preservativo Masculino"/>
    <s v="Básico"/>
    <x v="32"/>
    <n v="0"/>
  </r>
  <r>
    <x v="32"/>
    <n v="2026"/>
    <x v="7"/>
    <x v="3"/>
    <s v="Preservativo Masculino"/>
    <s v="Básico"/>
    <x v="32"/>
    <n v="0"/>
  </r>
  <r>
    <x v="32"/>
    <n v="2026"/>
    <x v="8"/>
    <x v="3"/>
    <s v="Preservativo Masculino"/>
    <s v="Básico"/>
    <x v="32"/>
    <n v="0"/>
  </r>
  <r>
    <x v="32"/>
    <n v="2026"/>
    <x v="9"/>
    <x v="3"/>
    <s v="Preservativo Masculino"/>
    <s v="Básico"/>
    <x v="32"/>
    <n v="0"/>
  </r>
  <r>
    <x v="32"/>
    <n v="2026"/>
    <x v="10"/>
    <x v="3"/>
    <s v="Preservativo Masculino"/>
    <s v="Básico"/>
    <x v="32"/>
    <n v="0"/>
  </r>
  <r>
    <x v="32"/>
    <n v="2026"/>
    <x v="11"/>
    <x v="3"/>
    <s v="Preservativo Masculino"/>
    <s v="Básico"/>
    <x v="32"/>
    <n v="0"/>
  </r>
  <r>
    <x v="33"/>
    <n v="2026"/>
    <x v="0"/>
    <x v="3"/>
    <s v="Preservativo Masculino"/>
    <s v="Performance"/>
    <x v="33"/>
    <n v="3400"/>
  </r>
  <r>
    <x v="33"/>
    <n v="2026"/>
    <x v="1"/>
    <x v="3"/>
    <s v="Preservativo Masculino"/>
    <s v="Performance"/>
    <x v="33"/>
    <n v="0"/>
  </r>
  <r>
    <x v="33"/>
    <n v="2026"/>
    <x v="2"/>
    <x v="3"/>
    <s v="Preservativo Masculino"/>
    <s v="Performance"/>
    <x v="33"/>
    <n v="0"/>
  </r>
  <r>
    <x v="33"/>
    <n v="2026"/>
    <x v="3"/>
    <x v="3"/>
    <s v="Preservativo Masculino"/>
    <s v="Performance"/>
    <x v="33"/>
    <n v="0"/>
  </r>
  <r>
    <x v="33"/>
    <n v="2026"/>
    <x v="4"/>
    <x v="3"/>
    <s v="Preservativo Masculino"/>
    <s v="Performance"/>
    <x v="33"/>
    <n v="0"/>
  </r>
  <r>
    <x v="33"/>
    <n v="2026"/>
    <x v="5"/>
    <x v="3"/>
    <s v="Preservativo Masculino"/>
    <s v="Performance"/>
    <x v="33"/>
    <n v="0"/>
  </r>
  <r>
    <x v="33"/>
    <n v="2026"/>
    <x v="6"/>
    <x v="3"/>
    <s v="Preservativo Masculino"/>
    <s v="Performance"/>
    <x v="33"/>
    <n v="0"/>
  </r>
  <r>
    <x v="33"/>
    <n v="2026"/>
    <x v="7"/>
    <x v="3"/>
    <s v="Preservativo Masculino"/>
    <s v="Performance"/>
    <x v="33"/>
    <n v="0"/>
  </r>
  <r>
    <x v="33"/>
    <n v="2026"/>
    <x v="8"/>
    <x v="3"/>
    <s v="Preservativo Masculino"/>
    <s v="Performance"/>
    <x v="33"/>
    <n v="0"/>
  </r>
  <r>
    <x v="33"/>
    <n v="2026"/>
    <x v="9"/>
    <x v="3"/>
    <s v="Preservativo Masculino"/>
    <s v="Performance"/>
    <x v="33"/>
    <n v="0"/>
  </r>
  <r>
    <x v="33"/>
    <n v="2026"/>
    <x v="10"/>
    <x v="3"/>
    <s v="Preservativo Masculino"/>
    <s v="Performance"/>
    <x v="33"/>
    <n v="0"/>
  </r>
  <r>
    <x v="33"/>
    <n v="2026"/>
    <x v="11"/>
    <x v="3"/>
    <s v="Preservativo Masculino"/>
    <s v="Performance"/>
    <x v="33"/>
    <n v="0"/>
  </r>
  <r>
    <x v="34"/>
    <n v="2026"/>
    <x v="0"/>
    <x v="3"/>
    <s v="Preservativo Masculino"/>
    <s v="Performance"/>
    <x v="34"/>
    <n v="0"/>
  </r>
  <r>
    <x v="34"/>
    <n v="2026"/>
    <x v="1"/>
    <x v="3"/>
    <s v="Preservativo Masculino"/>
    <s v="Performance"/>
    <x v="34"/>
    <n v="0"/>
  </r>
  <r>
    <x v="34"/>
    <n v="2026"/>
    <x v="2"/>
    <x v="3"/>
    <s v="Preservativo Masculino"/>
    <s v="Performance"/>
    <x v="34"/>
    <n v="0"/>
  </r>
  <r>
    <x v="34"/>
    <n v="2026"/>
    <x v="3"/>
    <x v="3"/>
    <s v="Preservativo Masculino"/>
    <s v="Performance"/>
    <x v="34"/>
    <n v="0"/>
  </r>
  <r>
    <x v="34"/>
    <n v="2026"/>
    <x v="4"/>
    <x v="3"/>
    <s v="Preservativo Masculino"/>
    <s v="Performance"/>
    <x v="34"/>
    <n v="0"/>
  </r>
  <r>
    <x v="34"/>
    <n v="2026"/>
    <x v="5"/>
    <x v="3"/>
    <s v="Preservativo Masculino"/>
    <s v="Performance"/>
    <x v="34"/>
    <n v="0"/>
  </r>
  <r>
    <x v="34"/>
    <n v="2026"/>
    <x v="6"/>
    <x v="3"/>
    <s v="Preservativo Masculino"/>
    <s v="Performance"/>
    <x v="34"/>
    <n v="0"/>
  </r>
  <r>
    <x v="34"/>
    <n v="2026"/>
    <x v="7"/>
    <x v="3"/>
    <s v="Preservativo Masculino"/>
    <s v="Performance"/>
    <x v="34"/>
    <n v="0"/>
  </r>
  <r>
    <x v="34"/>
    <n v="2026"/>
    <x v="8"/>
    <x v="3"/>
    <s v="Preservativo Masculino"/>
    <s v="Performance"/>
    <x v="34"/>
    <n v="0"/>
  </r>
  <r>
    <x v="34"/>
    <n v="2026"/>
    <x v="9"/>
    <x v="3"/>
    <s v="Preservativo Masculino"/>
    <s v="Performance"/>
    <x v="34"/>
    <n v="0"/>
  </r>
  <r>
    <x v="34"/>
    <n v="2026"/>
    <x v="10"/>
    <x v="3"/>
    <s v="Preservativo Masculino"/>
    <s v="Performance"/>
    <x v="34"/>
    <n v="0"/>
  </r>
  <r>
    <x v="34"/>
    <n v="2026"/>
    <x v="11"/>
    <x v="3"/>
    <s v="Preservativo Masculino"/>
    <s v="Performance"/>
    <x v="34"/>
    <n v="0"/>
  </r>
  <r>
    <x v="35"/>
    <n v="2026"/>
    <x v="0"/>
    <x v="3"/>
    <s v="Preservativo Masculino"/>
    <s v="Performance"/>
    <x v="35"/>
    <n v="0"/>
  </r>
  <r>
    <x v="35"/>
    <n v="2026"/>
    <x v="1"/>
    <x v="3"/>
    <s v="Preservativo Masculino"/>
    <s v="Performance"/>
    <x v="35"/>
    <n v="0"/>
  </r>
  <r>
    <x v="35"/>
    <n v="2026"/>
    <x v="2"/>
    <x v="3"/>
    <s v="Preservativo Masculino"/>
    <s v="Performance"/>
    <x v="35"/>
    <n v="0"/>
  </r>
  <r>
    <x v="35"/>
    <n v="2026"/>
    <x v="3"/>
    <x v="3"/>
    <s v="Preservativo Masculino"/>
    <s v="Performance"/>
    <x v="35"/>
    <n v="0"/>
  </r>
  <r>
    <x v="35"/>
    <n v="2026"/>
    <x v="4"/>
    <x v="3"/>
    <s v="Preservativo Masculino"/>
    <s v="Performance"/>
    <x v="35"/>
    <n v="0"/>
  </r>
  <r>
    <x v="35"/>
    <n v="2026"/>
    <x v="5"/>
    <x v="3"/>
    <s v="Preservativo Masculino"/>
    <s v="Performance"/>
    <x v="35"/>
    <n v="0"/>
  </r>
  <r>
    <x v="35"/>
    <n v="2026"/>
    <x v="6"/>
    <x v="3"/>
    <s v="Preservativo Masculino"/>
    <s v="Performance"/>
    <x v="35"/>
    <n v="0"/>
  </r>
  <r>
    <x v="35"/>
    <n v="2026"/>
    <x v="7"/>
    <x v="3"/>
    <s v="Preservativo Masculino"/>
    <s v="Performance"/>
    <x v="35"/>
    <n v="0"/>
  </r>
  <r>
    <x v="35"/>
    <n v="2026"/>
    <x v="8"/>
    <x v="3"/>
    <s v="Preservativo Masculino"/>
    <s v="Performance"/>
    <x v="35"/>
    <n v="0"/>
  </r>
  <r>
    <x v="35"/>
    <n v="2026"/>
    <x v="9"/>
    <x v="3"/>
    <s v="Preservativo Masculino"/>
    <s v="Performance"/>
    <x v="35"/>
    <n v="0"/>
  </r>
  <r>
    <x v="35"/>
    <n v="2026"/>
    <x v="10"/>
    <x v="3"/>
    <s v="Preservativo Masculino"/>
    <s v="Performance"/>
    <x v="35"/>
    <n v="0"/>
  </r>
  <r>
    <x v="35"/>
    <n v="2026"/>
    <x v="11"/>
    <x v="3"/>
    <s v="Preservativo Masculino"/>
    <s v="Performance"/>
    <x v="35"/>
    <n v="0"/>
  </r>
  <r>
    <x v="36"/>
    <n v="2026"/>
    <x v="0"/>
    <x v="3"/>
    <s v="Preservativo Masculino"/>
    <s v="Performance"/>
    <x v="36"/>
    <n v="0"/>
  </r>
  <r>
    <x v="36"/>
    <n v="2026"/>
    <x v="1"/>
    <x v="3"/>
    <s v="Preservativo Masculino"/>
    <s v="Performance"/>
    <x v="36"/>
    <n v="0"/>
  </r>
  <r>
    <x v="36"/>
    <n v="2026"/>
    <x v="2"/>
    <x v="3"/>
    <s v="Preservativo Masculino"/>
    <s v="Performance"/>
    <x v="36"/>
    <n v="0"/>
  </r>
  <r>
    <x v="36"/>
    <n v="2026"/>
    <x v="3"/>
    <x v="3"/>
    <s v="Preservativo Masculino"/>
    <s v="Performance"/>
    <x v="36"/>
    <n v="0"/>
  </r>
  <r>
    <x v="36"/>
    <n v="2026"/>
    <x v="4"/>
    <x v="3"/>
    <s v="Preservativo Masculino"/>
    <s v="Performance"/>
    <x v="36"/>
    <n v="0"/>
  </r>
  <r>
    <x v="36"/>
    <n v="2026"/>
    <x v="5"/>
    <x v="3"/>
    <s v="Preservativo Masculino"/>
    <s v="Performance"/>
    <x v="36"/>
    <n v="0"/>
  </r>
  <r>
    <x v="36"/>
    <n v="2026"/>
    <x v="6"/>
    <x v="3"/>
    <s v="Preservativo Masculino"/>
    <s v="Performance"/>
    <x v="36"/>
    <n v="0"/>
  </r>
  <r>
    <x v="36"/>
    <n v="2026"/>
    <x v="7"/>
    <x v="3"/>
    <s v="Preservativo Masculino"/>
    <s v="Performance"/>
    <x v="36"/>
    <n v="0"/>
  </r>
  <r>
    <x v="36"/>
    <n v="2026"/>
    <x v="8"/>
    <x v="3"/>
    <s v="Preservativo Masculino"/>
    <s v="Performance"/>
    <x v="36"/>
    <n v="0"/>
  </r>
  <r>
    <x v="36"/>
    <n v="2026"/>
    <x v="9"/>
    <x v="3"/>
    <s v="Preservativo Masculino"/>
    <s v="Performance"/>
    <x v="36"/>
    <n v="0"/>
  </r>
  <r>
    <x v="36"/>
    <n v="2026"/>
    <x v="10"/>
    <x v="3"/>
    <s v="Preservativo Masculino"/>
    <s v="Performance"/>
    <x v="36"/>
    <n v="0"/>
  </r>
  <r>
    <x v="36"/>
    <n v="2026"/>
    <x v="11"/>
    <x v="3"/>
    <s v="Preservativo Masculino"/>
    <s v="Performance"/>
    <x v="36"/>
    <n v="0"/>
  </r>
  <r>
    <x v="37"/>
    <n v="2026"/>
    <x v="0"/>
    <x v="3"/>
    <s v="Preservativo Masculino"/>
    <s v="Performance"/>
    <x v="37"/>
    <n v="0"/>
  </r>
  <r>
    <x v="37"/>
    <n v="2026"/>
    <x v="1"/>
    <x v="3"/>
    <s v="Preservativo Masculino"/>
    <s v="Performance"/>
    <x v="37"/>
    <n v="0"/>
  </r>
  <r>
    <x v="37"/>
    <n v="2026"/>
    <x v="2"/>
    <x v="3"/>
    <s v="Preservativo Masculino"/>
    <s v="Performance"/>
    <x v="37"/>
    <n v="0"/>
  </r>
  <r>
    <x v="37"/>
    <n v="2026"/>
    <x v="3"/>
    <x v="3"/>
    <s v="Preservativo Masculino"/>
    <s v="Performance"/>
    <x v="37"/>
    <n v="0"/>
  </r>
  <r>
    <x v="37"/>
    <n v="2026"/>
    <x v="4"/>
    <x v="3"/>
    <s v="Preservativo Masculino"/>
    <s v="Performance"/>
    <x v="37"/>
    <n v="0"/>
  </r>
  <r>
    <x v="37"/>
    <n v="2026"/>
    <x v="5"/>
    <x v="3"/>
    <s v="Preservativo Masculino"/>
    <s v="Performance"/>
    <x v="37"/>
    <n v="0"/>
  </r>
  <r>
    <x v="37"/>
    <n v="2026"/>
    <x v="6"/>
    <x v="3"/>
    <s v="Preservativo Masculino"/>
    <s v="Performance"/>
    <x v="37"/>
    <n v="0"/>
  </r>
  <r>
    <x v="37"/>
    <n v="2026"/>
    <x v="7"/>
    <x v="3"/>
    <s v="Preservativo Masculino"/>
    <s v="Performance"/>
    <x v="37"/>
    <n v="0"/>
  </r>
  <r>
    <x v="37"/>
    <n v="2026"/>
    <x v="8"/>
    <x v="3"/>
    <s v="Preservativo Masculino"/>
    <s v="Performance"/>
    <x v="37"/>
    <n v="0"/>
  </r>
  <r>
    <x v="37"/>
    <n v="2026"/>
    <x v="9"/>
    <x v="3"/>
    <s v="Preservativo Masculino"/>
    <s v="Performance"/>
    <x v="37"/>
    <n v="0"/>
  </r>
  <r>
    <x v="37"/>
    <n v="2026"/>
    <x v="10"/>
    <x v="3"/>
    <s v="Preservativo Masculino"/>
    <s v="Performance"/>
    <x v="37"/>
    <n v="0"/>
  </r>
  <r>
    <x v="37"/>
    <n v="2026"/>
    <x v="11"/>
    <x v="3"/>
    <s v="Preservativo Masculino"/>
    <s v="Performance"/>
    <x v="37"/>
    <n v="0"/>
  </r>
  <r>
    <x v="38"/>
    <n v="2026"/>
    <x v="0"/>
    <x v="3"/>
    <s v="Preservativo Masculino"/>
    <s v="Performance"/>
    <x v="38"/>
    <n v="0"/>
  </r>
  <r>
    <x v="38"/>
    <n v="2026"/>
    <x v="1"/>
    <x v="3"/>
    <s v="Preservativo Masculino"/>
    <s v="Performance"/>
    <x v="38"/>
    <n v="0"/>
  </r>
  <r>
    <x v="38"/>
    <n v="2026"/>
    <x v="2"/>
    <x v="3"/>
    <s v="Preservativo Masculino"/>
    <s v="Performance"/>
    <x v="38"/>
    <n v="0"/>
  </r>
  <r>
    <x v="38"/>
    <n v="2026"/>
    <x v="3"/>
    <x v="3"/>
    <s v="Preservativo Masculino"/>
    <s v="Performance"/>
    <x v="38"/>
    <n v="0"/>
  </r>
  <r>
    <x v="38"/>
    <n v="2026"/>
    <x v="4"/>
    <x v="3"/>
    <s v="Preservativo Masculino"/>
    <s v="Performance"/>
    <x v="38"/>
    <n v="0"/>
  </r>
  <r>
    <x v="38"/>
    <n v="2026"/>
    <x v="5"/>
    <x v="3"/>
    <s v="Preservativo Masculino"/>
    <s v="Performance"/>
    <x v="38"/>
    <n v="0"/>
  </r>
  <r>
    <x v="38"/>
    <n v="2026"/>
    <x v="6"/>
    <x v="3"/>
    <s v="Preservativo Masculino"/>
    <s v="Performance"/>
    <x v="38"/>
    <n v="0"/>
  </r>
  <r>
    <x v="38"/>
    <n v="2026"/>
    <x v="7"/>
    <x v="3"/>
    <s v="Preservativo Masculino"/>
    <s v="Performance"/>
    <x v="38"/>
    <n v="0"/>
  </r>
  <r>
    <x v="38"/>
    <n v="2026"/>
    <x v="8"/>
    <x v="3"/>
    <s v="Preservativo Masculino"/>
    <s v="Performance"/>
    <x v="38"/>
    <n v="0"/>
  </r>
  <r>
    <x v="38"/>
    <n v="2026"/>
    <x v="9"/>
    <x v="3"/>
    <s v="Preservativo Masculino"/>
    <s v="Performance"/>
    <x v="38"/>
    <n v="0"/>
  </r>
  <r>
    <x v="38"/>
    <n v="2026"/>
    <x v="10"/>
    <x v="3"/>
    <s v="Preservativo Masculino"/>
    <s v="Performance"/>
    <x v="38"/>
    <n v="0"/>
  </r>
  <r>
    <x v="38"/>
    <n v="2026"/>
    <x v="11"/>
    <x v="3"/>
    <s v="Preservativo Masculino"/>
    <s v="Performance"/>
    <x v="38"/>
    <n v="0"/>
  </r>
  <r>
    <x v="39"/>
    <n v="2026"/>
    <x v="0"/>
    <x v="3"/>
    <s v="Preservativo Masculino"/>
    <s v="Performance"/>
    <x v="39"/>
    <n v="0"/>
  </r>
  <r>
    <x v="39"/>
    <n v="2026"/>
    <x v="1"/>
    <x v="3"/>
    <s v="Preservativo Masculino"/>
    <s v="Performance"/>
    <x v="39"/>
    <n v="0"/>
  </r>
  <r>
    <x v="39"/>
    <n v="2026"/>
    <x v="2"/>
    <x v="3"/>
    <s v="Preservativo Masculino"/>
    <s v="Performance"/>
    <x v="39"/>
    <n v="0"/>
  </r>
  <r>
    <x v="39"/>
    <n v="2026"/>
    <x v="3"/>
    <x v="3"/>
    <s v="Preservativo Masculino"/>
    <s v="Performance"/>
    <x v="39"/>
    <n v="0"/>
  </r>
  <r>
    <x v="39"/>
    <n v="2026"/>
    <x v="4"/>
    <x v="3"/>
    <s v="Preservativo Masculino"/>
    <s v="Performance"/>
    <x v="39"/>
    <n v="0"/>
  </r>
  <r>
    <x v="39"/>
    <n v="2026"/>
    <x v="5"/>
    <x v="3"/>
    <s v="Preservativo Masculino"/>
    <s v="Performance"/>
    <x v="39"/>
    <n v="0"/>
  </r>
  <r>
    <x v="39"/>
    <n v="2026"/>
    <x v="6"/>
    <x v="3"/>
    <s v="Preservativo Masculino"/>
    <s v="Performance"/>
    <x v="39"/>
    <n v="0"/>
  </r>
  <r>
    <x v="39"/>
    <n v="2026"/>
    <x v="7"/>
    <x v="3"/>
    <s v="Preservativo Masculino"/>
    <s v="Performance"/>
    <x v="39"/>
    <n v="0"/>
  </r>
  <r>
    <x v="39"/>
    <n v="2026"/>
    <x v="8"/>
    <x v="3"/>
    <s v="Preservativo Masculino"/>
    <s v="Performance"/>
    <x v="39"/>
    <n v="0"/>
  </r>
  <r>
    <x v="39"/>
    <n v="2026"/>
    <x v="9"/>
    <x v="3"/>
    <s v="Preservativo Masculino"/>
    <s v="Performance"/>
    <x v="39"/>
    <n v="0"/>
  </r>
  <r>
    <x v="39"/>
    <n v="2026"/>
    <x v="10"/>
    <x v="3"/>
    <s v="Preservativo Masculino"/>
    <s v="Performance"/>
    <x v="39"/>
    <n v="0"/>
  </r>
  <r>
    <x v="39"/>
    <n v="2026"/>
    <x v="11"/>
    <x v="3"/>
    <s v="Preservativo Masculino"/>
    <s v="Performance"/>
    <x v="39"/>
    <n v="0"/>
  </r>
  <r>
    <x v="40"/>
    <n v="2026"/>
    <x v="0"/>
    <x v="3"/>
    <s v="Gel Lubrificante"/>
    <s v="Lub 100G"/>
    <x v="40"/>
    <n v="0"/>
  </r>
  <r>
    <x v="40"/>
    <n v="2026"/>
    <x v="1"/>
    <x v="3"/>
    <s v="Gel Lubrificante"/>
    <s v="Lub 100G"/>
    <x v="40"/>
    <n v="0"/>
  </r>
  <r>
    <x v="40"/>
    <n v="2026"/>
    <x v="2"/>
    <x v="3"/>
    <s v="Gel Lubrificante"/>
    <s v="Lub 100G"/>
    <x v="40"/>
    <n v="0"/>
  </r>
  <r>
    <x v="40"/>
    <n v="2026"/>
    <x v="3"/>
    <x v="3"/>
    <s v="Gel Lubrificante"/>
    <s v="Lub 100G"/>
    <x v="40"/>
    <n v="0"/>
  </r>
  <r>
    <x v="40"/>
    <n v="2026"/>
    <x v="4"/>
    <x v="3"/>
    <s v="Gel Lubrificante"/>
    <s v="Lub 100G"/>
    <x v="40"/>
    <n v="0"/>
  </r>
  <r>
    <x v="40"/>
    <n v="2026"/>
    <x v="5"/>
    <x v="3"/>
    <s v="Gel Lubrificante"/>
    <s v="Lub 100G"/>
    <x v="40"/>
    <n v="0"/>
  </r>
  <r>
    <x v="40"/>
    <n v="2026"/>
    <x v="6"/>
    <x v="3"/>
    <s v="Gel Lubrificante"/>
    <s v="Lub 100G"/>
    <x v="40"/>
    <n v="0"/>
  </r>
  <r>
    <x v="40"/>
    <n v="2026"/>
    <x v="7"/>
    <x v="3"/>
    <s v="Gel Lubrificante"/>
    <s v="Lub 100G"/>
    <x v="40"/>
    <n v="0"/>
  </r>
  <r>
    <x v="40"/>
    <n v="2026"/>
    <x v="8"/>
    <x v="3"/>
    <s v="Gel Lubrificante"/>
    <s v="Lub 100G"/>
    <x v="40"/>
    <n v="0"/>
  </r>
  <r>
    <x v="40"/>
    <n v="2026"/>
    <x v="9"/>
    <x v="3"/>
    <s v="Gel Lubrificante"/>
    <s v="Lub 100G"/>
    <x v="40"/>
    <n v="0"/>
  </r>
  <r>
    <x v="40"/>
    <n v="2026"/>
    <x v="10"/>
    <x v="3"/>
    <s v="Gel Lubrificante"/>
    <s v="Lub 100G"/>
    <x v="40"/>
    <n v="0"/>
  </r>
  <r>
    <x v="40"/>
    <n v="2026"/>
    <x v="11"/>
    <x v="3"/>
    <s v="Gel Lubrificante"/>
    <s v="Lub 100G"/>
    <x v="40"/>
    <n v="0"/>
  </r>
  <r>
    <x v="41"/>
    <n v="2026"/>
    <x v="0"/>
    <x v="3"/>
    <s v="Gel Lubrificante"/>
    <s v="Lub 100G"/>
    <x v="41"/>
    <n v="0"/>
  </r>
  <r>
    <x v="41"/>
    <n v="2026"/>
    <x v="1"/>
    <x v="3"/>
    <s v="Gel Lubrificante"/>
    <s v="Lub 100G"/>
    <x v="41"/>
    <n v="0"/>
  </r>
  <r>
    <x v="41"/>
    <n v="2026"/>
    <x v="2"/>
    <x v="3"/>
    <s v="Gel Lubrificante"/>
    <s v="Lub 100G"/>
    <x v="41"/>
    <n v="0"/>
  </r>
  <r>
    <x v="41"/>
    <n v="2026"/>
    <x v="3"/>
    <x v="3"/>
    <s v="Gel Lubrificante"/>
    <s v="Lub 100G"/>
    <x v="41"/>
    <n v="0"/>
  </r>
  <r>
    <x v="41"/>
    <n v="2026"/>
    <x v="4"/>
    <x v="3"/>
    <s v="Gel Lubrificante"/>
    <s v="Lub 100G"/>
    <x v="41"/>
    <n v="0"/>
  </r>
  <r>
    <x v="41"/>
    <n v="2026"/>
    <x v="5"/>
    <x v="3"/>
    <s v="Gel Lubrificante"/>
    <s v="Lub 100G"/>
    <x v="41"/>
    <n v="0"/>
  </r>
  <r>
    <x v="41"/>
    <n v="2026"/>
    <x v="6"/>
    <x v="3"/>
    <s v="Gel Lubrificante"/>
    <s v="Lub 100G"/>
    <x v="41"/>
    <n v="0"/>
  </r>
  <r>
    <x v="41"/>
    <n v="2026"/>
    <x v="7"/>
    <x v="3"/>
    <s v="Gel Lubrificante"/>
    <s v="Lub 100G"/>
    <x v="41"/>
    <n v="0"/>
  </r>
  <r>
    <x v="41"/>
    <n v="2026"/>
    <x v="8"/>
    <x v="3"/>
    <s v="Gel Lubrificante"/>
    <s v="Lub 100G"/>
    <x v="41"/>
    <n v="0"/>
  </r>
  <r>
    <x v="41"/>
    <n v="2026"/>
    <x v="9"/>
    <x v="3"/>
    <s v="Gel Lubrificante"/>
    <s v="Lub 100G"/>
    <x v="41"/>
    <n v="0"/>
  </r>
  <r>
    <x v="41"/>
    <n v="2026"/>
    <x v="10"/>
    <x v="3"/>
    <s v="Gel Lubrificante"/>
    <s v="Lub 100G"/>
    <x v="41"/>
    <n v="0"/>
  </r>
  <r>
    <x v="41"/>
    <n v="2026"/>
    <x v="11"/>
    <x v="3"/>
    <s v="Gel Lubrificante"/>
    <s v="Lub 100G"/>
    <x v="41"/>
    <n v="0"/>
  </r>
  <r>
    <x v="42"/>
    <n v="2026"/>
    <x v="0"/>
    <x v="3"/>
    <s v="Gel Lubrificante"/>
    <s v="Lub 100G"/>
    <x v="42"/>
    <n v="0"/>
  </r>
  <r>
    <x v="42"/>
    <n v="2026"/>
    <x v="1"/>
    <x v="3"/>
    <s v="Gel Lubrificante"/>
    <s v="Lub 100G"/>
    <x v="42"/>
    <n v="0"/>
  </r>
  <r>
    <x v="42"/>
    <n v="2026"/>
    <x v="2"/>
    <x v="3"/>
    <s v="Gel Lubrificante"/>
    <s v="Lub 100G"/>
    <x v="42"/>
    <n v="0"/>
  </r>
  <r>
    <x v="42"/>
    <n v="2026"/>
    <x v="3"/>
    <x v="3"/>
    <s v="Gel Lubrificante"/>
    <s v="Lub 100G"/>
    <x v="42"/>
    <n v="0"/>
  </r>
  <r>
    <x v="42"/>
    <n v="2026"/>
    <x v="4"/>
    <x v="3"/>
    <s v="Gel Lubrificante"/>
    <s v="Lub 100G"/>
    <x v="42"/>
    <n v="0"/>
  </r>
  <r>
    <x v="42"/>
    <n v="2026"/>
    <x v="5"/>
    <x v="3"/>
    <s v="Gel Lubrificante"/>
    <s v="Lub 100G"/>
    <x v="42"/>
    <n v="0"/>
  </r>
  <r>
    <x v="42"/>
    <n v="2026"/>
    <x v="6"/>
    <x v="3"/>
    <s v="Gel Lubrificante"/>
    <s v="Lub 100G"/>
    <x v="42"/>
    <n v="0"/>
  </r>
  <r>
    <x v="42"/>
    <n v="2026"/>
    <x v="7"/>
    <x v="3"/>
    <s v="Gel Lubrificante"/>
    <s v="Lub 100G"/>
    <x v="42"/>
    <n v="0"/>
  </r>
  <r>
    <x v="42"/>
    <n v="2026"/>
    <x v="8"/>
    <x v="3"/>
    <s v="Gel Lubrificante"/>
    <s v="Lub 100G"/>
    <x v="42"/>
    <n v="0"/>
  </r>
  <r>
    <x v="42"/>
    <n v="2026"/>
    <x v="9"/>
    <x v="3"/>
    <s v="Gel Lubrificante"/>
    <s v="Lub 100G"/>
    <x v="42"/>
    <n v="0"/>
  </r>
  <r>
    <x v="42"/>
    <n v="2026"/>
    <x v="10"/>
    <x v="3"/>
    <s v="Gel Lubrificante"/>
    <s v="Lub 100G"/>
    <x v="42"/>
    <n v="0"/>
  </r>
  <r>
    <x v="42"/>
    <n v="2026"/>
    <x v="11"/>
    <x v="3"/>
    <s v="Gel Lubrificante"/>
    <s v="Lub 100G"/>
    <x v="42"/>
    <n v="0"/>
  </r>
  <r>
    <x v="43"/>
    <n v="2026"/>
    <x v="0"/>
    <x v="3"/>
    <s v="Gel Lubrificante"/>
    <s v="Lub 100G"/>
    <x v="43"/>
    <n v="0"/>
  </r>
  <r>
    <x v="43"/>
    <n v="2026"/>
    <x v="1"/>
    <x v="3"/>
    <s v="Gel Lubrificante"/>
    <s v="Lub 100G"/>
    <x v="43"/>
    <n v="0"/>
  </r>
  <r>
    <x v="43"/>
    <n v="2026"/>
    <x v="2"/>
    <x v="3"/>
    <s v="Gel Lubrificante"/>
    <s v="Lub 100G"/>
    <x v="43"/>
    <n v="0"/>
  </r>
  <r>
    <x v="43"/>
    <n v="2026"/>
    <x v="3"/>
    <x v="3"/>
    <s v="Gel Lubrificante"/>
    <s v="Lub 100G"/>
    <x v="43"/>
    <n v="0"/>
  </r>
  <r>
    <x v="43"/>
    <n v="2026"/>
    <x v="4"/>
    <x v="3"/>
    <s v="Gel Lubrificante"/>
    <s v="Lub 100G"/>
    <x v="43"/>
    <n v="0"/>
  </r>
  <r>
    <x v="43"/>
    <n v="2026"/>
    <x v="5"/>
    <x v="3"/>
    <s v="Gel Lubrificante"/>
    <s v="Lub 100G"/>
    <x v="43"/>
    <n v="0"/>
  </r>
  <r>
    <x v="43"/>
    <n v="2026"/>
    <x v="6"/>
    <x v="3"/>
    <s v="Gel Lubrificante"/>
    <s v="Lub 100G"/>
    <x v="43"/>
    <n v="0"/>
  </r>
  <r>
    <x v="43"/>
    <n v="2026"/>
    <x v="7"/>
    <x v="3"/>
    <s v="Gel Lubrificante"/>
    <s v="Lub 100G"/>
    <x v="43"/>
    <n v="0"/>
  </r>
  <r>
    <x v="43"/>
    <n v="2026"/>
    <x v="8"/>
    <x v="3"/>
    <s v="Gel Lubrificante"/>
    <s v="Lub 100G"/>
    <x v="43"/>
    <n v="0"/>
  </r>
  <r>
    <x v="43"/>
    <n v="2026"/>
    <x v="9"/>
    <x v="3"/>
    <s v="Gel Lubrificante"/>
    <s v="Lub 100G"/>
    <x v="43"/>
    <n v="0"/>
  </r>
  <r>
    <x v="43"/>
    <n v="2026"/>
    <x v="10"/>
    <x v="3"/>
    <s v="Gel Lubrificante"/>
    <s v="Lub 100G"/>
    <x v="43"/>
    <n v="0"/>
  </r>
  <r>
    <x v="43"/>
    <n v="2026"/>
    <x v="11"/>
    <x v="3"/>
    <s v="Gel Lubrificante"/>
    <s v="Lub 100G"/>
    <x v="43"/>
    <n v="0"/>
  </r>
  <r>
    <x v="44"/>
    <n v="2026"/>
    <x v="0"/>
    <x v="3"/>
    <s v="Gel Lubrificante"/>
    <s v="Lub 60G"/>
    <x v="44"/>
    <n v="0"/>
  </r>
  <r>
    <x v="44"/>
    <n v="2026"/>
    <x v="1"/>
    <x v="3"/>
    <s v="Gel Lubrificante"/>
    <s v="Lub 60G"/>
    <x v="44"/>
    <n v="0"/>
  </r>
  <r>
    <x v="44"/>
    <n v="2026"/>
    <x v="2"/>
    <x v="3"/>
    <s v="Gel Lubrificante"/>
    <s v="Lub 60G"/>
    <x v="44"/>
    <n v="0"/>
  </r>
  <r>
    <x v="44"/>
    <n v="2026"/>
    <x v="3"/>
    <x v="3"/>
    <s v="Gel Lubrificante"/>
    <s v="Lub 60G"/>
    <x v="44"/>
    <n v="0"/>
  </r>
  <r>
    <x v="44"/>
    <n v="2026"/>
    <x v="4"/>
    <x v="3"/>
    <s v="Gel Lubrificante"/>
    <s v="Lub 60G"/>
    <x v="44"/>
    <n v="0"/>
  </r>
  <r>
    <x v="44"/>
    <n v="2026"/>
    <x v="5"/>
    <x v="3"/>
    <s v="Gel Lubrificante"/>
    <s v="Lub 60G"/>
    <x v="44"/>
    <n v="0"/>
  </r>
  <r>
    <x v="44"/>
    <n v="2026"/>
    <x v="6"/>
    <x v="3"/>
    <s v="Gel Lubrificante"/>
    <s v="Lub 60G"/>
    <x v="44"/>
    <n v="0"/>
  </r>
  <r>
    <x v="44"/>
    <n v="2026"/>
    <x v="7"/>
    <x v="3"/>
    <s v="Gel Lubrificante"/>
    <s v="Lub 60G"/>
    <x v="44"/>
    <n v="0"/>
  </r>
  <r>
    <x v="44"/>
    <n v="2026"/>
    <x v="8"/>
    <x v="3"/>
    <s v="Gel Lubrificante"/>
    <s v="Lub 60G"/>
    <x v="44"/>
    <n v="0"/>
  </r>
  <r>
    <x v="44"/>
    <n v="2026"/>
    <x v="9"/>
    <x v="3"/>
    <s v="Gel Lubrificante"/>
    <s v="Lub 60G"/>
    <x v="44"/>
    <n v="0"/>
  </r>
  <r>
    <x v="44"/>
    <n v="2026"/>
    <x v="10"/>
    <x v="3"/>
    <s v="Gel Lubrificante"/>
    <s v="Lub 60G"/>
    <x v="44"/>
    <n v="0"/>
  </r>
  <r>
    <x v="44"/>
    <n v="2026"/>
    <x v="11"/>
    <x v="3"/>
    <s v="Gel Lubrificante"/>
    <s v="Lub 60G"/>
    <x v="44"/>
    <n v="0"/>
  </r>
  <r>
    <x v="45"/>
    <n v="2026"/>
    <x v="0"/>
    <x v="3"/>
    <s v="Intima"/>
    <s v="Wipes &amp; Softcup"/>
    <x v="45"/>
    <n v="0"/>
  </r>
  <r>
    <x v="45"/>
    <n v="2026"/>
    <x v="1"/>
    <x v="3"/>
    <s v="Intima"/>
    <s v="Wipes &amp; Softcup"/>
    <x v="45"/>
    <n v="0"/>
  </r>
  <r>
    <x v="45"/>
    <n v="2026"/>
    <x v="2"/>
    <x v="3"/>
    <s v="Intima"/>
    <s v="Wipes &amp; Softcup"/>
    <x v="45"/>
    <n v="0"/>
  </r>
  <r>
    <x v="45"/>
    <n v="2026"/>
    <x v="3"/>
    <x v="3"/>
    <s v="Intima"/>
    <s v="Wipes &amp; Softcup"/>
    <x v="45"/>
    <n v="0"/>
  </r>
  <r>
    <x v="45"/>
    <n v="2026"/>
    <x v="4"/>
    <x v="3"/>
    <s v="Intima"/>
    <s v="Wipes &amp; Softcup"/>
    <x v="45"/>
    <n v="0"/>
  </r>
  <r>
    <x v="45"/>
    <n v="2026"/>
    <x v="5"/>
    <x v="3"/>
    <s v="Intima"/>
    <s v="Wipes &amp; Softcup"/>
    <x v="45"/>
    <n v="0"/>
  </r>
  <r>
    <x v="45"/>
    <n v="2026"/>
    <x v="6"/>
    <x v="3"/>
    <s v="Intima"/>
    <s v="Wipes &amp; Softcup"/>
    <x v="45"/>
    <n v="0"/>
  </r>
  <r>
    <x v="45"/>
    <n v="2026"/>
    <x v="7"/>
    <x v="3"/>
    <s v="Intima"/>
    <s v="Wipes &amp; Softcup"/>
    <x v="45"/>
    <n v="0"/>
  </r>
  <r>
    <x v="45"/>
    <n v="2026"/>
    <x v="8"/>
    <x v="3"/>
    <s v="Intima"/>
    <s v="Wipes &amp; Softcup"/>
    <x v="45"/>
    <n v="0"/>
  </r>
  <r>
    <x v="45"/>
    <n v="2026"/>
    <x v="9"/>
    <x v="3"/>
    <s v="Intima"/>
    <s v="Wipes &amp; Softcup"/>
    <x v="45"/>
    <n v="0"/>
  </r>
  <r>
    <x v="45"/>
    <n v="2026"/>
    <x v="10"/>
    <x v="3"/>
    <s v="Intima"/>
    <s v="Wipes &amp; Softcup"/>
    <x v="45"/>
    <n v="0"/>
  </r>
  <r>
    <x v="45"/>
    <n v="2026"/>
    <x v="11"/>
    <x v="3"/>
    <s v="Intima"/>
    <s v="Wipes &amp; Softcup"/>
    <x v="45"/>
    <n v="0"/>
  </r>
  <r>
    <x v="46"/>
    <n v="2026"/>
    <x v="0"/>
    <x v="3"/>
    <s v="Intima"/>
    <s v="Wipes &amp; Softcup"/>
    <x v="46"/>
    <n v="0"/>
  </r>
  <r>
    <x v="46"/>
    <n v="2026"/>
    <x v="1"/>
    <x v="3"/>
    <s v="Intima"/>
    <s v="Wipes &amp; Softcup"/>
    <x v="46"/>
    <n v="0"/>
  </r>
  <r>
    <x v="46"/>
    <n v="2026"/>
    <x v="2"/>
    <x v="3"/>
    <s v="Intima"/>
    <s v="Wipes &amp; Softcup"/>
    <x v="46"/>
    <n v="0"/>
  </r>
  <r>
    <x v="46"/>
    <n v="2026"/>
    <x v="3"/>
    <x v="3"/>
    <s v="Intima"/>
    <s v="Wipes &amp; Softcup"/>
    <x v="46"/>
    <n v="0"/>
  </r>
  <r>
    <x v="46"/>
    <n v="2026"/>
    <x v="4"/>
    <x v="3"/>
    <s v="Intima"/>
    <s v="Wipes &amp; Softcup"/>
    <x v="46"/>
    <n v="0"/>
  </r>
  <r>
    <x v="46"/>
    <n v="2026"/>
    <x v="5"/>
    <x v="3"/>
    <s v="Intima"/>
    <s v="Wipes &amp; Softcup"/>
    <x v="46"/>
    <n v="0"/>
  </r>
  <r>
    <x v="46"/>
    <n v="2026"/>
    <x v="6"/>
    <x v="3"/>
    <s v="Intima"/>
    <s v="Wipes &amp; Softcup"/>
    <x v="46"/>
    <n v="0"/>
  </r>
  <r>
    <x v="46"/>
    <n v="2026"/>
    <x v="7"/>
    <x v="3"/>
    <s v="Intima"/>
    <s v="Wipes &amp; Softcup"/>
    <x v="46"/>
    <n v="0"/>
  </r>
  <r>
    <x v="46"/>
    <n v="2026"/>
    <x v="8"/>
    <x v="3"/>
    <s v="Intima"/>
    <s v="Wipes &amp; Softcup"/>
    <x v="46"/>
    <n v="0"/>
  </r>
  <r>
    <x v="46"/>
    <n v="2026"/>
    <x v="9"/>
    <x v="3"/>
    <s v="Intima"/>
    <s v="Wipes &amp; Softcup"/>
    <x v="46"/>
    <n v="0"/>
  </r>
  <r>
    <x v="46"/>
    <n v="2026"/>
    <x v="10"/>
    <x v="3"/>
    <s v="Intima"/>
    <s v="Wipes &amp; Softcup"/>
    <x v="46"/>
    <n v="0"/>
  </r>
  <r>
    <x v="46"/>
    <n v="2026"/>
    <x v="11"/>
    <x v="3"/>
    <s v="Intima"/>
    <s v="Wipes &amp; Softcup"/>
    <x v="46"/>
    <n v="0"/>
  </r>
  <r>
    <x v="47"/>
    <n v="2026"/>
    <x v="0"/>
    <x v="3"/>
    <s v="RX"/>
    <s v="Aspirators"/>
    <x v="47"/>
    <n v="0"/>
  </r>
  <r>
    <x v="47"/>
    <n v="2026"/>
    <x v="1"/>
    <x v="3"/>
    <s v="RX"/>
    <s v="Aspirators"/>
    <x v="47"/>
    <n v="2000"/>
  </r>
  <r>
    <x v="47"/>
    <n v="2026"/>
    <x v="2"/>
    <x v="3"/>
    <s v="RX"/>
    <s v="Aspirators"/>
    <x v="47"/>
    <n v="2000"/>
  </r>
  <r>
    <x v="47"/>
    <n v="2026"/>
    <x v="3"/>
    <x v="3"/>
    <s v="RX"/>
    <s v="Aspirators"/>
    <x v="47"/>
    <n v="2000"/>
  </r>
  <r>
    <x v="47"/>
    <n v="2026"/>
    <x v="4"/>
    <x v="3"/>
    <s v="RX"/>
    <s v="Aspirators"/>
    <x v="47"/>
    <n v="0"/>
  </r>
  <r>
    <x v="47"/>
    <n v="2026"/>
    <x v="5"/>
    <x v="3"/>
    <s v="RX"/>
    <s v="Aspirators"/>
    <x v="47"/>
    <n v="0"/>
  </r>
  <r>
    <x v="47"/>
    <n v="2026"/>
    <x v="6"/>
    <x v="3"/>
    <s v="RX"/>
    <s v="Aspirators"/>
    <x v="47"/>
    <n v="0"/>
  </r>
  <r>
    <x v="47"/>
    <n v="2026"/>
    <x v="7"/>
    <x v="3"/>
    <s v="RX"/>
    <s v="Aspirators"/>
    <x v="47"/>
    <n v="0"/>
  </r>
  <r>
    <x v="47"/>
    <n v="2026"/>
    <x v="8"/>
    <x v="3"/>
    <s v="RX"/>
    <s v="Aspirators"/>
    <x v="47"/>
    <n v="0"/>
  </r>
  <r>
    <x v="47"/>
    <n v="2026"/>
    <x v="9"/>
    <x v="3"/>
    <s v="RX"/>
    <s v="Aspirators"/>
    <x v="47"/>
    <n v="0"/>
  </r>
  <r>
    <x v="47"/>
    <n v="2026"/>
    <x v="10"/>
    <x v="3"/>
    <s v="RX"/>
    <s v="Aspirators"/>
    <x v="47"/>
    <n v="0"/>
  </r>
  <r>
    <x v="47"/>
    <n v="2026"/>
    <x v="11"/>
    <x v="3"/>
    <s v="RX"/>
    <s v="Aspirators"/>
    <x v="47"/>
    <n v="0"/>
  </r>
  <r>
    <x v="48"/>
    <n v="2026"/>
    <x v="0"/>
    <x v="3"/>
    <s v="RX"/>
    <s v="Aspirators"/>
    <x v="48"/>
    <n v="0"/>
  </r>
  <r>
    <x v="48"/>
    <n v="2026"/>
    <x v="1"/>
    <x v="3"/>
    <s v="RX"/>
    <s v="Aspirators"/>
    <x v="48"/>
    <n v="1000"/>
  </r>
  <r>
    <x v="48"/>
    <n v="2026"/>
    <x v="2"/>
    <x v="3"/>
    <s v="RX"/>
    <s v="Aspirators"/>
    <x v="48"/>
    <n v="1000"/>
  </r>
  <r>
    <x v="48"/>
    <n v="2026"/>
    <x v="3"/>
    <x v="3"/>
    <s v="RX"/>
    <s v="Aspirators"/>
    <x v="48"/>
    <n v="1000"/>
  </r>
  <r>
    <x v="48"/>
    <n v="2026"/>
    <x v="4"/>
    <x v="3"/>
    <s v="RX"/>
    <s v="Aspirators"/>
    <x v="48"/>
    <n v="0"/>
  </r>
  <r>
    <x v="48"/>
    <n v="2026"/>
    <x v="5"/>
    <x v="3"/>
    <s v="RX"/>
    <s v="Aspirators"/>
    <x v="48"/>
    <n v="0"/>
  </r>
  <r>
    <x v="48"/>
    <n v="2026"/>
    <x v="6"/>
    <x v="3"/>
    <s v="RX"/>
    <s v="Aspirators"/>
    <x v="48"/>
    <n v="0"/>
  </r>
  <r>
    <x v="48"/>
    <n v="2026"/>
    <x v="7"/>
    <x v="3"/>
    <s v="RX"/>
    <s v="Aspirators"/>
    <x v="48"/>
    <n v="0"/>
  </r>
  <r>
    <x v="48"/>
    <n v="2026"/>
    <x v="8"/>
    <x v="3"/>
    <s v="RX"/>
    <s v="Aspirators"/>
    <x v="48"/>
    <n v="0"/>
  </r>
  <r>
    <x v="48"/>
    <n v="2026"/>
    <x v="9"/>
    <x v="3"/>
    <s v="RX"/>
    <s v="Aspirators"/>
    <x v="48"/>
    <n v="0"/>
  </r>
  <r>
    <x v="48"/>
    <n v="2026"/>
    <x v="10"/>
    <x v="3"/>
    <s v="RX"/>
    <s v="Aspirators"/>
    <x v="48"/>
    <n v="0"/>
  </r>
  <r>
    <x v="48"/>
    <n v="2026"/>
    <x v="11"/>
    <x v="3"/>
    <s v="RX"/>
    <s v="Aspirators"/>
    <x v="48"/>
    <n v="0"/>
  </r>
  <r>
    <x v="49"/>
    <n v="2026"/>
    <x v="0"/>
    <x v="3"/>
    <s v="RX"/>
    <s v="Cannulae"/>
    <x v="49"/>
    <n v="0"/>
  </r>
  <r>
    <x v="49"/>
    <n v="2026"/>
    <x v="1"/>
    <x v="3"/>
    <s v="RX"/>
    <s v="Cannulae"/>
    <x v="49"/>
    <n v="0"/>
  </r>
  <r>
    <x v="49"/>
    <n v="2026"/>
    <x v="2"/>
    <x v="3"/>
    <s v="RX"/>
    <s v="Cannulae"/>
    <x v="49"/>
    <n v="0"/>
  </r>
  <r>
    <x v="49"/>
    <n v="2026"/>
    <x v="3"/>
    <x v="3"/>
    <s v="RX"/>
    <s v="Cannulae"/>
    <x v="49"/>
    <n v="0"/>
  </r>
  <r>
    <x v="49"/>
    <n v="2026"/>
    <x v="4"/>
    <x v="3"/>
    <s v="RX"/>
    <s v="Cannulae"/>
    <x v="49"/>
    <n v="0"/>
  </r>
  <r>
    <x v="49"/>
    <n v="2026"/>
    <x v="5"/>
    <x v="3"/>
    <s v="RX"/>
    <s v="Cannulae"/>
    <x v="49"/>
    <n v="0"/>
  </r>
  <r>
    <x v="49"/>
    <n v="2026"/>
    <x v="6"/>
    <x v="3"/>
    <s v="RX"/>
    <s v="Cannulae"/>
    <x v="49"/>
    <n v="0"/>
  </r>
  <r>
    <x v="49"/>
    <n v="2026"/>
    <x v="7"/>
    <x v="3"/>
    <s v="RX"/>
    <s v="Cannulae"/>
    <x v="49"/>
    <n v="0"/>
  </r>
  <r>
    <x v="49"/>
    <n v="2026"/>
    <x v="8"/>
    <x v="3"/>
    <s v="RX"/>
    <s v="Cannulae"/>
    <x v="49"/>
    <n v="0"/>
  </r>
  <r>
    <x v="49"/>
    <n v="2026"/>
    <x v="9"/>
    <x v="3"/>
    <s v="RX"/>
    <s v="Cannulae"/>
    <x v="49"/>
    <n v="0"/>
  </r>
  <r>
    <x v="49"/>
    <n v="2026"/>
    <x v="10"/>
    <x v="3"/>
    <s v="RX"/>
    <s v="Cannulae"/>
    <x v="49"/>
    <n v="0"/>
  </r>
  <r>
    <x v="49"/>
    <n v="2026"/>
    <x v="11"/>
    <x v="3"/>
    <s v="RX"/>
    <s v="Cannulae"/>
    <x v="49"/>
    <n v="0"/>
  </r>
  <r>
    <x v="50"/>
    <n v="2026"/>
    <x v="0"/>
    <x v="3"/>
    <s v="RX"/>
    <s v="Cannulae"/>
    <x v="50"/>
    <n v="0"/>
  </r>
  <r>
    <x v="50"/>
    <n v="2026"/>
    <x v="1"/>
    <x v="3"/>
    <s v="RX"/>
    <s v="Cannulae"/>
    <x v="50"/>
    <n v="1000"/>
  </r>
  <r>
    <x v="50"/>
    <n v="2026"/>
    <x v="2"/>
    <x v="3"/>
    <s v="RX"/>
    <s v="Cannulae"/>
    <x v="50"/>
    <n v="1000"/>
  </r>
  <r>
    <x v="50"/>
    <n v="2026"/>
    <x v="3"/>
    <x v="3"/>
    <s v="RX"/>
    <s v="Cannulae"/>
    <x v="50"/>
    <n v="1000"/>
  </r>
  <r>
    <x v="50"/>
    <n v="2026"/>
    <x v="4"/>
    <x v="3"/>
    <s v="RX"/>
    <s v="Cannulae"/>
    <x v="50"/>
    <n v="1000"/>
  </r>
  <r>
    <x v="50"/>
    <n v="2026"/>
    <x v="5"/>
    <x v="3"/>
    <s v="RX"/>
    <s v="Cannulae"/>
    <x v="50"/>
    <n v="0"/>
  </r>
  <r>
    <x v="50"/>
    <n v="2026"/>
    <x v="6"/>
    <x v="3"/>
    <s v="RX"/>
    <s v="Cannulae"/>
    <x v="50"/>
    <n v="0"/>
  </r>
  <r>
    <x v="50"/>
    <n v="2026"/>
    <x v="7"/>
    <x v="3"/>
    <s v="RX"/>
    <s v="Cannulae"/>
    <x v="50"/>
    <n v="0"/>
  </r>
  <r>
    <x v="50"/>
    <n v="2026"/>
    <x v="8"/>
    <x v="3"/>
    <s v="RX"/>
    <s v="Cannulae"/>
    <x v="50"/>
    <n v="0"/>
  </r>
  <r>
    <x v="50"/>
    <n v="2026"/>
    <x v="9"/>
    <x v="3"/>
    <s v="RX"/>
    <s v="Cannulae"/>
    <x v="50"/>
    <n v="0"/>
  </r>
  <r>
    <x v="50"/>
    <n v="2026"/>
    <x v="10"/>
    <x v="3"/>
    <s v="RX"/>
    <s v="Cannulae"/>
    <x v="50"/>
    <n v="0"/>
  </r>
  <r>
    <x v="50"/>
    <n v="2026"/>
    <x v="11"/>
    <x v="3"/>
    <s v="RX"/>
    <s v="Cannulae"/>
    <x v="50"/>
    <n v="0"/>
  </r>
  <r>
    <x v="51"/>
    <n v="2026"/>
    <x v="0"/>
    <x v="3"/>
    <s v="RX"/>
    <s v="Cannulae"/>
    <x v="51"/>
    <n v="0"/>
  </r>
  <r>
    <x v="51"/>
    <n v="2026"/>
    <x v="1"/>
    <x v="3"/>
    <s v="RX"/>
    <s v="Cannulae"/>
    <x v="51"/>
    <n v="1000"/>
  </r>
  <r>
    <x v="51"/>
    <n v="2026"/>
    <x v="2"/>
    <x v="3"/>
    <s v="RX"/>
    <s v="Cannulae"/>
    <x v="51"/>
    <n v="1000"/>
  </r>
  <r>
    <x v="51"/>
    <n v="2026"/>
    <x v="3"/>
    <x v="3"/>
    <s v="RX"/>
    <s v="Cannulae"/>
    <x v="51"/>
    <n v="1000"/>
  </r>
  <r>
    <x v="51"/>
    <n v="2026"/>
    <x v="4"/>
    <x v="3"/>
    <s v="RX"/>
    <s v="Cannulae"/>
    <x v="51"/>
    <n v="1000"/>
  </r>
  <r>
    <x v="51"/>
    <n v="2026"/>
    <x v="5"/>
    <x v="3"/>
    <s v="RX"/>
    <s v="Cannulae"/>
    <x v="51"/>
    <n v="0"/>
  </r>
  <r>
    <x v="51"/>
    <n v="2026"/>
    <x v="6"/>
    <x v="3"/>
    <s v="RX"/>
    <s v="Cannulae"/>
    <x v="51"/>
    <n v="0"/>
  </r>
  <r>
    <x v="51"/>
    <n v="2026"/>
    <x v="7"/>
    <x v="3"/>
    <s v="RX"/>
    <s v="Cannulae"/>
    <x v="51"/>
    <n v="0"/>
  </r>
  <r>
    <x v="51"/>
    <n v="2026"/>
    <x v="8"/>
    <x v="3"/>
    <s v="RX"/>
    <s v="Cannulae"/>
    <x v="51"/>
    <n v="0"/>
  </r>
  <r>
    <x v="51"/>
    <n v="2026"/>
    <x v="9"/>
    <x v="3"/>
    <s v="RX"/>
    <s v="Cannulae"/>
    <x v="51"/>
    <n v="0"/>
  </r>
  <r>
    <x v="51"/>
    <n v="2026"/>
    <x v="10"/>
    <x v="3"/>
    <s v="RX"/>
    <s v="Cannulae"/>
    <x v="51"/>
    <n v="0"/>
  </r>
  <r>
    <x v="51"/>
    <n v="2026"/>
    <x v="11"/>
    <x v="3"/>
    <s v="RX"/>
    <s v="Cannulae"/>
    <x v="51"/>
    <n v="0"/>
  </r>
  <r>
    <x v="52"/>
    <n v="2026"/>
    <x v="0"/>
    <x v="3"/>
    <s v="RX"/>
    <s v="Cannulae"/>
    <x v="52"/>
    <n v="0"/>
  </r>
  <r>
    <x v="52"/>
    <n v="2026"/>
    <x v="1"/>
    <x v="3"/>
    <s v="RX"/>
    <s v="Cannulae"/>
    <x v="52"/>
    <n v="1000"/>
  </r>
  <r>
    <x v="52"/>
    <n v="2026"/>
    <x v="2"/>
    <x v="3"/>
    <s v="RX"/>
    <s v="Cannulae"/>
    <x v="52"/>
    <n v="1000"/>
  </r>
  <r>
    <x v="52"/>
    <n v="2026"/>
    <x v="3"/>
    <x v="3"/>
    <s v="RX"/>
    <s v="Cannulae"/>
    <x v="52"/>
    <n v="2000"/>
  </r>
  <r>
    <x v="52"/>
    <n v="2026"/>
    <x v="4"/>
    <x v="3"/>
    <s v="RX"/>
    <s v="Cannulae"/>
    <x v="52"/>
    <n v="0"/>
  </r>
  <r>
    <x v="52"/>
    <n v="2026"/>
    <x v="5"/>
    <x v="3"/>
    <s v="RX"/>
    <s v="Cannulae"/>
    <x v="52"/>
    <n v="2000"/>
  </r>
  <r>
    <x v="52"/>
    <n v="2026"/>
    <x v="6"/>
    <x v="3"/>
    <s v="RX"/>
    <s v="Cannulae"/>
    <x v="52"/>
    <n v="0"/>
  </r>
  <r>
    <x v="52"/>
    <n v="2026"/>
    <x v="7"/>
    <x v="3"/>
    <s v="RX"/>
    <s v="Cannulae"/>
    <x v="52"/>
    <n v="0"/>
  </r>
  <r>
    <x v="52"/>
    <n v="2026"/>
    <x v="8"/>
    <x v="3"/>
    <s v="RX"/>
    <s v="Cannulae"/>
    <x v="52"/>
    <n v="0"/>
  </r>
  <r>
    <x v="52"/>
    <n v="2026"/>
    <x v="9"/>
    <x v="3"/>
    <s v="RX"/>
    <s v="Cannulae"/>
    <x v="52"/>
    <n v="0"/>
  </r>
  <r>
    <x v="52"/>
    <n v="2026"/>
    <x v="10"/>
    <x v="3"/>
    <s v="RX"/>
    <s v="Cannulae"/>
    <x v="52"/>
    <n v="0"/>
  </r>
  <r>
    <x v="52"/>
    <n v="2026"/>
    <x v="11"/>
    <x v="3"/>
    <s v="RX"/>
    <s v="Cannulae"/>
    <x v="52"/>
    <n v="0"/>
  </r>
  <r>
    <x v="53"/>
    <n v="2026"/>
    <x v="0"/>
    <x v="3"/>
    <s v="RX"/>
    <s v="Cannulae"/>
    <x v="53"/>
    <n v="0"/>
  </r>
  <r>
    <x v="53"/>
    <n v="2026"/>
    <x v="1"/>
    <x v="3"/>
    <s v="RX"/>
    <s v="Cannulae"/>
    <x v="53"/>
    <n v="1000"/>
  </r>
  <r>
    <x v="53"/>
    <n v="2026"/>
    <x v="2"/>
    <x v="3"/>
    <s v="RX"/>
    <s v="Cannulae"/>
    <x v="53"/>
    <n v="1000"/>
  </r>
  <r>
    <x v="53"/>
    <n v="2026"/>
    <x v="3"/>
    <x v="3"/>
    <s v="RX"/>
    <s v="Cannulae"/>
    <x v="53"/>
    <n v="2000"/>
  </r>
  <r>
    <x v="53"/>
    <n v="2026"/>
    <x v="4"/>
    <x v="3"/>
    <s v="RX"/>
    <s v="Cannulae"/>
    <x v="53"/>
    <n v="1000"/>
  </r>
  <r>
    <x v="53"/>
    <n v="2026"/>
    <x v="5"/>
    <x v="3"/>
    <s v="RX"/>
    <s v="Cannulae"/>
    <x v="53"/>
    <n v="0"/>
  </r>
  <r>
    <x v="53"/>
    <n v="2026"/>
    <x v="6"/>
    <x v="3"/>
    <s v="RX"/>
    <s v="Cannulae"/>
    <x v="53"/>
    <n v="0"/>
  </r>
  <r>
    <x v="53"/>
    <n v="2026"/>
    <x v="7"/>
    <x v="3"/>
    <s v="RX"/>
    <s v="Cannulae"/>
    <x v="53"/>
    <n v="0"/>
  </r>
  <r>
    <x v="53"/>
    <n v="2026"/>
    <x v="8"/>
    <x v="3"/>
    <s v="RX"/>
    <s v="Cannulae"/>
    <x v="53"/>
    <n v="0"/>
  </r>
  <r>
    <x v="53"/>
    <n v="2026"/>
    <x v="9"/>
    <x v="3"/>
    <s v="RX"/>
    <s v="Cannulae"/>
    <x v="53"/>
    <n v="0"/>
  </r>
  <r>
    <x v="53"/>
    <n v="2026"/>
    <x v="10"/>
    <x v="3"/>
    <s v="RX"/>
    <s v="Cannulae"/>
    <x v="53"/>
    <n v="0"/>
  </r>
  <r>
    <x v="53"/>
    <n v="2026"/>
    <x v="11"/>
    <x v="3"/>
    <s v="RX"/>
    <s v="Cannulae"/>
    <x v="53"/>
    <n v="0"/>
  </r>
  <r>
    <x v="54"/>
    <n v="2026"/>
    <x v="0"/>
    <x v="3"/>
    <s v="RX"/>
    <s v="Cannulae"/>
    <x v="54"/>
    <n v="0"/>
  </r>
  <r>
    <x v="54"/>
    <n v="2026"/>
    <x v="1"/>
    <x v="3"/>
    <s v="RX"/>
    <s v="Cannulae"/>
    <x v="54"/>
    <n v="1000"/>
  </r>
  <r>
    <x v="54"/>
    <n v="2026"/>
    <x v="2"/>
    <x v="3"/>
    <s v="RX"/>
    <s v="Cannulae"/>
    <x v="54"/>
    <n v="1000"/>
  </r>
  <r>
    <x v="54"/>
    <n v="2026"/>
    <x v="3"/>
    <x v="3"/>
    <s v="RX"/>
    <s v="Cannulae"/>
    <x v="54"/>
    <n v="1000"/>
  </r>
  <r>
    <x v="54"/>
    <n v="2026"/>
    <x v="4"/>
    <x v="3"/>
    <s v="RX"/>
    <s v="Cannulae"/>
    <x v="54"/>
    <n v="1000"/>
  </r>
  <r>
    <x v="54"/>
    <n v="2026"/>
    <x v="5"/>
    <x v="3"/>
    <s v="RX"/>
    <s v="Cannulae"/>
    <x v="54"/>
    <n v="0"/>
  </r>
  <r>
    <x v="54"/>
    <n v="2026"/>
    <x v="6"/>
    <x v="3"/>
    <s v="RX"/>
    <s v="Cannulae"/>
    <x v="54"/>
    <n v="0"/>
  </r>
  <r>
    <x v="54"/>
    <n v="2026"/>
    <x v="7"/>
    <x v="3"/>
    <s v="RX"/>
    <s v="Cannulae"/>
    <x v="54"/>
    <n v="0"/>
  </r>
  <r>
    <x v="54"/>
    <n v="2026"/>
    <x v="8"/>
    <x v="3"/>
    <s v="RX"/>
    <s v="Cannulae"/>
    <x v="54"/>
    <n v="0"/>
  </r>
  <r>
    <x v="54"/>
    <n v="2026"/>
    <x v="9"/>
    <x v="3"/>
    <s v="RX"/>
    <s v="Cannulae"/>
    <x v="54"/>
    <n v="0"/>
  </r>
  <r>
    <x v="54"/>
    <n v="2026"/>
    <x v="10"/>
    <x v="3"/>
    <s v="RX"/>
    <s v="Cannulae"/>
    <x v="54"/>
    <n v="0"/>
  </r>
  <r>
    <x v="54"/>
    <n v="2026"/>
    <x v="11"/>
    <x v="3"/>
    <s v="RX"/>
    <s v="Cannulae"/>
    <x v="54"/>
    <n v="0"/>
  </r>
  <r>
    <x v="55"/>
    <n v="2026"/>
    <x v="0"/>
    <x v="3"/>
    <s v="RX"/>
    <s v="Cannulae"/>
    <x v="55"/>
    <n v="0"/>
  </r>
  <r>
    <x v="55"/>
    <n v="2026"/>
    <x v="1"/>
    <x v="3"/>
    <s v="RX"/>
    <s v="Cannulae"/>
    <x v="55"/>
    <n v="1000"/>
  </r>
  <r>
    <x v="55"/>
    <n v="2026"/>
    <x v="2"/>
    <x v="3"/>
    <s v="RX"/>
    <s v="Cannulae"/>
    <x v="55"/>
    <n v="1000"/>
  </r>
  <r>
    <x v="55"/>
    <n v="2026"/>
    <x v="3"/>
    <x v="3"/>
    <s v="RX"/>
    <s v="Cannulae"/>
    <x v="55"/>
    <n v="0"/>
  </r>
  <r>
    <x v="55"/>
    <n v="2026"/>
    <x v="4"/>
    <x v="3"/>
    <s v="RX"/>
    <s v="Cannulae"/>
    <x v="55"/>
    <n v="1000"/>
  </r>
  <r>
    <x v="55"/>
    <n v="2026"/>
    <x v="5"/>
    <x v="3"/>
    <s v="RX"/>
    <s v="Cannulae"/>
    <x v="55"/>
    <n v="0"/>
  </r>
  <r>
    <x v="55"/>
    <n v="2026"/>
    <x v="6"/>
    <x v="3"/>
    <s v="RX"/>
    <s v="Cannulae"/>
    <x v="55"/>
    <n v="0"/>
  </r>
  <r>
    <x v="55"/>
    <n v="2026"/>
    <x v="7"/>
    <x v="3"/>
    <s v="RX"/>
    <s v="Cannulae"/>
    <x v="55"/>
    <n v="0"/>
  </r>
  <r>
    <x v="55"/>
    <n v="2026"/>
    <x v="8"/>
    <x v="3"/>
    <s v="RX"/>
    <s v="Cannulae"/>
    <x v="55"/>
    <n v="0"/>
  </r>
  <r>
    <x v="55"/>
    <n v="2026"/>
    <x v="9"/>
    <x v="3"/>
    <s v="RX"/>
    <s v="Cannulae"/>
    <x v="55"/>
    <n v="0"/>
  </r>
  <r>
    <x v="55"/>
    <n v="2026"/>
    <x v="10"/>
    <x v="3"/>
    <s v="RX"/>
    <s v="Cannulae"/>
    <x v="55"/>
    <n v="0"/>
  </r>
  <r>
    <x v="55"/>
    <n v="2026"/>
    <x v="11"/>
    <x v="3"/>
    <s v="RX"/>
    <s v="Cannulae"/>
    <x v="55"/>
    <n v="0"/>
  </r>
  <r>
    <x v="56"/>
    <n v="2026"/>
    <x v="0"/>
    <x v="3"/>
    <s v="RX"/>
    <s v="Cannulae"/>
    <x v="56"/>
    <n v="0"/>
  </r>
  <r>
    <x v="56"/>
    <n v="2026"/>
    <x v="1"/>
    <x v="3"/>
    <s v="RX"/>
    <s v="Cannulae"/>
    <x v="56"/>
    <n v="0"/>
  </r>
  <r>
    <x v="56"/>
    <n v="2026"/>
    <x v="2"/>
    <x v="3"/>
    <s v="RX"/>
    <s v="Cannulae"/>
    <x v="56"/>
    <n v="0"/>
  </r>
  <r>
    <x v="56"/>
    <n v="2026"/>
    <x v="3"/>
    <x v="3"/>
    <s v="RX"/>
    <s v="Cannulae"/>
    <x v="56"/>
    <n v="1000"/>
  </r>
  <r>
    <x v="56"/>
    <n v="2026"/>
    <x v="4"/>
    <x v="3"/>
    <s v="RX"/>
    <s v="Cannulae"/>
    <x v="56"/>
    <n v="0"/>
  </r>
  <r>
    <x v="56"/>
    <n v="2026"/>
    <x v="5"/>
    <x v="3"/>
    <s v="RX"/>
    <s v="Cannulae"/>
    <x v="56"/>
    <n v="0"/>
  </r>
  <r>
    <x v="56"/>
    <n v="2026"/>
    <x v="6"/>
    <x v="3"/>
    <s v="RX"/>
    <s v="Cannulae"/>
    <x v="56"/>
    <n v="0"/>
  </r>
  <r>
    <x v="56"/>
    <n v="2026"/>
    <x v="7"/>
    <x v="3"/>
    <s v="RX"/>
    <s v="Cannulae"/>
    <x v="56"/>
    <n v="0"/>
  </r>
  <r>
    <x v="56"/>
    <n v="2026"/>
    <x v="8"/>
    <x v="3"/>
    <s v="RX"/>
    <s v="Cannulae"/>
    <x v="56"/>
    <n v="0"/>
  </r>
  <r>
    <x v="56"/>
    <n v="2026"/>
    <x v="9"/>
    <x v="3"/>
    <s v="RX"/>
    <s v="Cannulae"/>
    <x v="56"/>
    <n v="0"/>
  </r>
  <r>
    <x v="56"/>
    <n v="2026"/>
    <x v="10"/>
    <x v="3"/>
    <s v="RX"/>
    <s v="Cannulae"/>
    <x v="56"/>
    <n v="0"/>
  </r>
  <r>
    <x v="56"/>
    <n v="2026"/>
    <x v="11"/>
    <x v="3"/>
    <s v="RX"/>
    <s v="Cannulae"/>
    <x v="56"/>
    <n v="0"/>
  </r>
  <r>
    <x v="57"/>
    <n v="2026"/>
    <x v="0"/>
    <x v="3"/>
    <s v="RX"/>
    <s v="Dilators"/>
    <x v="57"/>
    <n v="0"/>
  </r>
  <r>
    <x v="57"/>
    <n v="2026"/>
    <x v="1"/>
    <x v="3"/>
    <s v="RX"/>
    <s v="Dilators"/>
    <x v="57"/>
    <n v="0"/>
  </r>
  <r>
    <x v="57"/>
    <n v="2026"/>
    <x v="2"/>
    <x v="3"/>
    <s v="RX"/>
    <s v="Dilators"/>
    <x v="57"/>
    <n v="0"/>
  </r>
  <r>
    <x v="57"/>
    <n v="2026"/>
    <x v="3"/>
    <x v="3"/>
    <s v="RX"/>
    <s v="Dilators"/>
    <x v="57"/>
    <n v="0"/>
  </r>
  <r>
    <x v="57"/>
    <n v="2026"/>
    <x v="4"/>
    <x v="3"/>
    <s v="RX"/>
    <s v="Dilators"/>
    <x v="57"/>
    <n v="0"/>
  </r>
  <r>
    <x v="57"/>
    <n v="2026"/>
    <x v="5"/>
    <x v="3"/>
    <s v="RX"/>
    <s v="Dilators"/>
    <x v="57"/>
    <n v="0"/>
  </r>
  <r>
    <x v="57"/>
    <n v="2026"/>
    <x v="6"/>
    <x v="3"/>
    <s v="RX"/>
    <s v="Dilators"/>
    <x v="57"/>
    <n v="0"/>
  </r>
  <r>
    <x v="57"/>
    <n v="2026"/>
    <x v="7"/>
    <x v="3"/>
    <s v="RX"/>
    <s v="Dilators"/>
    <x v="57"/>
    <n v="0"/>
  </r>
  <r>
    <x v="57"/>
    <n v="2026"/>
    <x v="8"/>
    <x v="3"/>
    <s v="RX"/>
    <s v="Dilators"/>
    <x v="57"/>
    <n v="0"/>
  </r>
  <r>
    <x v="57"/>
    <n v="2026"/>
    <x v="9"/>
    <x v="3"/>
    <s v="RX"/>
    <s v="Dilators"/>
    <x v="57"/>
    <n v="0"/>
  </r>
  <r>
    <x v="57"/>
    <n v="2026"/>
    <x v="10"/>
    <x v="3"/>
    <s v="RX"/>
    <s v="Dilators"/>
    <x v="57"/>
    <n v="0"/>
  </r>
  <r>
    <x v="57"/>
    <n v="2026"/>
    <x v="11"/>
    <x v="3"/>
    <s v="RX"/>
    <s v="Dilators"/>
    <x v="57"/>
    <n v="0"/>
  </r>
  <r>
    <x v="58"/>
    <n v="2026"/>
    <x v="0"/>
    <x v="3"/>
    <s v="RX"/>
    <s v="IUDs Cu &amp; IUS &amp; IUB"/>
    <x v="58"/>
    <n v="0"/>
  </r>
  <r>
    <x v="58"/>
    <n v="2026"/>
    <x v="1"/>
    <x v="3"/>
    <s v="RX"/>
    <s v="IUDs Cu &amp; IUS &amp; IUB"/>
    <x v="58"/>
    <n v="0"/>
  </r>
  <r>
    <x v="58"/>
    <n v="2026"/>
    <x v="2"/>
    <x v="3"/>
    <s v="RX"/>
    <s v="IUDs Cu &amp; IUS &amp; IUB"/>
    <x v="58"/>
    <n v="0"/>
  </r>
  <r>
    <x v="58"/>
    <n v="2026"/>
    <x v="3"/>
    <x v="3"/>
    <s v="RX"/>
    <s v="IUDs Cu &amp; IUS &amp; IUB"/>
    <x v="58"/>
    <n v="0"/>
  </r>
  <r>
    <x v="58"/>
    <n v="2026"/>
    <x v="4"/>
    <x v="3"/>
    <s v="RX"/>
    <s v="IUDs Cu &amp; IUS &amp; IUB"/>
    <x v="58"/>
    <n v="0"/>
  </r>
  <r>
    <x v="58"/>
    <n v="2026"/>
    <x v="5"/>
    <x v="3"/>
    <s v="RX"/>
    <s v="IUDs Cu &amp; IUS &amp; IUB"/>
    <x v="58"/>
    <n v="0"/>
  </r>
  <r>
    <x v="58"/>
    <n v="2026"/>
    <x v="6"/>
    <x v="3"/>
    <s v="RX"/>
    <s v="IUDs Cu &amp; IUS &amp; IUB"/>
    <x v="58"/>
    <n v="0"/>
  </r>
  <r>
    <x v="58"/>
    <n v="2026"/>
    <x v="7"/>
    <x v="3"/>
    <s v="RX"/>
    <s v="IUDs Cu &amp; IUS &amp; IUB"/>
    <x v="58"/>
    <n v="0"/>
  </r>
  <r>
    <x v="58"/>
    <n v="2026"/>
    <x v="8"/>
    <x v="3"/>
    <s v="RX"/>
    <s v="IUDs Cu &amp; IUS &amp; IUB"/>
    <x v="58"/>
    <n v="0"/>
  </r>
  <r>
    <x v="58"/>
    <n v="2026"/>
    <x v="9"/>
    <x v="3"/>
    <s v="RX"/>
    <s v="IUDs Cu &amp; IUS &amp; IUB"/>
    <x v="58"/>
    <n v="0"/>
  </r>
  <r>
    <x v="58"/>
    <n v="2026"/>
    <x v="10"/>
    <x v="3"/>
    <s v="RX"/>
    <s v="IUDs Cu &amp; IUS &amp; IUB"/>
    <x v="58"/>
    <n v="0"/>
  </r>
  <r>
    <x v="58"/>
    <n v="2026"/>
    <x v="11"/>
    <x v="3"/>
    <s v="RX"/>
    <s v="IUDs Cu &amp; IUS &amp; IUB"/>
    <x v="58"/>
    <n v="0"/>
  </r>
  <r>
    <x v="59"/>
    <n v="2026"/>
    <x v="0"/>
    <x v="3"/>
    <s v="RX"/>
    <s v="IUDs Cu &amp; IUS &amp; IUB"/>
    <x v="59"/>
    <n v="0"/>
  </r>
  <r>
    <x v="59"/>
    <n v="2026"/>
    <x v="1"/>
    <x v="3"/>
    <s v="RX"/>
    <s v="IUDs Cu &amp; IUS &amp; IUB"/>
    <x v="59"/>
    <n v="0"/>
  </r>
  <r>
    <x v="59"/>
    <n v="2026"/>
    <x v="2"/>
    <x v="3"/>
    <s v="RX"/>
    <s v="IUDs Cu &amp; IUS &amp; IUB"/>
    <x v="59"/>
    <n v="0"/>
  </r>
  <r>
    <x v="59"/>
    <n v="2026"/>
    <x v="3"/>
    <x v="3"/>
    <s v="RX"/>
    <s v="IUDs Cu &amp; IUS &amp; IUB"/>
    <x v="59"/>
    <n v="0"/>
  </r>
  <r>
    <x v="59"/>
    <n v="2026"/>
    <x v="4"/>
    <x v="3"/>
    <s v="RX"/>
    <s v="IUDs Cu &amp; IUS &amp; IUB"/>
    <x v="59"/>
    <n v="0"/>
  </r>
  <r>
    <x v="59"/>
    <n v="2026"/>
    <x v="5"/>
    <x v="3"/>
    <s v="RX"/>
    <s v="IUDs Cu &amp; IUS &amp; IUB"/>
    <x v="59"/>
    <n v="0"/>
  </r>
  <r>
    <x v="59"/>
    <n v="2026"/>
    <x v="6"/>
    <x v="3"/>
    <s v="RX"/>
    <s v="IUDs Cu &amp; IUS &amp; IUB"/>
    <x v="59"/>
    <n v="0"/>
  </r>
  <r>
    <x v="59"/>
    <n v="2026"/>
    <x v="7"/>
    <x v="3"/>
    <s v="RX"/>
    <s v="IUDs Cu &amp; IUS &amp; IUB"/>
    <x v="59"/>
    <n v="0"/>
  </r>
  <r>
    <x v="59"/>
    <n v="2026"/>
    <x v="8"/>
    <x v="3"/>
    <s v="RX"/>
    <s v="IUDs Cu &amp; IUS &amp; IUB"/>
    <x v="59"/>
    <n v="0"/>
  </r>
  <r>
    <x v="59"/>
    <n v="2026"/>
    <x v="9"/>
    <x v="3"/>
    <s v="RX"/>
    <s v="IUDs Cu &amp; IUS &amp; IUB"/>
    <x v="59"/>
    <n v="0"/>
  </r>
  <r>
    <x v="59"/>
    <n v="2026"/>
    <x v="10"/>
    <x v="3"/>
    <s v="RX"/>
    <s v="IUDs Cu &amp; IUS &amp; IUB"/>
    <x v="59"/>
    <n v="0"/>
  </r>
  <r>
    <x v="59"/>
    <n v="2026"/>
    <x v="11"/>
    <x v="3"/>
    <s v="RX"/>
    <s v="IUDs Cu &amp; IUS &amp; IUB"/>
    <x v="59"/>
    <n v="0"/>
  </r>
  <r>
    <x v="60"/>
    <n v="2026"/>
    <x v="0"/>
    <x v="3"/>
    <s v="RX"/>
    <s v="IUDs Cu &amp; IUS &amp; IUB"/>
    <x v="60"/>
    <n v="0"/>
  </r>
  <r>
    <x v="60"/>
    <n v="2026"/>
    <x v="1"/>
    <x v="3"/>
    <s v="RX"/>
    <s v="IUDs Cu &amp; IUS &amp; IUB"/>
    <x v="60"/>
    <n v="0"/>
  </r>
  <r>
    <x v="60"/>
    <n v="2026"/>
    <x v="2"/>
    <x v="3"/>
    <s v="RX"/>
    <s v="IUDs Cu &amp; IUS &amp; IUB"/>
    <x v="60"/>
    <n v="0"/>
  </r>
  <r>
    <x v="60"/>
    <n v="2026"/>
    <x v="3"/>
    <x v="3"/>
    <s v="RX"/>
    <s v="IUDs Cu &amp; IUS &amp; IUB"/>
    <x v="60"/>
    <n v="0"/>
  </r>
  <r>
    <x v="60"/>
    <n v="2026"/>
    <x v="4"/>
    <x v="3"/>
    <s v="RX"/>
    <s v="IUDs Cu &amp; IUS &amp; IUB"/>
    <x v="60"/>
    <n v="0"/>
  </r>
  <r>
    <x v="60"/>
    <n v="2026"/>
    <x v="5"/>
    <x v="3"/>
    <s v="RX"/>
    <s v="IUDs Cu &amp; IUS &amp; IUB"/>
    <x v="60"/>
    <n v="0"/>
  </r>
  <r>
    <x v="60"/>
    <n v="2026"/>
    <x v="6"/>
    <x v="3"/>
    <s v="RX"/>
    <s v="IUDs Cu &amp; IUS &amp; IUB"/>
    <x v="60"/>
    <n v="0"/>
  </r>
  <r>
    <x v="60"/>
    <n v="2026"/>
    <x v="7"/>
    <x v="3"/>
    <s v="RX"/>
    <s v="IUDs Cu &amp; IUS &amp; IUB"/>
    <x v="60"/>
    <n v="0"/>
  </r>
  <r>
    <x v="60"/>
    <n v="2026"/>
    <x v="8"/>
    <x v="3"/>
    <s v="RX"/>
    <s v="IUDs Cu &amp; IUS &amp; IUB"/>
    <x v="60"/>
    <n v="0"/>
  </r>
  <r>
    <x v="60"/>
    <n v="2026"/>
    <x v="9"/>
    <x v="3"/>
    <s v="RX"/>
    <s v="IUDs Cu &amp; IUS &amp; IUB"/>
    <x v="60"/>
    <n v="0"/>
  </r>
  <r>
    <x v="60"/>
    <n v="2026"/>
    <x v="10"/>
    <x v="3"/>
    <s v="RX"/>
    <s v="IUDs Cu &amp; IUS &amp; IUB"/>
    <x v="60"/>
    <n v="0"/>
  </r>
  <r>
    <x v="60"/>
    <n v="2026"/>
    <x v="11"/>
    <x v="3"/>
    <s v="RX"/>
    <s v="IUDs Cu &amp; IUS &amp; IUB"/>
    <x v="60"/>
    <n v="0"/>
  </r>
  <r>
    <x v="61"/>
    <n v="2026"/>
    <x v="0"/>
    <x v="3"/>
    <s v="RX"/>
    <s v="IUDs Cu &amp; IUS &amp; IUB"/>
    <x v="61"/>
    <n v="0"/>
  </r>
  <r>
    <x v="61"/>
    <n v="2026"/>
    <x v="1"/>
    <x v="3"/>
    <s v="RX"/>
    <s v="IUDs Cu &amp; IUS &amp; IUB"/>
    <x v="61"/>
    <n v="0"/>
  </r>
  <r>
    <x v="61"/>
    <n v="2026"/>
    <x v="2"/>
    <x v="3"/>
    <s v="RX"/>
    <s v="IUDs Cu &amp; IUS &amp; IUB"/>
    <x v="61"/>
    <n v="0"/>
  </r>
  <r>
    <x v="61"/>
    <n v="2026"/>
    <x v="3"/>
    <x v="3"/>
    <s v="RX"/>
    <s v="IUDs Cu &amp; IUS &amp; IUB"/>
    <x v="61"/>
    <n v="0"/>
  </r>
  <r>
    <x v="61"/>
    <n v="2026"/>
    <x v="4"/>
    <x v="3"/>
    <s v="RX"/>
    <s v="IUDs Cu &amp; IUS &amp; IUB"/>
    <x v="61"/>
    <n v="0"/>
  </r>
  <r>
    <x v="61"/>
    <n v="2026"/>
    <x v="5"/>
    <x v="3"/>
    <s v="RX"/>
    <s v="IUDs Cu &amp; IUS &amp; IUB"/>
    <x v="61"/>
    <n v="0"/>
  </r>
  <r>
    <x v="61"/>
    <n v="2026"/>
    <x v="6"/>
    <x v="3"/>
    <s v="RX"/>
    <s v="IUDs Cu &amp; IUS &amp; IUB"/>
    <x v="61"/>
    <n v="0"/>
  </r>
  <r>
    <x v="61"/>
    <n v="2026"/>
    <x v="7"/>
    <x v="3"/>
    <s v="RX"/>
    <s v="IUDs Cu &amp; IUS &amp; IUB"/>
    <x v="61"/>
    <n v="0"/>
  </r>
  <r>
    <x v="61"/>
    <n v="2026"/>
    <x v="8"/>
    <x v="3"/>
    <s v="RX"/>
    <s v="IUDs Cu &amp; IUS &amp; IUB"/>
    <x v="61"/>
    <n v="0"/>
  </r>
  <r>
    <x v="61"/>
    <n v="2026"/>
    <x v="9"/>
    <x v="3"/>
    <s v="RX"/>
    <s v="IUDs Cu &amp; IUS &amp; IUB"/>
    <x v="61"/>
    <n v="0"/>
  </r>
  <r>
    <x v="61"/>
    <n v="2026"/>
    <x v="10"/>
    <x v="3"/>
    <s v="RX"/>
    <s v="IUDs Cu &amp; IUS &amp; IUB"/>
    <x v="61"/>
    <n v="0"/>
  </r>
  <r>
    <x v="61"/>
    <n v="2026"/>
    <x v="11"/>
    <x v="3"/>
    <s v="RX"/>
    <s v="IUDs Cu &amp; IUS &amp; IUB"/>
    <x v="61"/>
    <n v="0"/>
  </r>
  <r>
    <x v="62"/>
    <n v="2026"/>
    <x v="0"/>
    <x v="3"/>
    <s v="RX"/>
    <s v="IUDs Cu &amp; IUS &amp; IUB"/>
    <x v="62"/>
    <n v="0"/>
  </r>
  <r>
    <x v="62"/>
    <n v="2026"/>
    <x v="1"/>
    <x v="3"/>
    <s v="RX"/>
    <s v="IUDs Cu &amp; IUS &amp; IUB"/>
    <x v="62"/>
    <n v="0"/>
  </r>
  <r>
    <x v="62"/>
    <n v="2026"/>
    <x v="2"/>
    <x v="3"/>
    <s v="RX"/>
    <s v="IUDs Cu &amp; IUS &amp; IUB"/>
    <x v="62"/>
    <n v="0"/>
  </r>
  <r>
    <x v="62"/>
    <n v="2026"/>
    <x v="3"/>
    <x v="3"/>
    <s v="RX"/>
    <s v="IUDs Cu &amp; IUS &amp; IUB"/>
    <x v="62"/>
    <n v="0"/>
  </r>
  <r>
    <x v="62"/>
    <n v="2026"/>
    <x v="4"/>
    <x v="3"/>
    <s v="RX"/>
    <s v="IUDs Cu &amp; IUS &amp; IUB"/>
    <x v="62"/>
    <n v="0"/>
  </r>
  <r>
    <x v="62"/>
    <n v="2026"/>
    <x v="5"/>
    <x v="3"/>
    <s v="RX"/>
    <s v="IUDs Cu &amp; IUS &amp; IUB"/>
    <x v="62"/>
    <n v="0"/>
  </r>
  <r>
    <x v="62"/>
    <n v="2026"/>
    <x v="6"/>
    <x v="3"/>
    <s v="RX"/>
    <s v="IUDs Cu &amp; IUS &amp; IUB"/>
    <x v="62"/>
    <n v="0"/>
  </r>
  <r>
    <x v="62"/>
    <n v="2026"/>
    <x v="7"/>
    <x v="3"/>
    <s v="RX"/>
    <s v="IUDs Cu &amp; IUS &amp; IUB"/>
    <x v="62"/>
    <n v="0"/>
  </r>
  <r>
    <x v="62"/>
    <n v="2026"/>
    <x v="8"/>
    <x v="3"/>
    <s v="RX"/>
    <s v="IUDs Cu &amp; IUS &amp; IUB"/>
    <x v="62"/>
    <n v="0"/>
  </r>
  <r>
    <x v="62"/>
    <n v="2026"/>
    <x v="9"/>
    <x v="3"/>
    <s v="RX"/>
    <s v="IUDs Cu &amp; IUS &amp; IUB"/>
    <x v="62"/>
    <n v="0"/>
  </r>
  <r>
    <x v="62"/>
    <n v="2026"/>
    <x v="10"/>
    <x v="3"/>
    <s v="RX"/>
    <s v="IUDs Cu &amp; IUS &amp; IUB"/>
    <x v="62"/>
    <n v="0"/>
  </r>
  <r>
    <x v="62"/>
    <n v="2026"/>
    <x v="11"/>
    <x v="3"/>
    <s v="RX"/>
    <s v="IUDs Cu &amp; IUS &amp; IUB"/>
    <x v="62"/>
    <n v="0"/>
  </r>
  <r>
    <x v="63"/>
    <n v="2026"/>
    <x v="0"/>
    <x v="3"/>
    <s v="RX"/>
    <s v="IUDs Cu &amp; IUS &amp; IUB"/>
    <x v="63"/>
    <n v="0"/>
  </r>
  <r>
    <x v="63"/>
    <n v="2026"/>
    <x v="1"/>
    <x v="3"/>
    <s v="RX"/>
    <s v="IUDs Cu &amp; IUS &amp; IUB"/>
    <x v="63"/>
    <n v="0"/>
  </r>
  <r>
    <x v="63"/>
    <n v="2026"/>
    <x v="2"/>
    <x v="3"/>
    <s v="RX"/>
    <s v="IUDs Cu &amp; IUS &amp; IUB"/>
    <x v="63"/>
    <n v="0"/>
  </r>
  <r>
    <x v="63"/>
    <n v="2026"/>
    <x v="3"/>
    <x v="3"/>
    <s v="RX"/>
    <s v="IUDs Cu &amp; IUS &amp; IUB"/>
    <x v="63"/>
    <n v="0"/>
  </r>
  <r>
    <x v="63"/>
    <n v="2026"/>
    <x v="4"/>
    <x v="3"/>
    <s v="RX"/>
    <s v="IUDs Cu &amp; IUS &amp; IUB"/>
    <x v="63"/>
    <n v="0"/>
  </r>
  <r>
    <x v="63"/>
    <n v="2026"/>
    <x v="5"/>
    <x v="3"/>
    <s v="RX"/>
    <s v="IUDs Cu &amp; IUS &amp; IUB"/>
    <x v="63"/>
    <n v="0"/>
  </r>
  <r>
    <x v="63"/>
    <n v="2026"/>
    <x v="6"/>
    <x v="3"/>
    <s v="RX"/>
    <s v="IUDs Cu &amp; IUS &amp; IUB"/>
    <x v="63"/>
    <n v="0"/>
  </r>
  <r>
    <x v="63"/>
    <n v="2026"/>
    <x v="7"/>
    <x v="3"/>
    <s v="RX"/>
    <s v="IUDs Cu &amp; IUS &amp; IUB"/>
    <x v="63"/>
    <n v="0"/>
  </r>
  <r>
    <x v="63"/>
    <n v="2026"/>
    <x v="8"/>
    <x v="3"/>
    <s v="RX"/>
    <s v="IUDs Cu &amp; IUS &amp; IUB"/>
    <x v="63"/>
    <n v="0"/>
  </r>
  <r>
    <x v="63"/>
    <n v="2026"/>
    <x v="9"/>
    <x v="3"/>
    <s v="RX"/>
    <s v="IUDs Cu &amp; IUS &amp; IUB"/>
    <x v="63"/>
    <n v="0"/>
  </r>
  <r>
    <x v="63"/>
    <n v="2026"/>
    <x v="10"/>
    <x v="3"/>
    <s v="RX"/>
    <s v="IUDs Cu &amp; IUS &amp; IUB"/>
    <x v="63"/>
    <n v="0"/>
  </r>
  <r>
    <x v="63"/>
    <n v="2026"/>
    <x v="11"/>
    <x v="3"/>
    <s v="RX"/>
    <s v="IUDs Cu &amp; IUS &amp; IUB"/>
    <x v="63"/>
    <n v="0"/>
  </r>
  <r>
    <x v="64"/>
    <n v="2026"/>
    <x v="0"/>
    <x v="3"/>
    <s v="RX"/>
    <s v="Hysterometer"/>
    <x v="64"/>
    <n v="0"/>
  </r>
  <r>
    <x v="64"/>
    <n v="2026"/>
    <x v="1"/>
    <x v="3"/>
    <s v="RX"/>
    <s v="Hysterometer"/>
    <x v="64"/>
    <n v="10000"/>
  </r>
  <r>
    <x v="64"/>
    <n v="2026"/>
    <x v="2"/>
    <x v="3"/>
    <s v="RX"/>
    <s v="Hysterometer"/>
    <x v="64"/>
    <n v="10000"/>
  </r>
  <r>
    <x v="64"/>
    <n v="2026"/>
    <x v="3"/>
    <x v="3"/>
    <s v="RX"/>
    <s v="Hysterometer"/>
    <x v="64"/>
    <n v="0"/>
  </r>
  <r>
    <x v="64"/>
    <n v="2026"/>
    <x v="4"/>
    <x v="3"/>
    <s v="RX"/>
    <s v="Hysterometer"/>
    <x v="64"/>
    <n v="0"/>
  </r>
  <r>
    <x v="64"/>
    <n v="2026"/>
    <x v="5"/>
    <x v="3"/>
    <s v="RX"/>
    <s v="Hysterometer"/>
    <x v="64"/>
    <n v="0"/>
  </r>
  <r>
    <x v="64"/>
    <n v="2026"/>
    <x v="6"/>
    <x v="3"/>
    <s v="RX"/>
    <s v="Hysterometer"/>
    <x v="64"/>
    <n v="0"/>
  </r>
  <r>
    <x v="64"/>
    <n v="2026"/>
    <x v="7"/>
    <x v="3"/>
    <s v="RX"/>
    <s v="Hysterometer"/>
    <x v="64"/>
    <n v="0"/>
  </r>
  <r>
    <x v="64"/>
    <n v="2026"/>
    <x v="8"/>
    <x v="3"/>
    <s v="RX"/>
    <s v="Hysterometer"/>
    <x v="64"/>
    <n v="0"/>
  </r>
  <r>
    <x v="64"/>
    <n v="2026"/>
    <x v="9"/>
    <x v="3"/>
    <s v="RX"/>
    <s v="Hysterometer"/>
    <x v="64"/>
    <n v="0"/>
  </r>
  <r>
    <x v="64"/>
    <n v="2026"/>
    <x v="10"/>
    <x v="3"/>
    <s v="RX"/>
    <s v="Hysterometer"/>
    <x v="64"/>
    <n v="0"/>
  </r>
  <r>
    <x v="64"/>
    <n v="2026"/>
    <x v="11"/>
    <x v="3"/>
    <s v="RX"/>
    <s v="Hysterometer"/>
    <x v="64"/>
    <n v="0"/>
  </r>
  <r>
    <x v="65"/>
    <n v="2026"/>
    <x v="0"/>
    <x v="3"/>
    <s v="RX"/>
    <s v="Injetable"/>
    <x v="65"/>
    <n v="0"/>
  </r>
  <r>
    <x v="65"/>
    <n v="2026"/>
    <x v="1"/>
    <x v="3"/>
    <s v="RX"/>
    <s v="Injetable"/>
    <x v="65"/>
    <n v="0"/>
  </r>
  <r>
    <x v="65"/>
    <n v="2026"/>
    <x v="2"/>
    <x v="3"/>
    <s v="RX"/>
    <s v="Injetable"/>
    <x v="65"/>
    <n v="0"/>
  </r>
  <r>
    <x v="65"/>
    <n v="2026"/>
    <x v="3"/>
    <x v="3"/>
    <s v="RX"/>
    <s v="Injetable"/>
    <x v="65"/>
    <n v="0"/>
  </r>
  <r>
    <x v="65"/>
    <n v="2026"/>
    <x v="4"/>
    <x v="3"/>
    <s v="RX"/>
    <s v="Injetable"/>
    <x v="65"/>
    <n v="0"/>
  </r>
  <r>
    <x v="65"/>
    <n v="2026"/>
    <x v="5"/>
    <x v="3"/>
    <s v="RX"/>
    <s v="Injetable"/>
    <x v="65"/>
    <n v="0"/>
  </r>
  <r>
    <x v="65"/>
    <n v="2026"/>
    <x v="6"/>
    <x v="3"/>
    <s v="RX"/>
    <s v="Injetable"/>
    <x v="65"/>
    <n v="0"/>
  </r>
  <r>
    <x v="65"/>
    <n v="2026"/>
    <x v="7"/>
    <x v="3"/>
    <s v="RX"/>
    <s v="Injetable"/>
    <x v="65"/>
    <n v="0"/>
  </r>
  <r>
    <x v="65"/>
    <n v="2026"/>
    <x v="8"/>
    <x v="3"/>
    <s v="RX"/>
    <s v="Injetable"/>
    <x v="65"/>
    <n v="0"/>
  </r>
  <r>
    <x v="65"/>
    <n v="2026"/>
    <x v="9"/>
    <x v="3"/>
    <s v="RX"/>
    <s v="Injetable"/>
    <x v="65"/>
    <n v="0"/>
  </r>
  <r>
    <x v="65"/>
    <n v="2026"/>
    <x v="10"/>
    <x v="3"/>
    <s v="RX"/>
    <s v="Injetable"/>
    <x v="65"/>
    <n v="0"/>
  </r>
  <r>
    <x v="65"/>
    <n v="2026"/>
    <x v="11"/>
    <x v="3"/>
    <s v="RX"/>
    <s v="Injetable"/>
    <x v="65"/>
    <n v="0"/>
  </r>
  <r>
    <x v="66"/>
    <n v="2026"/>
    <x v="0"/>
    <x v="3"/>
    <s v="RX"/>
    <s v="EC"/>
    <x v="66"/>
    <n v="780000"/>
  </r>
  <r>
    <x v="66"/>
    <n v="2026"/>
    <x v="1"/>
    <x v="3"/>
    <s v="RX"/>
    <s v="EC"/>
    <x v="66"/>
    <n v="0"/>
  </r>
  <r>
    <x v="66"/>
    <n v="2026"/>
    <x v="2"/>
    <x v="3"/>
    <s v="RX"/>
    <s v="EC"/>
    <x v="66"/>
    <n v="0"/>
  </r>
  <r>
    <x v="66"/>
    <n v="2026"/>
    <x v="3"/>
    <x v="3"/>
    <s v="RX"/>
    <s v="EC"/>
    <x v="66"/>
    <n v="260000"/>
  </r>
  <r>
    <x v="66"/>
    <n v="2026"/>
    <x v="4"/>
    <x v="3"/>
    <s v="RX"/>
    <s v="EC"/>
    <x v="66"/>
    <n v="0"/>
  </r>
  <r>
    <x v="66"/>
    <n v="2026"/>
    <x v="5"/>
    <x v="3"/>
    <s v="RX"/>
    <s v="EC"/>
    <x v="66"/>
    <n v="0"/>
  </r>
  <r>
    <x v="66"/>
    <n v="2026"/>
    <x v="6"/>
    <x v="3"/>
    <s v="RX"/>
    <s v="EC"/>
    <x v="66"/>
    <n v="0"/>
  </r>
  <r>
    <x v="66"/>
    <n v="2026"/>
    <x v="7"/>
    <x v="3"/>
    <s v="RX"/>
    <s v="EC"/>
    <x v="66"/>
    <n v="0"/>
  </r>
  <r>
    <x v="66"/>
    <n v="2026"/>
    <x v="8"/>
    <x v="3"/>
    <s v="RX"/>
    <s v="EC"/>
    <x v="66"/>
    <n v="0"/>
  </r>
  <r>
    <x v="66"/>
    <n v="2026"/>
    <x v="9"/>
    <x v="3"/>
    <s v="RX"/>
    <s v="EC"/>
    <x v="66"/>
    <n v="0"/>
  </r>
  <r>
    <x v="66"/>
    <n v="2026"/>
    <x v="10"/>
    <x v="3"/>
    <s v="RX"/>
    <s v="EC"/>
    <x v="66"/>
    <n v="0"/>
  </r>
  <r>
    <x v="66"/>
    <n v="2026"/>
    <x v="11"/>
    <x v="3"/>
    <s v="RX"/>
    <s v="EC"/>
    <x v="6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2B2D0-15D0-4E8A-B212-5FC80CEA5018}" name="PivotTable2" cacheId="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8">
  <location ref="A3:N69" firstHeaderRow="1" firstDataRow="2" firstDataCol="2" rowPageCount="1" colPageCount="1"/>
  <pivotFields count="8">
    <pivotField axis="axisRow" compact="0" outline="0" showAll="0" defaultSubtotal="0">
      <items count="67">
        <item x="26"/>
        <item x="28"/>
        <item x="29"/>
        <item x="27"/>
        <item x="3"/>
        <item x="7"/>
        <item x="5"/>
        <item x="8"/>
        <item x="9"/>
        <item x="11"/>
        <item x="22"/>
        <item x="12"/>
        <item x="13"/>
        <item x="10"/>
        <item x="14"/>
        <item x="4"/>
        <item x="6"/>
        <item x="17"/>
        <item x="15"/>
        <item x="33"/>
        <item x="24"/>
        <item x="34"/>
        <item x="35"/>
        <item x="36"/>
        <item x="37"/>
        <item x="16"/>
        <item x="19"/>
        <item x="39"/>
        <item x="38"/>
        <item x="23"/>
        <item x="25"/>
        <item x="18"/>
        <item x="21"/>
        <item x="20"/>
        <item x="0"/>
        <item x="1"/>
        <item x="2"/>
        <item x="30"/>
        <item x="31"/>
        <item x="32"/>
        <item x="44"/>
        <item x="41"/>
        <item x="40"/>
        <item x="43"/>
        <item x="42"/>
        <item x="66"/>
        <item x="46"/>
        <item x="45"/>
        <item x="65"/>
        <item x="47"/>
        <item x="49"/>
        <item x="50"/>
        <item x="51"/>
        <item x="52"/>
        <item x="53"/>
        <item x="54"/>
        <item x="55"/>
        <item x="56"/>
        <item x="48"/>
        <item x="59"/>
        <item x="58"/>
        <item x="60"/>
        <item x="57"/>
        <item x="61"/>
        <item x="63"/>
        <item x="62"/>
        <item x="64"/>
      </items>
    </pivotField>
    <pivotField compact="0" outline="0" showAll="0"/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67">
        <item x="57"/>
        <item x="58"/>
        <item x="59"/>
        <item x="62"/>
        <item x="63"/>
        <item x="60"/>
        <item x="61"/>
        <item x="48"/>
        <item x="47"/>
        <item x="44"/>
        <item x="42"/>
        <item x="43"/>
        <item x="64"/>
        <item x="45"/>
        <item x="65"/>
        <item x="21"/>
        <item x="10"/>
        <item x="12"/>
        <item x="8"/>
        <item x="7"/>
        <item x="11"/>
        <item x="4"/>
        <item x="6"/>
        <item x="14"/>
        <item x="22"/>
        <item x="3"/>
        <item x="13"/>
        <item x="9"/>
        <item x="5"/>
        <item x="2"/>
        <item x="0"/>
        <item x="1"/>
        <item x="16"/>
        <item x="19"/>
        <item x="20"/>
        <item x="18"/>
        <item x="39"/>
        <item h="1" x="40"/>
        <item h="1" x="41"/>
        <item x="23"/>
        <item x="32"/>
        <item x="30"/>
        <item x="31"/>
        <item x="24"/>
        <item x="38"/>
        <item h="1" x="46"/>
        <item x="33"/>
        <item x="36"/>
        <item x="37"/>
        <item x="35"/>
        <item x="34"/>
        <item x="25"/>
        <item x="17"/>
        <item x="15"/>
        <item x="66"/>
        <item x="55"/>
        <item x="56"/>
        <item x="49"/>
        <item x="50"/>
        <item x="51"/>
        <item x="52"/>
        <item x="53"/>
        <item x="54"/>
        <item x="26"/>
        <item x="29"/>
        <item x="28"/>
        <item x="27"/>
      </items>
    </pivotField>
    <pivotField dataField="1" compact="0" numFmtId="1" outline="0" showAll="0"/>
  </pivotFields>
  <rowFields count="2">
    <field x="0"/>
    <field x="6"/>
  </rowFields>
  <rowItems count="65">
    <i>
      <x/>
      <x v="63"/>
    </i>
    <i>
      <x v="1"/>
      <x v="65"/>
    </i>
    <i>
      <x v="2"/>
      <x v="64"/>
    </i>
    <i>
      <x v="3"/>
      <x v="66"/>
    </i>
    <i>
      <x v="4"/>
      <x v="25"/>
    </i>
    <i>
      <x v="5"/>
      <x v="19"/>
    </i>
    <i>
      <x v="6"/>
      <x v="28"/>
    </i>
    <i>
      <x v="7"/>
      <x v="18"/>
    </i>
    <i>
      <x v="8"/>
      <x v="27"/>
    </i>
    <i>
      <x v="9"/>
      <x v="20"/>
    </i>
    <i>
      <x v="10"/>
      <x v="24"/>
    </i>
    <i>
      <x v="11"/>
      <x v="17"/>
    </i>
    <i>
      <x v="12"/>
      <x v="26"/>
    </i>
    <i>
      <x v="13"/>
      <x v="16"/>
    </i>
    <i>
      <x v="14"/>
      <x v="23"/>
    </i>
    <i>
      <x v="15"/>
      <x v="21"/>
    </i>
    <i>
      <x v="16"/>
      <x v="22"/>
    </i>
    <i>
      <x v="17"/>
      <x v="52"/>
    </i>
    <i>
      <x v="18"/>
      <x v="53"/>
    </i>
    <i>
      <x v="19"/>
      <x v="46"/>
    </i>
    <i>
      <x v="20"/>
      <x v="43"/>
    </i>
    <i>
      <x v="21"/>
      <x v="50"/>
    </i>
    <i>
      <x v="22"/>
      <x v="49"/>
    </i>
    <i>
      <x v="23"/>
      <x v="47"/>
    </i>
    <i>
      <x v="24"/>
      <x v="48"/>
    </i>
    <i>
      <x v="25"/>
      <x v="32"/>
    </i>
    <i>
      <x v="26"/>
      <x v="33"/>
    </i>
    <i>
      <x v="27"/>
      <x v="36"/>
    </i>
    <i>
      <x v="28"/>
      <x v="44"/>
    </i>
    <i>
      <x v="29"/>
      <x v="39"/>
    </i>
    <i>
      <x v="30"/>
      <x v="51"/>
    </i>
    <i>
      <x v="31"/>
      <x v="35"/>
    </i>
    <i>
      <x v="32"/>
      <x v="15"/>
    </i>
    <i>
      <x v="33"/>
      <x v="34"/>
    </i>
    <i>
      <x v="34"/>
      <x v="30"/>
    </i>
    <i>
      <x v="35"/>
      <x v="31"/>
    </i>
    <i>
      <x v="36"/>
      <x v="29"/>
    </i>
    <i>
      <x v="37"/>
      <x v="41"/>
    </i>
    <i>
      <x v="38"/>
      <x v="42"/>
    </i>
    <i>
      <x v="39"/>
      <x v="40"/>
    </i>
    <i>
      <x v="40"/>
      <x v="9"/>
    </i>
    <i>
      <x v="43"/>
      <x v="11"/>
    </i>
    <i>
      <x v="44"/>
      <x v="10"/>
    </i>
    <i>
      <x v="45"/>
      <x v="54"/>
    </i>
    <i>
      <x v="47"/>
      <x v="13"/>
    </i>
    <i>
      <x v="48"/>
      <x v="14"/>
    </i>
    <i>
      <x v="49"/>
      <x v="8"/>
    </i>
    <i>
      <x v="50"/>
      <x v="57"/>
    </i>
    <i>
      <x v="51"/>
      <x v="58"/>
    </i>
    <i>
      <x v="52"/>
      <x v="59"/>
    </i>
    <i>
      <x v="53"/>
      <x v="60"/>
    </i>
    <i>
      <x v="54"/>
      <x v="61"/>
    </i>
    <i>
      <x v="55"/>
      <x v="62"/>
    </i>
    <i>
      <x v="56"/>
      <x v="55"/>
    </i>
    <i>
      <x v="57"/>
      <x v="56"/>
    </i>
    <i>
      <x v="58"/>
      <x v="7"/>
    </i>
    <i>
      <x v="59"/>
      <x v="2"/>
    </i>
    <i>
      <x v="60"/>
      <x v="1"/>
    </i>
    <i>
      <x v="61"/>
      <x v="5"/>
    </i>
    <i>
      <x v="62"/>
      <x/>
    </i>
    <i>
      <x v="63"/>
      <x v="6"/>
    </i>
    <i>
      <x v="64"/>
      <x v="4"/>
    </i>
    <i>
      <x v="65"/>
      <x v="3"/>
    </i>
    <i>
      <x v="66"/>
      <x v="12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1">
    <pageField fld="3" item="0" hier="-1"/>
  </pageFields>
  <dataFields count="1">
    <dataField name="Sum of QTY/grosa" fld="7" baseField="6" baseItem="44" numFmtId="1"/>
  </dataFields>
  <formats count="76">
    <format dxfId="106">
      <pivotArea outline="0" fieldPosition="0">
        <references count="2">
          <reference field="0" count="46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</reference>
          <reference field="6" count="46" selected="0">
            <x v="9"/>
            <x v="10"/>
            <x v="11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63"/>
            <x v="64"/>
            <x v="65"/>
            <x v="66"/>
          </reference>
        </references>
      </pivotArea>
    </format>
    <format dxfId="107">
      <pivotArea field="0" type="button" dataOnly="0" labelOnly="1" outline="0" axis="axisRow" fieldPosition="0"/>
    </format>
    <format dxfId="108">
      <pivotArea field="6" type="button" dataOnly="0" labelOnly="1" outline="0" axis="axisRow" fieldPosition="1"/>
    </format>
    <format dxfId="109">
      <pivotArea dataOnly="0" labelOnly="1" outline="0" fieldPosition="0">
        <references count="1">
          <reference field="0" count="4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</reference>
        </references>
      </pivotArea>
    </format>
    <format dxfId="110">
      <pivotArea dataOnly="0" labelOnly="1" outline="0" fieldPosition="0">
        <references count="2">
          <reference field="0" count="1" selected="0">
            <x v="0"/>
          </reference>
          <reference field="6" count="1">
            <x v="63"/>
          </reference>
        </references>
      </pivotArea>
    </format>
    <format dxfId="111">
      <pivotArea dataOnly="0" labelOnly="1" outline="0" fieldPosition="0">
        <references count="2">
          <reference field="0" count="1" selected="0">
            <x v="1"/>
          </reference>
          <reference field="6" count="1">
            <x v="65"/>
          </reference>
        </references>
      </pivotArea>
    </format>
    <format dxfId="112">
      <pivotArea dataOnly="0" labelOnly="1" outline="0" fieldPosition="0">
        <references count="2">
          <reference field="0" count="1" selected="0">
            <x v="2"/>
          </reference>
          <reference field="6" count="1">
            <x v="64"/>
          </reference>
        </references>
      </pivotArea>
    </format>
    <format dxfId="113">
      <pivotArea dataOnly="0" labelOnly="1" outline="0" fieldPosition="0">
        <references count="2">
          <reference field="0" count="1" selected="0">
            <x v="3"/>
          </reference>
          <reference field="6" count="1">
            <x v="66"/>
          </reference>
        </references>
      </pivotArea>
    </format>
    <format dxfId="114">
      <pivotArea dataOnly="0" labelOnly="1" outline="0" fieldPosition="0">
        <references count="2">
          <reference field="0" count="1" selected="0">
            <x v="4"/>
          </reference>
          <reference field="6" count="1">
            <x v="25"/>
          </reference>
        </references>
      </pivotArea>
    </format>
    <format dxfId="115">
      <pivotArea dataOnly="0" labelOnly="1" outline="0" fieldPosition="0">
        <references count="2">
          <reference field="0" count="1" selected="0">
            <x v="5"/>
          </reference>
          <reference field="6" count="1">
            <x v="19"/>
          </reference>
        </references>
      </pivotArea>
    </format>
    <format dxfId="116">
      <pivotArea dataOnly="0" labelOnly="1" outline="0" fieldPosition="0">
        <references count="2">
          <reference field="0" count="1" selected="0">
            <x v="6"/>
          </reference>
          <reference field="6" count="1">
            <x v="28"/>
          </reference>
        </references>
      </pivotArea>
    </format>
    <format dxfId="117">
      <pivotArea dataOnly="0" labelOnly="1" outline="0" fieldPosition="0">
        <references count="2">
          <reference field="0" count="1" selected="0">
            <x v="7"/>
          </reference>
          <reference field="6" count="1">
            <x v="18"/>
          </reference>
        </references>
      </pivotArea>
    </format>
    <format dxfId="118">
      <pivotArea dataOnly="0" labelOnly="1" outline="0" fieldPosition="0">
        <references count="2">
          <reference field="0" count="1" selected="0">
            <x v="8"/>
          </reference>
          <reference field="6" count="1">
            <x v="27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9"/>
          </reference>
          <reference field="6" count="1">
            <x v="20"/>
          </reference>
        </references>
      </pivotArea>
    </format>
    <format dxfId="120">
      <pivotArea dataOnly="0" labelOnly="1" outline="0" fieldPosition="0">
        <references count="2">
          <reference field="0" count="1" selected="0">
            <x v="10"/>
          </reference>
          <reference field="6" count="1">
            <x v="24"/>
          </reference>
        </references>
      </pivotArea>
    </format>
    <format dxfId="121">
      <pivotArea dataOnly="0" labelOnly="1" outline="0" fieldPosition="0">
        <references count="2">
          <reference field="0" count="1" selected="0">
            <x v="11"/>
          </reference>
          <reference field="6" count="1">
            <x v="17"/>
          </reference>
        </references>
      </pivotArea>
    </format>
    <format dxfId="122">
      <pivotArea dataOnly="0" labelOnly="1" outline="0" fieldPosition="0">
        <references count="2">
          <reference field="0" count="1" selected="0">
            <x v="12"/>
          </reference>
          <reference field="6" count="1">
            <x v="26"/>
          </reference>
        </references>
      </pivotArea>
    </format>
    <format dxfId="123">
      <pivotArea dataOnly="0" labelOnly="1" outline="0" fieldPosition="0">
        <references count="2">
          <reference field="0" count="1" selected="0">
            <x v="13"/>
          </reference>
          <reference field="6" count="1">
            <x v="16"/>
          </reference>
        </references>
      </pivotArea>
    </format>
    <format dxfId="124">
      <pivotArea dataOnly="0" labelOnly="1" outline="0" fieldPosition="0">
        <references count="2">
          <reference field="0" count="1" selected="0">
            <x v="14"/>
          </reference>
          <reference field="6" count="1">
            <x v="23"/>
          </reference>
        </references>
      </pivotArea>
    </format>
    <format dxfId="125">
      <pivotArea dataOnly="0" labelOnly="1" outline="0" fieldPosition="0">
        <references count="2">
          <reference field="0" count="1" selected="0">
            <x v="15"/>
          </reference>
          <reference field="6" count="1">
            <x v="21"/>
          </reference>
        </references>
      </pivotArea>
    </format>
    <format dxfId="126">
      <pivotArea dataOnly="0" labelOnly="1" outline="0" fieldPosition="0">
        <references count="2">
          <reference field="0" count="1" selected="0">
            <x v="16"/>
          </reference>
          <reference field="6" count="1">
            <x v="22"/>
          </reference>
        </references>
      </pivotArea>
    </format>
    <format dxfId="127">
      <pivotArea dataOnly="0" labelOnly="1" outline="0" fieldPosition="0">
        <references count="2">
          <reference field="0" count="1" selected="0">
            <x v="17"/>
          </reference>
          <reference field="6" count="1">
            <x v="52"/>
          </reference>
        </references>
      </pivotArea>
    </format>
    <format dxfId="128">
      <pivotArea dataOnly="0" labelOnly="1" outline="0" fieldPosition="0">
        <references count="2">
          <reference field="0" count="1" selected="0">
            <x v="18"/>
          </reference>
          <reference field="6" count="1">
            <x v="53"/>
          </reference>
        </references>
      </pivotArea>
    </format>
    <format dxfId="129">
      <pivotArea dataOnly="0" labelOnly="1" outline="0" fieldPosition="0">
        <references count="2">
          <reference field="0" count="1" selected="0">
            <x v="19"/>
          </reference>
          <reference field="6" count="1">
            <x v="46"/>
          </reference>
        </references>
      </pivotArea>
    </format>
    <format dxfId="130">
      <pivotArea dataOnly="0" labelOnly="1" outline="0" fieldPosition="0">
        <references count="2">
          <reference field="0" count="1" selected="0">
            <x v="20"/>
          </reference>
          <reference field="6" count="1">
            <x v="43"/>
          </reference>
        </references>
      </pivotArea>
    </format>
    <format dxfId="131">
      <pivotArea dataOnly="0" labelOnly="1" outline="0" fieldPosition="0">
        <references count="2">
          <reference field="0" count="1" selected="0">
            <x v="21"/>
          </reference>
          <reference field="6" count="1">
            <x v="50"/>
          </reference>
        </references>
      </pivotArea>
    </format>
    <format dxfId="132">
      <pivotArea dataOnly="0" labelOnly="1" outline="0" fieldPosition="0">
        <references count="2">
          <reference field="0" count="1" selected="0">
            <x v="22"/>
          </reference>
          <reference field="6" count="1">
            <x v="49"/>
          </reference>
        </references>
      </pivotArea>
    </format>
    <format dxfId="133">
      <pivotArea dataOnly="0" labelOnly="1" outline="0" fieldPosition="0">
        <references count="2">
          <reference field="0" count="1" selected="0">
            <x v="23"/>
          </reference>
          <reference field="6" count="1">
            <x v="47"/>
          </reference>
        </references>
      </pivotArea>
    </format>
    <format dxfId="134">
      <pivotArea dataOnly="0" labelOnly="1" outline="0" fieldPosition="0">
        <references count="2">
          <reference field="0" count="1" selected="0">
            <x v="24"/>
          </reference>
          <reference field="6" count="1">
            <x v="48"/>
          </reference>
        </references>
      </pivotArea>
    </format>
    <format dxfId="135">
      <pivotArea dataOnly="0" labelOnly="1" outline="0" fieldPosition="0">
        <references count="2">
          <reference field="0" count="1" selected="0">
            <x v="25"/>
          </reference>
          <reference field="6" count="1">
            <x v="32"/>
          </reference>
        </references>
      </pivotArea>
    </format>
    <format dxfId="136">
      <pivotArea dataOnly="0" labelOnly="1" outline="0" fieldPosition="0">
        <references count="2">
          <reference field="0" count="1" selected="0">
            <x v="26"/>
          </reference>
          <reference field="6" count="1">
            <x v="33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27"/>
          </reference>
          <reference field="6" count="1">
            <x v="36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28"/>
          </reference>
          <reference field="6" count="1">
            <x v="44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29"/>
          </reference>
          <reference field="6" count="1">
            <x v="39"/>
          </reference>
        </references>
      </pivotArea>
    </format>
    <format dxfId="140">
      <pivotArea dataOnly="0" labelOnly="1" outline="0" fieldPosition="0">
        <references count="2">
          <reference field="0" count="1" selected="0">
            <x v="30"/>
          </reference>
          <reference field="6" count="1">
            <x v="51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31"/>
          </reference>
          <reference field="6" count="1">
            <x v="35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32"/>
          </reference>
          <reference field="6" count="1">
            <x v="15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33"/>
          </reference>
          <reference field="6" count="1">
            <x v="34"/>
          </reference>
        </references>
      </pivotArea>
    </format>
    <format dxfId="144">
      <pivotArea dataOnly="0" labelOnly="1" outline="0" fieldPosition="0">
        <references count="2">
          <reference field="0" count="1" selected="0">
            <x v="34"/>
          </reference>
          <reference field="6" count="1">
            <x v="30"/>
          </reference>
        </references>
      </pivotArea>
    </format>
    <format dxfId="145">
      <pivotArea dataOnly="0" labelOnly="1" outline="0" fieldPosition="0">
        <references count="2">
          <reference field="0" count="1" selected="0">
            <x v="35"/>
          </reference>
          <reference field="6" count="1">
            <x v="31"/>
          </reference>
        </references>
      </pivotArea>
    </format>
    <format dxfId="146">
      <pivotArea dataOnly="0" labelOnly="1" outline="0" fieldPosition="0">
        <references count="2">
          <reference field="0" count="1" selected="0">
            <x v="36"/>
          </reference>
          <reference field="6" count="1">
            <x v="29"/>
          </reference>
        </references>
      </pivotArea>
    </format>
    <format dxfId="147">
      <pivotArea dataOnly="0" labelOnly="1" outline="0" fieldPosition="0">
        <references count="2">
          <reference field="0" count="1" selected="0">
            <x v="37"/>
          </reference>
          <reference field="6" count="1">
            <x v="41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38"/>
          </reference>
          <reference field="6" count="1">
            <x v="42"/>
          </reference>
        </references>
      </pivotArea>
    </format>
    <format dxfId="149">
      <pivotArea dataOnly="0" labelOnly="1" outline="0" fieldPosition="0">
        <references count="2">
          <reference field="0" count="1" selected="0">
            <x v="39"/>
          </reference>
          <reference field="6" count="1">
            <x v="40"/>
          </reference>
        </references>
      </pivotArea>
    </format>
    <format dxfId="150">
      <pivotArea dataOnly="0" labelOnly="1" outline="0" fieldPosition="0">
        <references count="2">
          <reference field="0" count="1" selected="0">
            <x v="40"/>
          </reference>
          <reference field="6" count="1">
            <x v="9"/>
          </reference>
        </references>
      </pivotArea>
    </format>
    <format dxfId="151">
      <pivotArea dataOnly="0" labelOnly="1" outline="0" fieldPosition="0">
        <references count="2">
          <reference field="0" count="1" selected="0">
            <x v="41"/>
          </reference>
          <reference field="6" count="1">
            <x v="38"/>
          </reference>
        </references>
      </pivotArea>
    </format>
    <format dxfId="152">
      <pivotArea dataOnly="0" labelOnly="1" outline="0" fieldPosition="0">
        <references count="2">
          <reference field="0" count="1" selected="0">
            <x v="42"/>
          </reference>
          <reference field="6" count="1">
            <x v="37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43"/>
          </reference>
          <reference field="6" count="1">
            <x v="11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44"/>
          </reference>
          <reference field="6" count="1">
            <x v="10"/>
          </reference>
        </references>
      </pivotArea>
    </format>
    <format dxfId="155">
      <pivotArea dataOnly="0" labelOnly="1" outline="0" fieldPosition="0">
        <references count="2">
          <reference field="0" count="1" selected="0">
            <x v="45"/>
          </reference>
          <reference field="6" count="1">
            <x v="54"/>
          </reference>
        </references>
      </pivotArea>
    </format>
    <format dxfId="156">
      <pivotArea dataOnly="0" labelOnly="1" outline="0" fieldPosition="0">
        <references count="1">
          <reference field="2" count="0"/>
        </references>
      </pivotArea>
    </format>
    <format dxfId="157">
      <pivotArea outline="0" fieldPosition="0">
        <references count="2">
          <reference field="0" count="20" selected="0"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  <reference field="6" count="20" selected="0">
            <x v="0"/>
            <x v="1"/>
            <x v="2"/>
            <x v="3"/>
            <x v="4"/>
            <x v="5"/>
            <x v="6"/>
            <x v="7"/>
            <x v="8"/>
            <x v="12"/>
            <x v="13"/>
            <x v="14"/>
            <x v="55"/>
            <x v="56"/>
            <x v="57"/>
            <x v="58"/>
            <x v="59"/>
            <x v="60"/>
            <x v="61"/>
            <x v="62"/>
          </reference>
        </references>
      </pivotArea>
    </format>
    <format dxfId="158">
      <pivotArea dataOnly="0" labelOnly="1" outline="0" fieldPosition="0">
        <references count="1">
          <reference field="0" count="20"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7"/>
          </reference>
          <reference field="6" count="1">
            <x v="13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48"/>
          </reference>
          <reference field="6" count="1">
            <x v="14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49"/>
          </reference>
          <reference field="6" count="1">
            <x v="8"/>
          </reference>
        </references>
      </pivotArea>
    </format>
    <format dxfId="162">
      <pivotArea dataOnly="0" labelOnly="1" outline="0" fieldPosition="0">
        <references count="2">
          <reference field="0" count="1" selected="0">
            <x v="50"/>
          </reference>
          <reference field="6" count="1">
            <x v="57"/>
          </reference>
        </references>
      </pivotArea>
    </format>
    <format dxfId="163">
      <pivotArea dataOnly="0" labelOnly="1" outline="0" fieldPosition="0">
        <references count="2">
          <reference field="0" count="1" selected="0">
            <x v="51"/>
          </reference>
          <reference field="6" count="1">
            <x v="58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52"/>
          </reference>
          <reference field="6" count="1">
            <x v="59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53"/>
          </reference>
          <reference field="6" count="1">
            <x v="60"/>
          </reference>
        </references>
      </pivotArea>
    </format>
    <format dxfId="166">
      <pivotArea dataOnly="0" labelOnly="1" outline="0" fieldPosition="0">
        <references count="2">
          <reference field="0" count="1" selected="0">
            <x v="54"/>
          </reference>
          <reference field="6" count="1">
            <x v="61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55"/>
          </reference>
          <reference field="6" count="1">
            <x v="62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56"/>
          </reference>
          <reference field="6" count="1">
            <x v="55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57"/>
          </reference>
          <reference field="6" count="1">
            <x v="56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58"/>
          </reference>
          <reference field="6" count="1">
            <x v="7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59"/>
          </reference>
          <reference field="6" count="1">
            <x v="2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60"/>
          </reference>
          <reference field="6" count="1">
            <x v="1"/>
          </reference>
        </references>
      </pivotArea>
    </format>
    <format dxfId="173">
      <pivotArea dataOnly="0" labelOnly="1" outline="0" fieldPosition="0">
        <references count="2">
          <reference field="0" count="1" selected="0">
            <x v="61"/>
          </reference>
          <reference field="6" count="1">
            <x v="5"/>
          </reference>
        </references>
      </pivotArea>
    </format>
    <format dxfId="174">
      <pivotArea dataOnly="0" labelOnly="1" outline="0" fieldPosition="0">
        <references count="2">
          <reference field="0" count="1" selected="0">
            <x v="62"/>
          </reference>
          <reference field="6" count="1">
            <x v="0"/>
          </reference>
        </references>
      </pivotArea>
    </format>
    <format dxfId="175">
      <pivotArea dataOnly="0" labelOnly="1" outline="0" fieldPosition="0">
        <references count="2">
          <reference field="0" count="1" selected="0">
            <x v="63"/>
          </reference>
          <reference field="6" count="1">
            <x v="6"/>
          </reference>
        </references>
      </pivotArea>
    </format>
    <format dxfId="176">
      <pivotArea dataOnly="0" labelOnly="1" outline="0" fieldPosition="0">
        <references count="2">
          <reference field="0" count="1" selected="0">
            <x v="64"/>
          </reference>
          <reference field="6" count="1">
            <x v="4"/>
          </reference>
        </references>
      </pivotArea>
    </format>
    <format dxfId="177">
      <pivotArea dataOnly="0" labelOnly="1" outline="0" fieldPosition="0">
        <references count="2">
          <reference field="0" count="1" selected="0">
            <x v="65"/>
          </reference>
          <reference field="6" count="1">
            <x v="3"/>
          </reference>
        </references>
      </pivotArea>
    </format>
    <format dxfId="178">
      <pivotArea dataOnly="0" labelOnly="1" outline="0" fieldPosition="0">
        <references count="2">
          <reference field="0" count="1" selected="0">
            <x v="66"/>
          </reference>
          <reference field="6" count="1">
            <x v="12"/>
          </reference>
        </references>
      </pivotArea>
    </format>
    <format dxfId="179">
      <pivotArea outline="0" fieldPosition="0">
        <references count="2">
          <reference field="0" count="1" selected="0">
            <x v="46"/>
          </reference>
          <reference field="6" count="1" selected="0">
            <x v="45"/>
          </reference>
        </references>
      </pivotArea>
    </format>
    <format dxfId="180">
      <pivotArea dataOnly="0" labelOnly="1" outline="0" fieldPosition="0">
        <references count="1">
          <reference field="0" count="1">
            <x v="46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46"/>
          </reference>
          <reference field="6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DCFB-C21E-43EB-BB7C-E21ACC77E9AD}">
  <sheetPr>
    <tabColor rgb="FFFFFF00"/>
  </sheetPr>
  <dimension ref="A1:V75"/>
  <sheetViews>
    <sheetView showGridLines="0" topLeftCell="A45" zoomScaleNormal="100" workbookViewId="0">
      <selection activeCell="B66" sqref="B66"/>
    </sheetView>
  </sheetViews>
  <sheetFormatPr defaultRowHeight="15" x14ac:dyDescent="0.25"/>
  <cols>
    <col min="1" max="1" width="12" bestFit="1" customWidth="1"/>
    <col min="2" max="2" width="12.85546875" customWidth="1"/>
    <col min="3" max="3" width="15.28515625" bestFit="1" customWidth="1"/>
    <col min="4" max="4" width="18.42578125" customWidth="1"/>
    <col min="5" max="5" width="11.85546875" bestFit="1" customWidth="1"/>
    <col min="6" max="6" width="13.85546875" bestFit="1" customWidth="1"/>
    <col min="7" max="7" width="12.42578125" bestFit="1" customWidth="1"/>
    <col min="9" max="9" width="10.85546875" customWidth="1"/>
    <col min="11" max="11" width="20.42578125" bestFit="1" customWidth="1"/>
    <col min="12" max="12" width="16.5703125" bestFit="1" customWidth="1"/>
    <col min="13" max="13" width="19.140625" customWidth="1"/>
    <col min="14" max="14" width="12" bestFit="1" customWidth="1"/>
    <col min="15" max="15" width="10.85546875" bestFit="1" customWidth="1"/>
    <col min="16" max="16" width="15.28515625" bestFit="1" customWidth="1"/>
    <col min="17" max="17" width="16.85546875" bestFit="1" customWidth="1"/>
    <col min="18" max="18" width="11.85546875" bestFit="1" customWidth="1"/>
    <col min="19" max="19" width="13.85546875" bestFit="1" customWidth="1"/>
    <col min="20" max="20" width="12.42578125" bestFit="1" customWidth="1"/>
  </cols>
  <sheetData>
    <row r="1" spans="1:20" ht="21" x14ac:dyDescent="0.35">
      <c r="A1" s="42" t="s">
        <v>114</v>
      </c>
      <c r="I1" s="41" t="s">
        <v>115</v>
      </c>
    </row>
    <row r="2" spans="1:20" ht="15.75" x14ac:dyDescent="0.25">
      <c r="A2" s="1" t="s">
        <v>0</v>
      </c>
      <c r="B2" s="2"/>
      <c r="C2" s="2"/>
      <c r="D2" s="2"/>
      <c r="E2" s="2"/>
      <c r="F2" s="2"/>
      <c r="G2" s="2"/>
      <c r="I2" s="3" t="s">
        <v>0</v>
      </c>
      <c r="N2" s="1" t="s">
        <v>1</v>
      </c>
      <c r="O2" s="2"/>
      <c r="P2" s="2"/>
      <c r="Q2" s="2"/>
      <c r="R2" s="2"/>
      <c r="S2" s="2"/>
      <c r="T2" s="2"/>
    </row>
    <row r="3" spans="1:20" x14ac:dyDescent="0.2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N3" s="4" t="s">
        <v>2</v>
      </c>
      <c r="O3" s="4" t="s">
        <v>3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</row>
    <row r="4" spans="1:20" x14ac:dyDescent="0.25">
      <c r="A4" s="6" t="s">
        <v>13</v>
      </c>
      <c r="B4" s="7">
        <v>50.91</v>
      </c>
      <c r="C4" s="8">
        <f t="array" aca="1" ref="C4" ca="1">SUM(IF([1]Projection!A:A='Curva ABC'!A4,[1]Projection!BL:BX))</f>
        <v>99985.38364</v>
      </c>
      <c r="D4" s="7">
        <f ca="1">B4*C4</f>
        <v>5090255.8811123995</v>
      </c>
      <c r="E4" s="9">
        <f ca="1">D4/$D$49</f>
        <v>7.8682889312126789E-2</v>
      </c>
      <c r="F4" s="10">
        <f ca="1">E4</f>
        <v>7.8682889312126789E-2</v>
      </c>
      <c r="G4" s="11" t="str">
        <f t="shared" ref="G4:G48" ca="1" si="0">IF(F4&lt;=$J$4,"A",IF(F4&lt;=$J$5,"B","C"))</f>
        <v>A</v>
      </c>
      <c r="I4" s="12" t="s">
        <v>14</v>
      </c>
      <c r="J4" s="10">
        <v>0.65</v>
      </c>
      <c r="K4" s="13">
        <f ca="1">COUNTIF($G$4:$G$48,I4)/COUNTA($G$4:$G$48)</f>
        <v>0.28888888888888886</v>
      </c>
      <c r="L4" s="9">
        <f ca="1">SUMIF($G$4:$G$48,I4,$E$4:$E$48)</f>
        <v>0.62510842486578777</v>
      </c>
      <c r="N4" s="16" t="s">
        <v>18</v>
      </c>
      <c r="O4" s="7">
        <f ca="1">VLOOKUP(N4,'[2]2-Relatório'!$A:$J,9,0)</f>
        <v>2.0499999999999998</v>
      </c>
      <c r="P4" s="14">
        <f t="array" aca="1" ref="P4" ca="1">SUM(IF([1]Projection!A:A='Curva ABC'!N4,[1]Projection!BL:BX))</f>
        <v>3040000</v>
      </c>
      <c r="Q4" s="15">
        <f ca="1">O4*P4</f>
        <v>6231999.9999999991</v>
      </c>
      <c r="R4" s="10">
        <f t="shared" ref="R4:R25" ca="1" si="1">Q4/$Q$26</f>
        <v>0.51501991102353883</v>
      </c>
      <c r="S4" s="10">
        <f ca="1">R4</f>
        <v>0.51501991102353883</v>
      </c>
      <c r="T4" s="11" t="str">
        <f ca="1">IF(S4&lt;=$J$10,"A",IF(S4&lt;=$J$11,"B","C"))</f>
        <v>A</v>
      </c>
    </row>
    <row r="5" spans="1:20" x14ac:dyDescent="0.25">
      <c r="A5" s="6" t="s">
        <v>16</v>
      </c>
      <c r="B5" s="7">
        <v>62.55</v>
      </c>
      <c r="C5" s="8">
        <f t="array" aca="1" ref="C5" ca="1">SUM(IF([1]Projection!A:A='Curva ABC'!A5,[1]Projection!BL:BX))</f>
        <v>77814.947359999991</v>
      </c>
      <c r="D5" s="7">
        <f ca="1">B5*C5</f>
        <v>4867324.9573679995</v>
      </c>
      <c r="E5" s="9">
        <f ca="1">D5/$D$49</f>
        <v>7.5236923213975057E-2</v>
      </c>
      <c r="F5" s="10">
        <f t="shared" ref="F5:F16" ca="1" si="2">E5+F4</f>
        <v>0.15391981252610185</v>
      </c>
      <c r="G5" s="11" t="str">
        <f t="shared" ca="1" si="0"/>
        <v>A</v>
      </c>
      <c r="I5" s="12" t="s">
        <v>17</v>
      </c>
      <c r="J5" s="10">
        <v>0.9</v>
      </c>
      <c r="K5" s="13">
        <f ca="1">COUNTIF($G$4:$G$48,I5)/COUNTA($G$4:$G$48)</f>
        <v>0.33333333333333331</v>
      </c>
      <c r="L5" s="9">
        <f ca="1">SUMIF($G$4:$G$48,I5,$E$4:$E$48)</f>
        <v>0.26638502879916726</v>
      </c>
      <c r="N5" s="6" t="s">
        <v>21</v>
      </c>
      <c r="O5" s="7">
        <f ca="1">VLOOKUP(N5,'[2]2-Relatório'!$A:$J,9,0)</f>
        <v>37.96</v>
      </c>
      <c r="P5" s="14">
        <f t="array" aca="1" ref="P5" ca="1">SUM(IF([1]Projection!A:A='Curva ABC'!N5,[1]Projection!BL:BX))</f>
        <v>32830</v>
      </c>
      <c r="Q5" s="15">
        <f ca="1">O5*P5</f>
        <v>1246226.8</v>
      </c>
      <c r="R5" s="10">
        <f t="shared" ca="1" si="1"/>
        <v>0.10298966875018448</v>
      </c>
      <c r="S5" s="10">
        <f t="shared" ref="S5:S21" ca="1" si="3">R5+S4</f>
        <v>0.61800957977372328</v>
      </c>
      <c r="T5" s="11" t="str">
        <f t="shared" ref="T5:T25" ca="1" si="4">IF(S5&lt;=$J$10,"A",IF(S5&lt;=$J$11,"B","C"))</f>
        <v>A</v>
      </c>
    </row>
    <row r="6" spans="1:20" x14ac:dyDescent="0.25">
      <c r="A6" s="6" t="s">
        <v>19</v>
      </c>
      <c r="B6" s="7">
        <v>64.17</v>
      </c>
      <c r="C6" s="8">
        <f t="array" aca="1" ref="C6" ca="1">SUM(IF([1]Projection!A:A='Curva ABC'!A6,[1]Projection!BL:BX))</f>
        <v>68786.599000000002</v>
      </c>
      <c r="D6" s="7">
        <f ca="1">B6*C6</f>
        <v>4414036.0578300003</v>
      </c>
      <c r="E6" s="9">
        <f ca="1">D6/$D$49</f>
        <v>6.8230186982677812E-2</v>
      </c>
      <c r="F6" s="10">
        <f t="shared" ca="1" si="2"/>
        <v>0.22214999950877967</v>
      </c>
      <c r="G6" s="11" t="str">
        <f t="shared" ca="1" si="0"/>
        <v>A</v>
      </c>
      <c r="I6" s="12" t="s">
        <v>20</v>
      </c>
      <c r="J6" s="17">
        <v>1</v>
      </c>
      <c r="K6" s="13">
        <f ca="1">COUNTIF($G$4:$G$48,I6)/COUNTA($G$4:$G$48)</f>
        <v>0.37777777777777777</v>
      </c>
      <c r="L6" s="9">
        <f ca="1">SUMIF($G$4:$G$48,I6,$E$4:$E$48)</f>
        <v>0.10850654633504463</v>
      </c>
      <c r="N6" s="6" t="s">
        <v>23</v>
      </c>
      <c r="O6" s="7">
        <f ca="1">VLOOKUP(N6,'[2]2-Relatório'!$A:$J,9,0)</f>
        <v>87.95</v>
      </c>
      <c r="P6" s="14">
        <f t="array" aca="1" ref="P6" ca="1">SUM(IF([1]Projection!A:A='Curva ABC'!N6,[1]Projection!BL:BX))</f>
        <v>13466</v>
      </c>
      <c r="Q6" s="15">
        <f ca="1">O6*P6</f>
        <v>1184334.7</v>
      </c>
      <c r="R6" s="10">
        <f t="shared" ca="1" si="1"/>
        <v>9.7874831806176135E-2</v>
      </c>
      <c r="S6" s="10">
        <f t="shared" ca="1" si="3"/>
        <v>0.71588441157989946</v>
      </c>
      <c r="T6" s="11" t="str">
        <f t="shared" ca="1" si="4"/>
        <v>B</v>
      </c>
    </row>
    <row r="7" spans="1:20" x14ac:dyDescent="0.25">
      <c r="A7" s="6" t="s">
        <v>22</v>
      </c>
      <c r="B7" s="7">
        <v>59.37</v>
      </c>
      <c r="C7" s="8">
        <f t="array" aca="1" ref="C7" ca="1">SUM(IF([1]Projection!A:A='Curva ABC'!A7,[1]Projection!BL:BX))</f>
        <v>71268</v>
      </c>
      <c r="D7" s="7">
        <f ca="1">B7*C7</f>
        <v>4231181.16</v>
      </c>
      <c r="E7" s="9">
        <f t="shared" ref="E7:E48" ca="1" si="5">D7/$D$49</f>
        <v>6.540369809446224E-2</v>
      </c>
      <c r="F7" s="10">
        <f t="shared" ca="1" si="2"/>
        <v>0.2875536976032419</v>
      </c>
      <c r="G7" s="11" t="str">
        <f t="shared" ca="1" si="0"/>
        <v>A</v>
      </c>
      <c r="N7" s="6" t="s">
        <v>25</v>
      </c>
      <c r="O7" s="7">
        <f ca="1">VLOOKUP(N7,'[2]2-Relatório'!$A:$J,9,0)</f>
        <v>36.97</v>
      </c>
      <c r="P7" s="14">
        <f t="array" aca="1" ref="P7" ca="1">SUM(IF([1]Projection!A:A='Curva ABC'!N7,[1]Projection!BL:BX))</f>
        <v>16848</v>
      </c>
      <c r="Q7" s="15">
        <f ca="1">O7*P7</f>
        <v>622870.55999999994</v>
      </c>
      <c r="R7" s="10">
        <f t="shared" ca="1" si="1"/>
        <v>5.1474765787930331E-2</v>
      </c>
      <c r="S7" s="10">
        <f t="shared" ca="1" si="3"/>
        <v>0.76735917736782977</v>
      </c>
      <c r="T7" s="11" t="str">
        <f t="shared" ca="1" si="4"/>
        <v>B</v>
      </c>
    </row>
    <row r="8" spans="1:20" x14ac:dyDescent="0.25">
      <c r="A8" s="6" t="s">
        <v>24</v>
      </c>
      <c r="B8" s="7">
        <v>58.91</v>
      </c>
      <c r="C8" s="8">
        <f t="array" aca="1" ref="C8" ca="1">SUM(IF([1]Projection!A:A='Curva ABC'!A8,[1]Projection!BL:BX))</f>
        <v>58472</v>
      </c>
      <c r="D8" s="7">
        <f ca="1">B8*C8</f>
        <v>3444585.52</v>
      </c>
      <c r="E8" s="9">
        <f t="shared" ca="1" si="5"/>
        <v>5.3244855961363809E-2</v>
      </c>
      <c r="F8" s="10">
        <f t="shared" ca="1" si="2"/>
        <v>0.3407985535646057</v>
      </c>
      <c r="G8" s="11" t="str">
        <f t="shared" ca="1" si="0"/>
        <v>A</v>
      </c>
      <c r="I8" s="3" t="s">
        <v>1</v>
      </c>
      <c r="N8" s="6" t="s">
        <v>29</v>
      </c>
      <c r="O8" s="7">
        <f ca="1">VLOOKUP(N8,'[2]2-Relatório'!$A:$J,9,0)</f>
        <v>7.54</v>
      </c>
      <c r="P8" s="14">
        <f t="array" aca="1" ref="P8" ca="1">SUM(IF([1]Projection!A:A='Curva ABC'!N8,[1]Projection!BL:BX))</f>
        <v>67431</v>
      </c>
      <c r="Q8" s="15">
        <f ca="1">O8*P8</f>
        <v>508429.74</v>
      </c>
      <c r="R8" s="10">
        <f t="shared" ca="1" si="1"/>
        <v>4.2017239964140085E-2</v>
      </c>
      <c r="S8" s="10">
        <f t="shared" ca="1" si="3"/>
        <v>0.80937641733196986</v>
      </c>
      <c r="T8" s="11" t="str">
        <f t="shared" ca="1" si="4"/>
        <v>B</v>
      </c>
    </row>
    <row r="9" spans="1:20" x14ac:dyDescent="0.25">
      <c r="A9" s="6" t="s">
        <v>26</v>
      </c>
      <c r="B9" s="7">
        <v>86.76</v>
      </c>
      <c r="C9" s="8">
        <f t="array" aca="1" ref="C9" ca="1">SUM(IF([1]Projection!A:A='Curva ABC'!A9,[1]Projection!BL:BX))</f>
        <v>36477.595999999998</v>
      </c>
      <c r="D9" s="7">
        <f ca="1">B9*C9</f>
        <v>3164796.22896</v>
      </c>
      <c r="E9" s="9">
        <f t="shared" ca="1" si="5"/>
        <v>4.8919998757366474E-2</v>
      </c>
      <c r="F9" s="10">
        <f t="shared" ca="1" si="2"/>
        <v>0.38971855232197217</v>
      </c>
      <c r="G9" s="11" t="str">
        <f t="shared" ca="1" si="0"/>
        <v>A</v>
      </c>
      <c r="I9" s="5" t="s">
        <v>9</v>
      </c>
      <c r="J9" s="5" t="s">
        <v>10</v>
      </c>
      <c r="K9" s="5" t="s">
        <v>11</v>
      </c>
      <c r="L9" s="5" t="s">
        <v>12</v>
      </c>
      <c r="N9" s="6" t="s">
        <v>27</v>
      </c>
      <c r="O9" s="7">
        <f ca="1">VLOOKUP(N9,'[2]2-Relatório'!$A:$J,9,0)</f>
        <v>55.98</v>
      </c>
      <c r="P9" s="14">
        <f t="array" aca="1" ref="P9" ca="1">SUM(IF([1]Projection!A:A='Curva ABC'!N9,[1]Projection!BL:BX))</f>
        <v>7422.5629999999992</v>
      </c>
      <c r="Q9" s="15">
        <f ca="1">O9*P9</f>
        <v>415515.07673999993</v>
      </c>
      <c r="R9" s="10">
        <f t="shared" ca="1" si="1"/>
        <v>3.4338661401086927E-2</v>
      </c>
      <c r="S9" s="10">
        <f t="shared" ca="1" si="3"/>
        <v>0.84371507873305673</v>
      </c>
      <c r="T9" s="11" t="str">
        <f t="shared" ca="1" si="4"/>
        <v>B</v>
      </c>
    </row>
    <row r="10" spans="1:20" x14ac:dyDescent="0.25">
      <c r="A10" s="6" t="s">
        <v>28</v>
      </c>
      <c r="B10" s="7">
        <v>80.760000000000005</v>
      </c>
      <c r="C10" s="8">
        <f t="array" aca="1" ref="C10" ca="1">SUM(IF([1]Projection!A:A='Curva ABC'!A10,[1]Projection!BL:BX))</f>
        <v>34195.862999999998</v>
      </c>
      <c r="D10" s="7">
        <f ca="1">B10*C10</f>
        <v>2761657.8958800002</v>
      </c>
      <c r="E10" s="9">
        <f t="shared" ca="1" si="5"/>
        <v>4.2688467459125141E-2</v>
      </c>
      <c r="F10" s="10">
        <f t="shared" ca="1" si="2"/>
        <v>0.4324070197810973</v>
      </c>
      <c r="G10" s="11" t="str">
        <f t="shared" ca="1" si="0"/>
        <v>A</v>
      </c>
      <c r="I10" s="12" t="s">
        <v>14</v>
      </c>
      <c r="J10" s="17">
        <v>0.65</v>
      </c>
      <c r="K10" s="13">
        <f ca="1">COUNTIF($T$4:$T$25,I10)/COUNTA($T$4:$T$25)</f>
        <v>9.0909090909090912E-2</v>
      </c>
      <c r="L10" s="13">
        <f ca="1">SUMIF($T$4:$T$25,I10,$R$4:$R$25)</f>
        <v>0.61800957977372328</v>
      </c>
      <c r="N10" s="6" t="s">
        <v>31</v>
      </c>
      <c r="O10" s="7">
        <f ca="1">VLOOKUP(N10,'[2]2-Relatório'!$A:$J,9,0)</f>
        <v>83.56</v>
      </c>
      <c r="P10" s="14">
        <f t="array" aca="1" ref="P10" ca="1">SUM(IF([1]Projection!A:A='Curva ABC'!N10,[1]Projection!BL:BX))</f>
        <v>3875</v>
      </c>
      <c r="Q10" s="15">
        <f ca="1">O10*P10</f>
        <v>323795</v>
      </c>
      <c r="R10" s="10">
        <f t="shared" ca="1" si="1"/>
        <v>2.6758804892468999E-2</v>
      </c>
      <c r="S10" s="10">
        <f t="shared" ca="1" si="3"/>
        <v>0.87047388362552569</v>
      </c>
      <c r="T10" s="11" t="str">
        <f t="shared" ca="1" si="4"/>
        <v>B</v>
      </c>
    </row>
    <row r="11" spans="1:20" x14ac:dyDescent="0.25">
      <c r="A11" s="6" t="s">
        <v>30</v>
      </c>
      <c r="B11" s="7">
        <v>47.32</v>
      </c>
      <c r="C11" s="8">
        <f t="array" aca="1" ref="C11" ca="1">SUM(IF([1]Projection!A:A='Curva ABC'!A11,[1]Projection!BL:BX))</f>
        <v>52399.916039999996</v>
      </c>
      <c r="D11" s="7">
        <f ca="1">B11*C11</f>
        <v>2479564.0270127999</v>
      </c>
      <c r="E11" s="9">
        <f t="shared" ca="1" si="5"/>
        <v>3.832798712608991E-2</v>
      </c>
      <c r="F11" s="10">
        <f t="shared" ca="1" si="2"/>
        <v>0.47073500690718723</v>
      </c>
      <c r="G11" s="11" t="str">
        <f t="shared" ca="1" si="0"/>
        <v>A</v>
      </c>
      <c r="I11" s="12" t="s">
        <v>17</v>
      </c>
      <c r="J11" s="17">
        <v>0.9</v>
      </c>
      <c r="K11" s="13">
        <f ca="1">COUNTIF($T$4:$T$25,I11)/COUNTA($T$4:$T$25)</f>
        <v>0.27272727272727271</v>
      </c>
      <c r="L11" s="13">
        <f ca="1">SUMIF($T$4:$T$25,I11,$R$4:$R$25)</f>
        <v>0.27479725968540342</v>
      </c>
      <c r="N11" s="6" t="s">
        <v>15</v>
      </c>
      <c r="O11" s="7">
        <f ca="1">VLOOKUP(N11,'[2]2-Relatório'!$A:$J,9,0)</f>
        <v>22.52</v>
      </c>
      <c r="P11" s="14">
        <f t="array" aca="1" ref="P11" ca="1">SUM(IF([1]Projection!A:A='Curva ABC'!N11,[1]Projection!BL:BX))</f>
        <v>12000</v>
      </c>
      <c r="Q11" s="15">
        <f ca="1">O11*P11</f>
        <v>270240</v>
      </c>
      <c r="R11" s="10">
        <f t="shared" ca="1" si="1"/>
        <v>2.2332955833600957E-2</v>
      </c>
      <c r="S11" s="10">
        <f t="shared" ca="1" si="3"/>
        <v>0.89280683945912664</v>
      </c>
      <c r="T11" s="11" t="str">
        <f t="shared" ca="1" si="4"/>
        <v>B</v>
      </c>
    </row>
    <row r="12" spans="1:20" x14ac:dyDescent="0.25">
      <c r="A12" s="6" t="s">
        <v>32</v>
      </c>
      <c r="B12" s="7">
        <v>73.7</v>
      </c>
      <c r="C12" s="8">
        <f t="array" aca="1" ref="C12" ca="1">SUM(IF([1]Projection!A:A='Curva ABC'!A12,[1]Projection!BL:BX))</f>
        <v>31351</v>
      </c>
      <c r="D12" s="7">
        <f ca="1">B12*C12</f>
        <v>2310568.7000000002</v>
      </c>
      <c r="E12" s="9">
        <f t="shared" ca="1" si="5"/>
        <v>3.5715733259058587E-2</v>
      </c>
      <c r="F12" s="10">
        <f t="shared" ca="1" si="2"/>
        <v>0.50645074016624581</v>
      </c>
      <c r="G12" s="11" t="str">
        <f t="shared" ca="1" si="0"/>
        <v>A</v>
      </c>
      <c r="I12" s="12" t="s">
        <v>20</v>
      </c>
      <c r="J12" s="17">
        <v>1</v>
      </c>
      <c r="K12" s="13">
        <f ca="1">COUNTIF($T$4:$T$25,I12)/COUNTA($T$4:$T$25)</f>
        <v>0.63636363636363635</v>
      </c>
      <c r="L12" s="13">
        <f ca="1">SUMIF($T$4:$T$25,I12,$R$4:$R$25)</f>
        <v>0.10719316054087331</v>
      </c>
      <c r="N12" s="6" t="s">
        <v>35</v>
      </c>
      <c r="O12" s="7">
        <f ca="1">VLOOKUP(N12,'[2]2-Relatório'!$A:$J,9,0)</f>
        <v>33.43</v>
      </c>
      <c r="P12" s="14">
        <f t="array" aca="1" ref="P12" ca="1">SUM(IF([1]Projection!A:A='Curva ABC'!N12,[1]Projection!BL:BX))</f>
        <v>6996.4349999999995</v>
      </c>
      <c r="Q12" s="15">
        <f ca="1">O12*P12</f>
        <v>233890.82204999999</v>
      </c>
      <c r="R12" s="10">
        <f t="shared" ca="1" si="1"/>
        <v>1.9329016425130515E-2</v>
      </c>
      <c r="S12" s="10">
        <f t="shared" ca="1" si="3"/>
        <v>0.91213585588425716</v>
      </c>
      <c r="T12" s="11" t="str">
        <f t="shared" ca="1" si="4"/>
        <v>C</v>
      </c>
    </row>
    <row r="13" spans="1:20" x14ac:dyDescent="0.25">
      <c r="A13" s="6" t="s">
        <v>34</v>
      </c>
      <c r="B13" s="7">
        <v>57.13</v>
      </c>
      <c r="C13" s="8">
        <f t="array" aca="1" ref="C13" ca="1">SUM(IF([1]Projection!A:A='Curva ABC'!A13,[1]Projection!BL:BX))</f>
        <v>35708.525000000001</v>
      </c>
      <c r="D13" s="7">
        <f ca="1">B13*C13</f>
        <v>2040028.0332500001</v>
      </c>
      <c r="E13" s="9">
        <f t="shared" ca="1" si="5"/>
        <v>3.1533837135662275E-2</v>
      </c>
      <c r="F13" s="10">
        <f t="shared" ca="1" si="2"/>
        <v>0.53798457730190807</v>
      </c>
      <c r="G13" s="11" t="str">
        <f t="shared" ca="1" si="0"/>
        <v>A</v>
      </c>
      <c r="N13" s="6" t="s">
        <v>33</v>
      </c>
      <c r="O13" s="7">
        <f ca="1">VLOOKUP(N13,'[2]2-Relatório'!$A:$J,9,0)</f>
        <v>2.88</v>
      </c>
      <c r="P13" s="14">
        <f t="array" aca="1" ref="P13" ca="1">SUM(IF([1]Projection!A:A='Curva ABC'!N13,[1]Projection!BL:BX))</f>
        <v>70000</v>
      </c>
      <c r="Q13" s="15">
        <f ca="1">O13*P13</f>
        <v>201600</v>
      </c>
      <c r="R13" s="10">
        <f t="shared" ca="1" si="1"/>
        <v>1.6660464387411016E-2</v>
      </c>
      <c r="S13" s="10">
        <f t="shared" ca="1" si="3"/>
        <v>0.92879632027166814</v>
      </c>
      <c r="T13" s="11" t="str">
        <f t="shared" ca="1" si="4"/>
        <v>C</v>
      </c>
    </row>
    <row r="14" spans="1:20" x14ac:dyDescent="0.25">
      <c r="A14" s="6" t="s">
        <v>36</v>
      </c>
      <c r="B14" s="7">
        <v>40.44</v>
      </c>
      <c r="C14" s="8">
        <f t="array" aca="1" ref="C14" ca="1">SUM(IF([1]Projection!A:A='Curva ABC'!A14,[1]Projection!BL:BX))</f>
        <v>46951.998720000003</v>
      </c>
      <c r="D14" s="7">
        <f ca="1">B14*C14</f>
        <v>1898738.8282367999</v>
      </c>
      <c r="E14" s="9">
        <f t="shared" ca="1" si="5"/>
        <v>2.9349852059331976E-2</v>
      </c>
      <c r="F14" s="10">
        <f t="shared" ca="1" si="2"/>
        <v>0.56733442936124001</v>
      </c>
      <c r="G14" s="11" t="str">
        <f t="shared" ca="1" si="0"/>
        <v>A</v>
      </c>
      <c r="N14" s="6" t="s">
        <v>37</v>
      </c>
      <c r="O14" s="7">
        <f ca="1">VLOOKUP(N14,'[2]2-Relatório'!$A:$J,9,0)</f>
        <v>9.85</v>
      </c>
      <c r="P14" s="14">
        <f t="array" aca="1" ref="P14" ca="1">SUM(IF([1]Projection!A:A='Curva ABC'!N14,[1]Projection!BL:BX))</f>
        <v>14254</v>
      </c>
      <c r="Q14" s="15">
        <f ca="1">O14*P14</f>
        <v>140401.9</v>
      </c>
      <c r="R14" s="10">
        <f t="shared" ca="1" si="1"/>
        <v>1.1602980430926798E-2</v>
      </c>
      <c r="S14" s="10">
        <f t="shared" ca="1" si="3"/>
        <v>0.94039930070259492</v>
      </c>
      <c r="T14" s="11" t="str">
        <f t="shared" ca="1" si="4"/>
        <v>C</v>
      </c>
    </row>
    <row r="15" spans="1:20" x14ac:dyDescent="0.25">
      <c r="A15" s="6" t="s">
        <v>38</v>
      </c>
      <c r="B15" s="7">
        <v>55.67</v>
      </c>
      <c r="C15" s="8">
        <f t="array" aca="1" ref="C15" ca="1">SUM(IF([1]Projection!A:A='Curva ABC'!A15,[1]Projection!BL:BX))</f>
        <v>33749</v>
      </c>
      <c r="D15" s="7">
        <f ca="1">B15*C15</f>
        <v>1878806.83</v>
      </c>
      <c r="E15" s="9">
        <f t="shared" ca="1" si="5"/>
        <v>2.9041752182299291E-2</v>
      </c>
      <c r="F15" s="10">
        <f t="shared" ca="1" si="2"/>
        <v>0.59637618154353933</v>
      </c>
      <c r="G15" s="11" t="str">
        <f t="shared" ca="1" si="0"/>
        <v>A</v>
      </c>
      <c r="N15" s="6" t="s">
        <v>39</v>
      </c>
      <c r="O15" s="7">
        <f ca="1">VLOOKUP(N15,'[2]2-Relatório'!$A:$J,9,0)</f>
        <v>9.66</v>
      </c>
      <c r="P15" s="14">
        <f t="array" aca="1" ref="P15" ca="1">SUM(IF([1]Projection!A:A='Curva ABC'!N15,[1]Projection!BL:BX))</f>
        <v>13136</v>
      </c>
      <c r="Q15" s="15">
        <f ca="1">O15*P15</f>
        <v>126893.75999999999</v>
      </c>
      <c r="R15" s="10">
        <f t="shared" ca="1" si="1"/>
        <v>1.0486651634249406E-2</v>
      </c>
      <c r="S15" s="10">
        <f t="shared" ca="1" si="3"/>
        <v>0.95088595233684436</v>
      </c>
      <c r="T15" s="11" t="str">
        <f t="shared" ca="1" si="4"/>
        <v>C</v>
      </c>
    </row>
    <row r="16" spans="1:20" x14ac:dyDescent="0.25">
      <c r="A16" s="6" t="s">
        <v>40</v>
      </c>
      <c r="B16" s="7">
        <v>45.63</v>
      </c>
      <c r="C16" s="8">
        <f t="array" aca="1" ref="C16" ca="1">SUM(IF([1]Projection!A:A='Curva ABC'!A16,[1]Projection!BL:BX))</f>
        <v>40736</v>
      </c>
      <c r="D16" s="7">
        <f ca="1">B16*C16</f>
        <v>1858783.6800000002</v>
      </c>
      <c r="E16" s="9">
        <f t="shared" ca="1" si="5"/>
        <v>2.8732243322248465E-2</v>
      </c>
      <c r="F16" s="10">
        <f t="shared" ca="1" si="2"/>
        <v>0.62510842486578777</v>
      </c>
      <c r="G16" s="11" t="str">
        <f t="shared" ca="1" si="0"/>
        <v>A</v>
      </c>
      <c r="N16" s="6" t="s">
        <v>41</v>
      </c>
      <c r="O16" s="7">
        <f ca="1">VLOOKUP(N16,'[2]2-Relatório'!$A:$J,9,0)</f>
        <v>10.39</v>
      </c>
      <c r="P16" s="14">
        <f t="array" aca="1" ref="P16" ca="1">SUM(IF([1]Projection!A:A='Curva ABC'!N16,[1]Projection!BL:BX))</f>
        <v>8793</v>
      </c>
      <c r="Q16" s="15">
        <f ca="1">O16*P16</f>
        <v>91359.27</v>
      </c>
      <c r="R16" s="10">
        <f t="shared" ca="1" si="1"/>
        <v>7.5500390093991452E-3</v>
      </c>
      <c r="S16" s="10">
        <f t="shared" ca="1" si="3"/>
        <v>0.95843599134624347</v>
      </c>
      <c r="T16" s="11" t="str">
        <f t="shared" ca="1" si="4"/>
        <v>C</v>
      </c>
    </row>
    <row r="17" spans="1:20" x14ac:dyDescent="0.25">
      <c r="A17" s="6" t="s">
        <v>42</v>
      </c>
      <c r="B17" s="7">
        <v>62.25</v>
      </c>
      <c r="C17" s="8">
        <f t="array" aca="1" ref="C17" ca="1">SUM(IF([1]Projection!A:A='Curva ABC'!A17,[1]Projection!BL:BX))</f>
        <v>28192</v>
      </c>
      <c r="D17" s="7">
        <f ca="1">B17*C17</f>
        <v>1754952</v>
      </c>
      <c r="E17" s="9">
        <f t="shared" ca="1" si="5"/>
        <v>2.7127259844925356E-2</v>
      </c>
      <c r="F17" s="10">
        <f ca="1">E17+F16</f>
        <v>0.65223568471071314</v>
      </c>
      <c r="G17" s="11" t="str">
        <f t="shared" ca="1" si="0"/>
        <v>B</v>
      </c>
      <c r="N17" s="6" t="s">
        <v>43</v>
      </c>
      <c r="O17" s="7">
        <f ca="1">VLOOKUP(N17,'[2]2-Relatório'!$A:$J,9,0)</f>
        <v>10.06</v>
      </c>
      <c r="P17" s="14">
        <f t="array" aca="1" ref="P17" ca="1">SUM(IF([1]Projection!A:A='Curva ABC'!N17,[1]Projection!BL:BX))</f>
        <v>8343</v>
      </c>
      <c r="Q17" s="15">
        <f ca="1">O17*P17</f>
        <v>83930.58</v>
      </c>
      <c r="R17" s="10">
        <f t="shared" ca="1" si="1"/>
        <v>6.9361232098449962E-3</v>
      </c>
      <c r="S17" s="10">
        <f t="shared" ca="1" si="3"/>
        <v>0.96537211455608851</v>
      </c>
      <c r="T17" s="11" t="str">
        <f t="shared" ca="1" si="4"/>
        <v>C</v>
      </c>
    </row>
    <row r="18" spans="1:20" x14ac:dyDescent="0.25">
      <c r="A18" s="6" t="s">
        <v>44</v>
      </c>
      <c r="B18" s="7">
        <v>70.650000000000006</v>
      </c>
      <c r="C18" s="8">
        <f t="array" aca="1" ref="C18" ca="1">SUM(IF([1]Projection!A:A='Curva ABC'!A18,[1]Projection!BL:BX))</f>
        <v>23381.83</v>
      </c>
      <c r="D18" s="7">
        <f ca="1">B18*C18</f>
        <v>1651926.2895000002</v>
      </c>
      <c r="E18" s="9">
        <f t="shared" ca="1" si="5"/>
        <v>2.5534734682162188E-2</v>
      </c>
      <c r="F18" s="10">
        <f t="shared" ref="F18:F44" ca="1" si="6">E18+F17</f>
        <v>0.6777704193928753</v>
      </c>
      <c r="G18" s="11" t="str">
        <f t="shared" ca="1" si="0"/>
        <v>B</v>
      </c>
      <c r="N18" s="6" t="s">
        <v>47</v>
      </c>
      <c r="O18" s="7">
        <f ca="1">VLOOKUP(N18,'[2]2-Relatório'!$A:$J,9,0)</f>
        <v>10.66</v>
      </c>
      <c r="P18" s="14">
        <f t="array" aca="1" ref="P18" ca="1">SUM(IF([1]Projection!A:A='Curva ABC'!N18,[1]Projection!BL:BX))</f>
        <v>7700</v>
      </c>
      <c r="Q18" s="15">
        <f ca="1">O18*P18</f>
        <v>82082</v>
      </c>
      <c r="R18" s="10">
        <f t="shared" ca="1" si="1"/>
        <v>6.783354354402138E-3</v>
      </c>
      <c r="S18" s="10">
        <f t="shared" ca="1" si="3"/>
        <v>0.97215546891049065</v>
      </c>
      <c r="T18" s="11" t="str">
        <f t="shared" ca="1" si="4"/>
        <v>C</v>
      </c>
    </row>
    <row r="19" spans="1:20" x14ac:dyDescent="0.25">
      <c r="A19" s="6" t="s">
        <v>46</v>
      </c>
      <c r="B19" s="7">
        <v>55.19</v>
      </c>
      <c r="C19" s="8">
        <f t="array" aca="1" ref="C19" ca="1">SUM(IF([1]Projection!A:A='Curva ABC'!A19,[1]Projection!BL:BX))</f>
        <v>24471.891</v>
      </c>
      <c r="D19" s="7">
        <f ca="1">B19*C19</f>
        <v>1350603.66429</v>
      </c>
      <c r="E19" s="9">
        <f t="shared" ca="1" si="5"/>
        <v>2.0877024869456924E-2</v>
      </c>
      <c r="F19" s="10">
        <f t="shared" ca="1" si="6"/>
        <v>0.69864744426233227</v>
      </c>
      <c r="G19" s="11" t="str">
        <f t="shared" ca="1" si="0"/>
        <v>B</v>
      </c>
      <c r="N19" s="6" t="s">
        <v>45</v>
      </c>
      <c r="O19" s="7">
        <f ca="1">VLOOKUP(N19,'[2]2-Relatório'!$A:$J,9,0)</f>
        <v>10.08</v>
      </c>
      <c r="P19" s="14">
        <f t="array" aca="1" ref="P19" ca="1">SUM(IF([1]Projection!A:A='Curva ABC'!N19,[1]Projection!BL:BX))</f>
        <v>7711</v>
      </c>
      <c r="Q19" s="15">
        <f ca="1">O19*P19</f>
        <v>77726.880000000005</v>
      </c>
      <c r="R19" s="10">
        <f t="shared" ca="1" si="1"/>
        <v>6.4234420445663173E-3</v>
      </c>
      <c r="S19" s="10">
        <f t="shared" ca="1" si="3"/>
        <v>0.978578910955057</v>
      </c>
      <c r="T19" s="11" t="str">
        <f t="shared" ca="1" si="4"/>
        <v>C</v>
      </c>
    </row>
    <row r="20" spans="1:20" x14ac:dyDescent="0.25">
      <c r="A20" s="6" t="s">
        <v>48</v>
      </c>
      <c r="B20" s="7">
        <v>106.4</v>
      </c>
      <c r="C20" s="8">
        <f t="array" aca="1" ref="C20" ca="1">SUM(IF([1]Projection!A:A='Curva ABC'!A20,[1]Projection!BL:BX))</f>
        <v>12513.867916666666</v>
      </c>
      <c r="D20" s="7">
        <f ca="1">B20*C20</f>
        <v>1331475.5463333332</v>
      </c>
      <c r="E20" s="9">
        <f t="shared" ca="1" si="5"/>
        <v>2.0581351012761765E-2</v>
      </c>
      <c r="F20" s="10">
        <f t="shared" ca="1" si="6"/>
        <v>0.71922879527509409</v>
      </c>
      <c r="G20" s="11" t="str">
        <f t="shared" ca="1" si="0"/>
        <v>B</v>
      </c>
      <c r="N20" s="6" t="s">
        <v>49</v>
      </c>
      <c r="O20" s="7">
        <f ca="1">VLOOKUP(N20,'[2]2-Relatório'!$A:$J,9,0)</f>
        <v>10.029999999999999</v>
      </c>
      <c r="P20" s="14">
        <f t="array" aca="1" ref="P20" ca="1">SUM(IF([1]Projection!A:A='Curva ABC'!N20,[1]Projection!BL:BX))</f>
        <v>5390.1049999999996</v>
      </c>
      <c r="Q20" s="15">
        <f ca="1">O20*P20</f>
        <v>54062.75314999999</v>
      </c>
      <c r="R20" s="10">
        <f t="shared" ca="1" si="1"/>
        <v>4.4678103846278149E-3</v>
      </c>
      <c r="S20" s="10">
        <f t="shared" ca="1" si="3"/>
        <v>0.98304672133968485</v>
      </c>
      <c r="T20" s="11" t="str">
        <f t="shared" ca="1" si="4"/>
        <v>C</v>
      </c>
    </row>
    <row r="21" spans="1:20" x14ac:dyDescent="0.25">
      <c r="A21" s="6" t="s">
        <v>50</v>
      </c>
      <c r="B21" s="7">
        <v>139.61000000000001</v>
      </c>
      <c r="C21" s="8">
        <f t="array" aca="1" ref="C21" ca="1">SUM(IF([1]Projection!A:A='Curva ABC'!A21,[1]Projection!BL:BX))</f>
        <v>9425.5</v>
      </c>
      <c r="D21" s="7">
        <f ca="1">B21*C21</f>
        <v>1315894.0550000002</v>
      </c>
      <c r="E21" s="9">
        <f t="shared" ca="1" si="5"/>
        <v>2.0340499317575356E-2</v>
      </c>
      <c r="F21" s="10">
        <f t="shared" ca="1" si="6"/>
        <v>0.7395692945926694</v>
      </c>
      <c r="G21" s="11" t="str">
        <f t="shared" ca="1" si="0"/>
        <v>B</v>
      </c>
      <c r="N21" s="6" t="s">
        <v>51</v>
      </c>
      <c r="O21" s="7">
        <f ca="1">VLOOKUP(N21,'[2]2-Relatório'!$A:$J,9,0)</f>
        <v>10.64</v>
      </c>
      <c r="P21" s="14">
        <f t="array" aca="1" ref="P21" ca="1">SUM(IF([1]Projection!A:A='Curva ABC'!N21,[1]Projection!BL:BX))</f>
        <v>4850</v>
      </c>
      <c r="Q21" s="15">
        <f ca="1">O21*P21</f>
        <v>51604</v>
      </c>
      <c r="R21" s="10">
        <f t="shared" ca="1" si="1"/>
        <v>4.2646160924997923E-3</v>
      </c>
      <c r="S21" s="10">
        <f t="shared" ca="1" si="3"/>
        <v>0.98731133743218469</v>
      </c>
      <c r="T21" s="11" t="str">
        <f t="shared" ca="1" si="4"/>
        <v>C</v>
      </c>
    </row>
    <row r="22" spans="1:20" x14ac:dyDescent="0.25">
      <c r="A22" s="6" t="s">
        <v>52</v>
      </c>
      <c r="B22" s="7">
        <v>55.67</v>
      </c>
      <c r="C22" s="8">
        <f t="array" aca="1" ref="C22" ca="1">SUM(IF([1]Projection!A:A='Curva ABC'!A22,[1]Projection!BL:BX))</f>
        <v>22776.695</v>
      </c>
      <c r="D22" s="7">
        <f ca="1">B22*C22</f>
        <v>1267978.6106499999</v>
      </c>
      <c r="E22" s="9">
        <f t="shared" ca="1" si="5"/>
        <v>1.9599843898243364E-2</v>
      </c>
      <c r="F22" s="10">
        <f t="shared" ca="1" si="6"/>
        <v>0.75916913849091272</v>
      </c>
      <c r="G22" s="11" t="str">
        <f t="shared" ca="1" si="0"/>
        <v>B</v>
      </c>
      <c r="N22" s="6" t="s">
        <v>53</v>
      </c>
      <c r="O22" s="7">
        <f ca="1">VLOOKUP(N22,'[2]2-Relatório'!$A:$J,9,0)</f>
        <v>7.74</v>
      </c>
      <c r="P22" s="14">
        <f t="array" aca="1" ref="P22" ca="1">SUM(IF([1]Projection!A:A='Curva ABC'!N22,[1]Projection!BL:BX))</f>
        <v>6396</v>
      </c>
      <c r="Q22" s="15">
        <f ca="1">O22*P22</f>
        <v>49505.04</v>
      </c>
      <c r="R22" s="10">
        <f t="shared" ca="1" si="1"/>
        <v>4.0911555353043546E-3</v>
      </c>
      <c r="S22" s="10">
        <f ca="1">R22+S21</f>
        <v>0.99140249296748906</v>
      </c>
      <c r="T22" s="11" t="str">
        <f t="shared" ca="1" si="4"/>
        <v>C</v>
      </c>
    </row>
    <row r="23" spans="1:20" x14ac:dyDescent="0.25">
      <c r="A23" s="18" t="s">
        <v>54</v>
      </c>
      <c r="B23" s="7">
        <v>41.49</v>
      </c>
      <c r="C23" s="8">
        <f t="array" aca="1" ref="C23" ca="1">SUM(IF([1]Projection!A:A='Curva ABC'!A23,[1]Projection!BL:BX))</f>
        <v>29929.038</v>
      </c>
      <c r="D23" s="7">
        <f ca="1">B23*C23</f>
        <v>1241755.7866200001</v>
      </c>
      <c r="E23" s="9">
        <f t="shared" ca="1" si="5"/>
        <v>1.919450326138859E-2</v>
      </c>
      <c r="F23" s="10">
        <f t="shared" ca="1" si="6"/>
        <v>0.77836364175230133</v>
      </c>
      <c r="G23" s="11" t="str">
        <f t="shared" ca="1" si="0"/>
        <v>B</v>
      </c>
      <c r="N23" s="6" t="s">
        <v>55</v>
      </c>
      <c r="O23" s="7">
        <f ca="1">VLOOKUP(N23,'[2]2-Relatório'!$A:$J,9,0)</f>
        <v>12.12</v>
      </c>
      <c r="P23" s="14">
        <f t="array" aca="1" ref="P23" ca="1">SUM(IF([1]Projection!A:A='Curva ABC'!N23,[1]Projection!BL:BX))</f>
        <v>3408</v>
      </c>
      <c r="Q23" s="15">
        <f ca="1">O23*P23</f>
        <v>41304.959999999999</v>
      </c>
      <c r="R23" s="10">
        <f t="shared" ca="1" si="1"/>
        <v>3.413491146346411E-3</v>
      </c>
      <c r="S23" s="10">
        <f ca="1">R23+S22</f>
        <v>0.99481598411383543</v>
      </c>
      <c r="T23" s="11" t="str">
        <f t="shared" ca="1" si="4"/>
        <v>C</v>
      </c>
    </row>
    <row r="24" spans="1:20" x14ac:dyDescent="0.25">
      <c r="A24" s="6" t="s">
        <v>56</v>
      </c>
      <c r="B24" s="7">
        <v>68.67</v>
      </c>
      <c r="C24" s="8">
        <f t="array" aca="1" ref="C24" ca="1">SUM(IF([1]Projection!A:A='Curva ABC'!A24,[1]Projection!BL:BX))</f>
        <v>16789</v>
      </c>
      <c r="D24" s="7">
        <f ca="1">B24*C24</f>
        <v>1152900.6300000001</v>
      </c>
      <c r="E24" s="9">
        <f t="shared" ca="1" si="5"/>
        <v>1.7821020156328009E-2</v>
      </c>
      <c r="F24" s="10">
        <f t="shared" ca="1" si="6"/>
        <v>0.79618466190862935</v>
      </c>
      <c r="G24" s="11" t="str">
        <f t="shared" ca="1" si="0"/>
        <v>B</v>
      </c>
      <c r="N24" s="6" t="s">
        <v>57</v>
      </c>
      <c r="O24" s="7">
        <f ca="1">VLOOKUP(N24,'[2]2-Relatório'!$A:$J,9,0)</f>
        <v>7.92</v>
      </c>
      <c r="P24" s="14">
        <f t="array" aca="1" ref="P24" ca="1">SUM(IF([1]Projection!A:A='Curva ABC'!N24,[1]Projection!BL:BX))</f>
        <v>4409</v>
      </c>
      <c r="Q24" s="15">
        <f ca="1">O24*P24</f>
        <v>34919.279999999999</v>
      </c>
      <c r="R24" s="10">
        <f t="shared" ca="1" si="1"/>
        <v>2.885770936875167E-3</v>
      </c>
      <c r="S24" s="10">
        <f ca="1">R24+S23</f>
        <v>0.99770175505071057</v>
      </c>
      <c r="T24" s="11" t="str">
        <f t="shared" ca="1" si="4"/>
        <v>C</v>
      </c>
    </row>
    <row r="25" spans="1:20" ht="15.75" thickBot="1" x14ac:dyDescent="0.3">
      <c r="A25" s="6" t="s">
        <v>58</v>
      </c>
      <c r="B25" s="7">
        <v>61.07</v>
      </c>
      <c r="C25" s="8">
        <f t="array" aca="1" ref="C25" ca="1">SUM(IF([1]Projection!A:A='Curva ABC'!A25,[1]Projection!BL:BX))</f>
        <v>16578</v>
      </c>
      <c r="D25" s="7">
        <f ca="1">B25*C25</f>
        <v>1012418.46</v>
      </c>
      <c r="E25" s="9">
        <f t="shared" ca="1" si="5"/>
        <v>1.5649509864782151E-2</v>
      </c>
      <c r="F25" s="10">
        <f t="shared" ca="1" si="6"/>
        <v>0.81183417177341155</v>
      </c>
      <c r="G25" s="11" t="str">
        <f t="shared" ca="1" si="0"/>
        <v>B</v>
      </c>
      <c r="N25" s="6" t="s">
        <v>59</v>
      </c>
      <c r="O25" s="7">
        <f ca="1">VLOOKUP(N25,'[2]2-Relatório'!$A:$J,9,0)</f>
        <v>12.16</v>
      </c>
      <c r="P25" s="14">
        <f t="array" aca="1" ref="P25" ca="1">SUM(IF([1]Projection!A:A='Curva ABC'!N25,[1]Projection!BL:BX))</f>
        <v>2287</v>
      </c>
      <c r="Q25" s="15">
        <f ca="1">O25*P25</f>
        <v>27809.920000000002</v>
      </c>
      <c r="R25" s="10">
        <f t="shared" ca="1" si="1"/>
        <v>2.2982449492894314E-3</v>
      </c>
      <c r="S25" s="10">
        <f ca="1">R25+S24</f>
        <v>1</v>
      </c>
      <c r="T25" s="11" t="str">
        <f t="shared" ca="1" si="4"/>
        <v>C</v>
      </c>
    </row>
    <row r="26" spans="1:20" ht="16.5" customHeight="1" thickBot="1" x14ac:dyDescent="0.3">
      <c r="A26" s="18" t="s">
        <v>60</v>
      </c>
      <c r="B26" s="7">
        <v>38.869999999999997</v>
      </c>
      <c r="C26" s="8">
        <f t="array" aca="1" ref="C26" ca="1">SUM(IF([1]Projection!A:A='Curva ABC'!A26,[1]Projection!BL:BX))</f>
        <v>24092.432000000001</v>
      </c>
      <c r="D26" s="7">
        <f ca="1">B26*C26</f>
        <v>936472.83184</v>
      </c>
      <c r="E26" s="9">
        <f t="shared" ca="1" si="5"/>
        <v>1.447557645282422E-2</v>
      </c>
      <c r="F26" s="10">
        <f t="shared" ca="1" si="6"/>
        <v>0.82630974822623582</v>
      </c>
      <c r="G26" s="11" t="str">
        <f t="shared" ca="1" si="0"/>
        <v>B</v>
      </c>
      <c r="P26" s="19" t="s">
        <v>61</v>
      </c>
      <c r="Q26" s="20">
        <f ca="1">SUM(Q4:Q25)</f>
        <v>12100503.041939998</v>
      </c>
    </row>
    <row r="27" spans="1:20" x14ac:dyDescent="0.25">
      <c r="A27" s="6" t="s">
        <v>62</v>
      </c>
      <c r="B27" s="7">
        <v>144.75</v>
      </c>
      <c r="C27" s="8">
        <f t="array" aca="1" ref="C27" ca="1">SUM(IF([1]Projection!A:A='Curva ABC'!A27,[1]Projection!BL:BX))</f>
        <v>6459.25</v>
      </c>
      <c r="D27" s="7">
        <f ca="1">B27*C27</f>
        <v>934976.4375</v>
      </c>
      <c r="E27" s="9">
        <f t="shared" ca="1" si="5"/>
        <v>1.4452445861166069E-2</v>
      </c>
      <c r="F27" s="10">
        <f t="shared" ca="1" si="6"/>
        <v>0.84076219408740194</v>
      </c>
      <c r="G27" s="11" t="str">
        <f t="shared" ca="1" si="0"/>
        <v>B</v>
      </c>
    </row>
    <row r="28" spans="1:20" x14ac:dyDescent="0.25">
      <c r="A28" s="6" t="s">
        <v>63</v>
      </c>
      <c r="B28" s="7">
        <v>109.05</v>
      </c>
      <c r="C28" s="8">
        <f t="array" aca="1" ref="C28" ca="1">SUM(IF([1]Projection!A:A='Curva ABC'!A28,[1]Projection!BL:BX))</f>
        <v>8274.0472041666671</v>
      </c>
      <c r="D28" s="7">
        <f ca="1">B28*C28</f>
        <v>902284.84761437506</v>
      </c>
      <c r="E28" s="9">
        <f t="shared" ca="1" si="5"/>
        <v>1.3947113946919365E-2</v>
      </c>
      <c r="F28" s="10">
        <f t="shared" ca="1" si="6"/>
        <v>0.85470930803432132</v>
      </c>
      <c r="G28" s="11" t="str">
        <f t="shared" ca="1" si="0"/>
        <v>B</v>
      </c>
    </row>
    <row r="29" spans="1:20" x14ac:dyDescent="0.25">
      <c r="A29" s="6" t="s">
        <v>64</v>
      </c>
      <c r="B29" s="7">
        <v>76.62</v>
      </c>
      <c r="C29" s="8">
        <f t="array" aca="1" ref="C29" ca="1">SUM(IF([1]Projection!A:A='Curva ABC'!A29,[1]Projection!BL:BX))</f>
        <v>11728.328000000001</v>
      </c>
      <c r="D29" s="7">
        <f ca="1">B29*C29</f>
        <v>898624.4913600001</v>
      </c>
      <c r="E29" s="9">
        <f t="shared" ca="1" si="5"/>
        <v>1.389053380385139E-2</v>
      </c>
      <c r="F29" s="10">
        <f t="shared" ca="1" si="6"/>
        <v>0.86859984183817274</v>
      </c>
      <c r="G29" s="11" t="str">
        <f t="shared" ca="1" si="0"/>
        <v>B</v>
      </c>
    </row>
    <row r="30" spans="1:20" x14ac:dyDescent="0.25">
      <c r="A30" s="6" t="s">
        <v>65</v>
      </c>
      <c r="B30" s="7">
        <v>73.86</v>
      </c>
      <c r="C30" s="8">
        <f t="array" aca="1" ref="C30" ca="1">SUM(IF([1]Projection!A:A='Curva ABC'!A30,[1]Projection!BL:BX))</f>
        <v>10387.112000000001</v>
      </c>
      <c r="D30" s="7">
        <f ca="1">B30*C30</f>
        <v>767192.09232000005</v>
      </c>
      <c r="E30" s="9">
        <f t="shared" ca="1" si="5"/>
        <v>1.1858910807438953E-2</v>
      </c>
      <c r="F30" s="10">
        <f t="shared" ca="1" si="6"/>
        <v>0.88045875264561169</v>
      </c>
      <c r="G30" s="11" t="str">
        <f t="shared" ca="1" si="0"/>
        <v>B</v>
      </c>
    </row>
    <row r="31" spans="1:20" x14ac:dyDescent="0.25">
      <c r="A31" s="18" t="s">
        <v>66</v>
      </c>
      <c r="B31" s="7">
        <v>42.87</v>
      </c>
      <c r="C31" s="8">
        <f t="array" aca="1" ref="C31" ca="1">SUM(IF([1]Projection!A:A='Curva ABC'!A31,[1]Projection!BL:BX))</f>
        <v>16652</v>
      </c>
      <c r="D31" s="7">
        <f ca="1">B31*C31</f>
        <v>713871.24</v>
      </c>
      <c r="E31" s="9">
        <f t="shared" ca="1" si="5"/>
        <v>1.103470101934359E-2</v>
      </c>
      <c r="F31" s="10">
        <f t="shared" ca="1" si="6"/>
        <v>0.89149345366495525</v>
      </c>
      <c r="G31" s="11" t="str">
        <f t="shared" ca="1" si="0"/>
        <v>B</v>
      </c>
    </row>
    <row r="32" spans="1:20" x14ac:dyDescent="0.25">
      <c r="A32" s="6" t="s">
        <v>67</v>
      </c>
      <c r="B32" s="7">
        <v>59.04</v>
      </c>
      <c r="C32" s="8">
        <f t="array" aca="1" ref="C32" ca="1">SUM(IF([1]Projection!A:A='Curva ABC'!A32,[1]Projection!BL:BX))</f>
        <v>11221.233</v>
      </c>
      <c r="D32" s="7">
        <f ca="1">B32*C32</f>
        <v>662501.59632000001</v>
      </c>
      <c r="E32" s="9">
        <f t="shared" ca="1" si="5"/>
        <v>1.0240652138092943E-2</v>
      </c>
      <c r="F32" s="10">
        <f t="shared" ca="1" si="6"/>
        <v>0.90173410580304814</v>
      </c>
      <c r="G32" s="11" t="str">
        <f t="shared" ca="1" si="0"/>
        <v>C</v>
      </c>
    </row>
    <row r="33" spans="1:7" x14ac:dyDescent="0.25">
      <c r="A33" s="6" t="s">
        <v>68</v>
      </c>
      <c r="B33" s="7">
        <v>79.39</v>
      </c>
      <c r="C33" s="8">
        <f t="array" aca="1" ref="C33" ca="1">SUM(IF([1]Projection!A:A='Curva ABC'!A33,[1]Projection!BL:BX))</f>
        <v>7865.7449999999999</v>
      </c>
      <c r="D33" s="7">
        <f ca="1">B33*C33</f>
        <v>624461.49554999999</v>
      </c>
      <c r="E33" s="9">
        <f t="shared" ca="1" si="5"/>
        <v>9.6526453446792553E-3</v>
      </c>
      <c r="F33" s="10">
        <f t="shared" ca="1" si="6"/>
        <v>0.91138675114772738</v>
      </c>
      <c r="G33" s="11" t="str">
        <f t="shared" ca="1" si="0"/>
        <v>C</v>
      </c>
    </row>
    <row r="34" spans="1:7" x14ac:dyDescent="0.25">
      <c r="A34" s="6" t="s">
        <v>69</v>
      </c>
      <c r="B34" s="7">
        <v>70.97</v>
      </c>
      <c r="C34" s="8">
        <f t="array" aca="1" ref="C34" ca="1">SUM(IF([1]Projection!A:A='Curva ABC'!A34,[1]Projection!BL:BX))</f>
        <v>8620.3739999999998</v>
      </c>
      <c r="D34" s="7">
        <f ca="1">B34*C34</f>
        <v>611787.94277999992</v>
      </c>
      <c r="E34" s="9">
        <f t="shared" ca="1" si="5"/>
        <v>9.456743257812969E-3</v>
      </c>
      <c r="F34" s="10">
        <f t="shared" ca="1" si="6"/>
        <v>0.92084349440554036</v>
      </c>
      <c r="G34" s="11" t="str">
        <f t="shared" ca="1" si="0"/>
        <v>C</v>
      </c>
    </row>
    <row r="35" spans="1:7" x14ac:dyDescent="0.25">
      <c r="A35" s="6" t="s">
        <v>70</v>
      </c>
      <c r="B35" s="7">
        <v>52.57</v>
      </c>
      <c r="C35" s="8">
        <f t="array" aca="1" ref="C35" ca="1">SUM(IF([1]Projection!A:A='Curva ABC'!A35,[1]Projection!BL:BX))</f>
        <v>11614</v>
      </c>
      <c r="D35" s="7">
        <f ca="1">B35*C35</f>
        <v>610547.98</v>
      </c>
      <c r="E35" s="9">
        <f t="shared" ca="1" si="5"/>
        <v>9.4375764700426502E-3</v>
      </c>
      <c r="F35" s="10">
        <f t="shared" ca="1" si="6"/>
        <v>0.93028107087558298</v>
      </c>
      <c r="G35" s="11" t="str">
        <f t="shared" ca="1" si="0"/>
        <v>C</v>
      </c>
    </row>
    <row r="36" spans="1:7" x14ac:dyDescent="0.25">
      <c r="A36" s="6" t="s">
        <v>71</v>
      </c>
      <c r="B36" s="7">
        <v>58.85</v>
      </c>
      <c r="C36" s="8">
        <f t="array" aca="1" ref="C36" ca="1">SUM(IF([1]Projection!A:A='Curva ABC'!A36,[1]Projection!BL:BX))</f>
        <v>8879.8770000000004</v>
      </c>
      <c r="D36" s="7">
        <f ca="1">B36*C36</f>
        <v>522580.76145000005</v>
      </c>
      <c r="E36" s="9">
        <f t="shared" ca="1" si="5"/>
        <v>8.0778187128839433E-3</v>
      </c>
      <c r="F36" s="10">
        <f t="shared" ca="1" si="6"/>
        <v>0.93835888958846692</v>
      </c>
      <c r="G36" s="11" t="str">
        <f t="shared" ca="1" si="0"/>
        <v>C</v>
      </c>
    </row>
    <row r="37" spans="1:7" x14ac:dyDescent="0.25">
      <c r="A37" s="18" t="s">
        <v>72</v>
      </c>
      <c r="B37" s="7">
        <v>42.32</v>
      </c>
      <c r="C37" s="8">
        <f t="array" aca="1" ref="C37" ca="1">SUM(IF([1]Projection!A:A='Curva ABC'!A37,[1]Projection!BL:BX))</f>
        <v>11545</v>
      </c>
      <c r="D37" s="7">
        <f ca="1">B37*C37</f>
        <v>488584.4</v>
      </c>
      <c r="E37" s="9">
        <f t="shared" ca="1" si="5"/>
        <v>7.5523182257844941E-3</v>
      </c>
      <c r="F37" s="10">
        <f t="shared" ca="1" si="6"/>
        <v>0.94591120781425142</v>
      </c>
      <c r="G37" s="11" t="str">
        <f t="shared" ca="1" si="0"/>
        <v>C</v>
      </c>
    </row>
    <row r="38" spans="1:7" x14ac:dyDescent="0.25">
      <c r="A38" s="6" t="s">
        <v>73</v>
      </c>
      <c r="B38" s="7">
        <v>154.66</v>
      </c>
      <c r="C38" s="8">
        <f t="array" aca="1" ref="C38" ca="1">SUM(IF([1]Projection!A:A='Curva ABC'!A38,[1]Projection!BL:BX))</f>
        <v>2828.9090000000001</v>
      </c>
      <c r="D38" s="7">
        <f ca="1">B38*C38</f>
        <v>437519.06594</v>
      </c>
      <c r="E38" s="9">
        <f t="shared" ca="1" si="5"/>
        <v>6.7629732259705177E-3</v>
      </c>
      <c r="F38" s="10">
        <f t="shared" ca="1" si="6"/>
        <v>0.95267418104022195</v>
      </c>
      <c r="G38" s="11" t="str">
        <f t="shared" ca="1" si="0"/>
        <v>C</v>
      </c>
    </row>
    <row r="39" spans="1:7" x14ac:dyDescent="0.25">
      <c r="A39" s="6" t="s">
        <v>74</v>
      </c>
      <c r="B39" s="7">
        <v>108.46</v>
      </c>
      <c r="C39" s="8">
        <f t="array" aca="1" ref="C39" ca="1">SUM(IF([1]Projection!A:A='Curva ABC'!A39,[1]Projection!BL:BX))</f>
        <v>3385.0945000000002</v>
      </c>
      <c r="D39" s="7">
        <f ca="1">B39*C39</f>
        <v>367147.34947000002</v>
      </c>
      <c r="E39" s="9">
        <f t="shared" ca="1" si="5"/>
        <v>5.6751988376025717E-3</v>
      </c>
      <c r="F39" s="10">
        <f t="shared" ca="1" si="6"/>
        <v>0.95834937987782454</v>
      </c>
      <c r="G39" s="11" t="str">
        <f t="shared" ca="1" si="0"/>
        <v>C</v>
      </c>
    </row>
    <row r="40" spans="1:7" x14ac:dyDescent="0.25">
      <c r="A40" s="6" t="s">
        <v>75</v>
      </c>
      <c r="B40" s="7">
        <v>74.400000000000006</v>
      </c>
      <c r="C40" s="8">
        <f t="array" aca="1" ref="C40" ca="1">SUM(IF([1]Projection!A:A='Curva ABC'!A40,[1]Projection!BL:BX))</f>
        <v>4832.7470000000003</v>
      </c>
      <c r="D40" s="7">
        <f ca="1">B40*C40</f>
        <v>359556.37680000003</v>
      </c>
      <c r="E40" s="9">
        <f t="shared" ca="1" si="5"/>
        <v>5.5578609912712669E-3</v>
      </c>
      <c r="F40" s="10">
        <f t="shared" ca="1" si="6"/>
        <v>0.96390724086909585</v>
      </c>
      <c r="G40" s="11" t="str">
        <f t="shared" ca="1" si="0"/>
        <v>C</v>
      </c>
    </row>
    <row r="41" spans="1:7" x14ac:dyDescent="0.25">
      <c r="A41" s="6" t="s">
        <v>76</v>
      </c>
      <c r="B41" s="7">
        <v>50.61</v>
      </c>
      <c r="C41" s="8">
        <f t="array" aca="1" ref="C41" ca="1">SUM(IF([1]Projection!A:A='Curva ABC'!A41,[1]Projection!BL:BX))</f>
        <v>6902</v>
      </c>
      <c r="D41" s="7">
        <f ca="1">B41*C41</f>
        <v>349310.22</v>
      </c>
      <c r="E41" s="9">
        <f t="shared" ca="1" si="5"/>
        <v>5.3994805011350977E-3</v>
      </c>
      <c r="F41" s="10">
        <f t="shared" ca="1" si="6"/>
        <v>0.96930672137023099</v>
      </c>
      <c r="G41" s="11" t="str">
        <f t="shared" ca="1" si="0"/>
        <v>C</v>
      </c>
    </row>
    <row r="42" spans="1:7" x14ac:dyDescent="0.25">
      <c r="A42" s="6" t="s">
        <v>77</v>
      </c>
      <c r="B42" s="7">
        <v>65.78</v>
      </c>
      <c r="C42" s="8">
        <f t="array" aca="1" ref="C42" ca="1">SUM(IF([1]Projection!A:A='Curva ABC'!A42,[1]Projection!BL:BX))</f>
        <v>5264</v>
      </c>
      <c r="D42" s="7">
        <f ca="1">B42*C42</f>
        <v>346265.92</v>
      </c>
      <c r="E42" s="9">
        <f t="shared" ca="1" si="5"/>
        <v>5.3524230789686192E-3</v>
      </c>
      <c r="F42" s="10">
        <f t="shared" ca="1" si="6"/>
        <v>0.97465914444919965</v>
      </c>
      <c r="G42" s="11" t="str">
        <f t="shared" ca="1" si="0"/>
        <v>C</v>
      </c>
    </row>
    <row r="43" spans="1:7" x14ac:dyDescent="0.25">
      <c r="A43" s="6" t="s">
        <v>78</v>
      </c>
      <c r="B43" s="7">
        <v>53.98</v>
      </c>
      <c r="C43" s="8">
        <f t="array" aca="1" ref="C43" ca="1">SUM(IF([1]Projection!A:A='Curva ABC'!A43,[1]Projection!BL:BX))</f>
        <v>6225</v>
      </c>
      <c r="D43" s="7">
        <f ca="1">B43*C43</f>
        <v>336025.5</v>
      </c>
      <c r="E43" s="9">
        <f t="shared" ca="1" si="5"/>
        <v>5.1941312657103819E-3</v>
      </c>
      <c r="F43" s="10">
        <f t="shared" ca="1" si="6"/>
        <v>0.97985327571490999</v>
      </c>
      <c r="G43" s="11" t="str">
        <f t="shared" ca="1" si="0"/>
        <v>C</v>
      </c>
    </row>
    <row r="44" spans="1:7" x14ac:dyDescent="0.25">
      <c r="A44" s="6" t="s">
        <v>79</v>
      </c>
      <c r="B44" s="7">
        <v>70.739999999999995</v>
      </c>
      <c r="C44" s="8">
        <f t="array" aca="1" ref="C44" ca="1">SUM(IF([1]Projection!A:A='Curva ABC'!A44,[1]Projection!BL:BX))</f>
        <v>4543.9169999999995</v>
      </c>
      <c r="D44" s="7">
        <f ca="1">B44*C44</f>
        <v>321436.68857999996</v>
      </c>
      <c r="E44" s="9">
        <f t="shared" ca="1" si="5"/>
        <v>4.9686239707992068E-3</v>
      </c>
      <c r="F44" s="10">
        <f t="shared" ca="1" si="6"/>
        <v>0.98482189968570921</v>
      </c>
      <c r="G44" s="11" t="str">
        <f t="shared" ca="1" si="0"/>
        <v>C</v>
      </c>
    </row>
    <row r="45" spans="1:7" x14ac:dyDescent="0.25">
      <c r="A45" s="6" t="s">
        <v>80</v>
      </c>
      <c r="B45" s="7">
        <v>62.5</v>
      </c>
      <c r="C45" s="8">
        <f t="array" aca="1" ref="C45" ca="1">SUM(IF([1]Projection!A:A='Curva ABC'!A45,[1]Projection!BL:BX))</f>
        <v>4858.7510000000002</v>
      </c>
      <c r="D45" s="7">
        <f ca="1">B45*C45</f>
        <v>303671.9375</v>
      </c>
      <c r="E45" s="9">
        <f t="shared" ca="1" si="5"/>
        <v>4.6940244269783066E-3</v>
      </c>
      <c r="F45" s="10">
        <f ca="1">E45+F44</f>
        <v>0.98951592411268752</v>
      </c>
      <c r="G45" s="11" t="str">
        <f t="shared" ca="1" si="0"/>
        <v>C</v>
      </c>
    </row>
    <row r="46" spans="1:7" x14ac:dyDescent="0.25">
      <c r="A46" s="6" t="s">
        <v>81</v>
      </c>
      <c r="B46" s="7">
        <v>83.99</v>
      </c>
      <c r="C46" s="8">
        <f t="array" aca="1" ref="C46" ca="1">SUM(IF([1]Projection!A:A='Curva ABC'!A46,[1]Projection!BL:BX))</f>
        <v>3107.5338333333339</v>
      </c>
      <c r="D46" s="7">
        <f ca="1">B46*C46</f>
        <v>261001.76666166668</v>
      </c>
      <c r="E46" s="9">
        <f t="shared" ca="1" si="5"/>
        <v>4.0344480898711812E-3</v>
      </c>
      <c r="F46" s="10">
        <f ca="1">E46+F45</f>
        <v>0.99355037220255871</v>
      </c>
      <c r="G46" s="11" t="str">
        <f t="shared" ca="1" si="0"/>
        <v>C</v>
      </c>
    </row>
    <row r="47" spans="1:7" x14ac:dyDescent="0.25">
      <c r="A47" s="6" t="s">
        <v>82</v>
      </c>
      <c r="B47" s="7">
        <v>99.99</v>
      </c>
      <c r="C47" s="8">
        <f t="array" aca="1" ref="C47" ca="1">SUM(IF([1]Projection!A:A='Curva ABC'!A47,[1]Projection!BL:BX))</f>
        <v>2319.7064633333334</v>
      </c>
      <c r="D47" s="7">
        <f ca="1">B47*C47</f>
        <v>231947.4492687</v>
      </c>
      <c r="E47" s="9">
        <f t="shared" ca="1" si="5"/>
        <v>3.5853395002710428E-3</v>
      </c>
      <c r="F47" s="10">
        <f ca="1">E47+F46</f>
        <v>0.99713571170282977</v>
      </c>
      <c r="G47" s="11" t="str">
        <f t="shared" ca="1" si="0"/>
        <v>C</v>
      </c>
    </row>
    <row r="48" spans="1:7" x14ac:dyDescent="0.25">
      <c r="A48" s="6" t="s">
        <v>83</v>
      </c>
      <c r="B48" s="7">
        <v>70.19</v>
      </c>
      <c r="C48" s="8">
        <f t="array" aca="1" ref="C48" ca="1">SUM(IF([1]Projection!A:A='Curva ABC'!A48,[1]Projection!BL:BX))</f>
        <v>2639.9809999999998</v>
      </c>
      <c r="D48" s="7">
        <f ca="1">B48*C48</f>
        <v>185300.26638999998</v>
      </c>
      <c r="E48" s="9">
        <f t="shared" ca="1" si="5"/>
        <v>2.8642882971701895E-3</v>
      </c>
      <c r="F48" s="10">
        <f ca="1">E48+F47</f>
        <v>1</v>
      </c>
      <c r="G48" s="11" t="str">
        <f t="shared" ca="1" si="0"/>
        <v>C</v>
      </c>
    </row>
    <row r="49" spans="2:22" ht="19.5" thickBot="1" x14ac:dyDescent="0.3">
      <c r="C49" s="21"/>
      <c r="D49" s="22">
        <f ca="1">SUM(D4:D48)</f>
        <v>64693301.499388091</v>
      </c>
    </row>
    <row r="53" spans="2:22" ht="18.75" x14ac:dyDescent="0.3">
      <c r="B53" s="25" t="s">
        <v>98</v>
      </c>
      <c r="C53" s="25"/>
      <c r="M53" s="25" t="s">
        <v>113</v>
      </c>
      <c r="N53" s="25"/>
    </row>
    <row r="54" spans="2:22" x14ac:dyDescent="0.25">
      <c r="B54" s="34" t="s">
        <v>84</v>
      </c>
      <c r="C54" s="34"/>
      <c r="D54" s="27"/>
      <c r="E54" s="27"/>
      <c r="F54" s="27"/>
      <c r="G54" s="27"/>
      <c r="H54" s="27"/>
      <c r="I54" s="27"/>
      <c r="J54" s="27"/>
      <c r="M54" s="38" t="s">
        <v>84</v>
      </c>
      <c r="N54" s="39"/>
    </row>
    <row r="55" spans="2:22" x14ac:dyDescent="0.25">
      <c r="B55" s="35" t="s">
        <v>2</v>
      </c>
      <c r="C55" s="36" t="s">
        <v>85</v>
      </c>
      <c r="D55" s="36"/>
      <c r="E55" s="36"/>
      <c r="F55" s="36"/>
      <c r="G55" s="36"/>
      <c r="H55" s="36"/>
      <c r="I55" s="36"/>
      <c r="J55" s="36"/>
      <c r="M55" s="40" t="s">
        <v>105</v>
      </c>
      <c r="N55" s="23" t="s">
        <v>106</v>
      </c>
    </row>
    <row r="56" spans="2:22" x14ac:dyDescent="0.25">
      <c r="B56" s="35" t="s">
        <v>86</v>
      </c>
      <c r="C56" s="36" t="s">
        <v>87</v>
      </c>
      <c r="D56" s="36"/>
      <c r="E56" s="36"/>
      <c r="F56" s="36"/>
      <c r="G56" s="36"/>
      <c r="H56" s="36"/>
      <c r="I56" s="36"/>
      <c r="J56" s="36"/>
      <c r="M56" s="40" t="s">
        <v>107</v>
      </c>
      <c r="N56" s="23" t="s">
        <v>108</v>
      </c>
    </row>
    <row r="57" spans="2:22" ht="30" x14ac:dyDescent="0.25">
      <c r="B57" s="35" t="s">
        <v>88</v>
      </c>
      <c r="C57" s="36" t="s">
        <v>96</v>
      </c>
      <c r="D57" s="36"/>
      <c r="E57" s="36"/>
      <c r="F57" s="36"/>
      <c r="G57" s="36"/>
      <c r="H57" s="36"/>
      <c r="I57" s="36"/>
      <c r="J57" s="36"/>
      <c r="M57" s="40" t="s">
        <v>109</v>
      </c>
      <c r="N57" s="23" t="s">
        <v>110</v>
      </c>
    </row>
    <row r="58" spans="2:22" x14ac:dyDescent="0.25">
      <c r="B58" s="35" t="s">
        <v>89</v>
      </c>
      <c r="C58" s="36" t="s">
        <v>97</v>
      </c>
      <c r="D58" s="36"/>
      <c r="E58" s="36"/>
      <c r="F58" s="36"/>
      <c r="G58" s="36"/>
      <c r="H58" s="36"/>
      <c r="I58" s="36"/>
      <c r="J58" s="36"/>
      <c r="M58" s="40" t="s">
        <v>111</v>
      </c>
      <c r="N58" s="23" t="s">
        <v>112</v>
      </c>
    </row>
    <row r="59" spans="2:22" x14ac:dyDescent="0.25">
      <c r="B59" s="35" t="s">
        <v>6</v>
      </c>
      <c r="C59" s="36" t="s">
        <v>90</v>
      </c>
      <c r="D59" s="36"/>
      <c r="E59" s="36"/>
      <c r="F59" s="36"/>
      <c r="G59" s="36"/>
      <c r="H59" s="36"/>
      <c r="I59" s="36"/>
      <c r="J59" s="36"/>
    </row>
    <row r="60" spans="2:22" ht="30" customHeight="1" x14ac:dyDescent="0.25">
      <c r="B60" s="35" t="s">
        <v>91</v>
      </c>
      <c r="C60" s="36" t="s">
        <v>92</v>
      </c>
      <c r="D60" s="36"/>
      <c r="E60" s="36"/>
      <c r="F60" s="36"/>
      <c r="G60" s="36"/>
      <c r="H60" s="36"/>
      <c r="I60" s="36"/>
      <c r="J60" s="36"/>
      <c r="M60" s="44" t="s">
        <v>116</v>
      </c>
      <c r="N60" s="43" t="s">
        <v>117</v>
      </c>
      <c r="O60" s="43"/>
      <c r="P60" s="43"/>
      <c r="Q60" s="43"/>
      <c r="R60" s="43"/>
      <c r="S60" s="43"/>
      <c r="T60" s="43"/>
      <c r="U60" s="43"/>
      <c r="V60" s="43"/>
    </row>
    <row r="61" spans="2:22" ht="17.25" customHeight="1" x14ac:dyDescent="0.25">
      <c r="B61" s="35" t="s">
        <v>93</v>
      </c>
      <c r="C61" s="37" t="s">
        <v>94</v>
      </c>
      <c r="D61" s="37"/>
      <c r="E61" s="37"/>
      <c r="F61" s="37"/>
      <c r="G61" s="37"/>
      <c r="H61" s="37"/>
      <c r="I61" s="37"/>
      <c r="J61" s="37"/>
    </row>
    <row r="62" spans="2:22" x14ac:dyDescent="0.25">
      <c r="B62" s="45"/>
      <c r="C62" s="46"/>
      <c r="D62" s="33"/>
      <c r="E62" s="33"/>
      <c r="F62" s="33"/>
      <c r="G62" s="33"/>
      <c r="H62" s="33"/>
      <c r="I62" s="33"/>
      <c r="J62" s="33"/>
      <c r="M62" s="50"/>
    </row>
    <row r="63" spans="2:22" ht="51" customHeight="1" x14ac:dyDescent="0.25">
      <c r="B63" s="47" t="s">
        <v>118</v>
      </c>
      <c r="C63" s="31" t="s">
        <v>119</v>
      </c>
      <c r="D63" s="31"/>
      <c r="E63" s="31"/>
      <c r="F63" s="31"/>
      <c r="G63" s="31"/>
      <c r="H63" s="31"/>
      <c r="I63" s="31"/>
      <c r="J63" s="31"/>
      <c r="K63" s="30"/>
      <c r="L63" s="30"/>
      <c r="M63" s="44" t="s">
        <v>120</v>
      </c>
      <c r="N63" s="30"/>
      <c r="O63" s="30"/>
      <c r="P63" s="30"/>
      <c r="Q63" s="30"/>
      <c r="R63" s="30"/>
      <c r="S63" s="30"/>
      <c r="T63" s="30"/>
      <c r="U63" s="30"/>
      <c r="V63" s="30"/>
    </row>
    <row r="64" spans="2:22" ht="20.25" customHeight="1" x14ac:dyDescent="0.25">
      <c r="B64" s="49"/>
      <c r="C64" s="48"/>
      <c r="D64" s="48"/>
      <c r="E64" s="48"/>
      <c r="F64" s="48"/>
      <c r="G64" s="48"/>
      <c r="H64" s="48"/>
      <c r="I64" s="48"/>
      <c r="J64" s="48"/>
      <c r="K64" s="30"/>
      <c r="L64" s="30"/>
      <c r="M64" s="51" t="s">
        <v>121</v>
      </c>
      <c r="N64" s="30"/>
      <c r="O64" s="30"/>
      <c r="P64" s="30"/>
      <c r="Q64" s="30"/>
      <c r="R64" s="30"/>
      <c r="S64" s="30"/>
      <c r="T64" s="30"/>
      <c r="U64" s="30"/>
      <c r="V64" s="30"/>
    </row>
    <row r="65" spans="2:13" x14ac:dyDescent="0.25">
      <c r="B65" s="32" t="s">
        <v>120</v>
      </c>
      <c r="C65" s="32"/>
      <c r="D65" s="27"/>
      <c r="M65" t="s">
        <v>122</v>
      </c>
    </row>
    <row r="66" spans="2:13" x14ac:dyDescent="0.25">
      <c r="B66" t="s">
        <v>95</v>
      </c>
      <c r="M66" t="s">
        <v>123</v>
      </c>
    </row>
    <row r="67" spans="2:13" x14ac:dyDescent="0.25">
      <c r="B67" t="s">
        <v>99</v>
      </c>
      <c r="M67" t="s">
        <v>124</v>
      </c>
    </row>
    <row r="68" spans="2:13" x14ac:dyDescent="0.25">
      <c r="B68" t="s">
        <v>100</v>
      </c>
      <c r="M68" s="24" t="s">
        <v>125</v>
      </c>
    </row>
    <row r="69" spans="2:13" x14ac:dyDescent="0.25">
      <c r="B69" t="s">
        <v>101</v>
      </c>
      <c r="M69" t="s">
        <v>126</v>
      </c>
    </row>
    <row r="70" spans="2:13" x14ac:dyDescent="0.25">
      <c r="B70" t="s">
        <v>102</v>
      </c>
      <c r="M70" t="s">
        <v>127</v>
      </c>
    </row>
    <row r="71" spans="2:13" x14ac:dyDescent="0.25">
      <c r="B71" t="s">
        <v>103</v>
      </c>
      <c r="M71" t="s">
        <v>128</v>
      </c>
    </row>
    <row r="72" spans="2:13" x14ac:dyDescent="0.25">
      <c r="B72" t="s">
        <v>104</v>
      </c>
      <c r="M72" s="24" t="s">
        <v>129</v>
      </c>
    </row>
    <row r="73" spans="2:13" x14ac:dyDescent="0.25">
      <c r="M73" t="s">
        <v>130</v>
      </c>
    </row>
    <row r="74" spans="2:13" x14ac:dyDescent="0.25">
      <c r="M74" t="s">
        <v>131</v>
      </c>
    </row>
    <row r="75" spans="2:13" x14ac:dyDescent="0.25">
      <c r="M75" t="s">
        <v>132</v>
      </c>
    </row>
  </sheetData>
  <autoFilter ref="A3:D48" xr:uid="{0B99728E-801D-4E5E-9F69-6C0A468B8BC3}">
    <sortState xmlns:xlrd2="http://schemas.microsoft.com/office/spreadsheetml/2017/richdata2" ref="A4:D48">
      <sortCondition descending="1" ref="D4:D48"/>
    </sortState>
  </autoFilter>
  <sortState xmlns:xlrd2="http://schemas.microsoft.com/office/spreadsheetml/2017/richdata2" ref="N4:Q25">
    <sortCondition descending="1" ref="Q4:Q25"/>
  </sortState>
  <mergeCells count="14">
    <mergeCell ref="C63:J63"/>
    <mergeCell ref="N60:V60"/>
    <mergeCell ref="C57:J57"/>
    <mergeCell ref="C58:J58"/>
    <mergeCell ref="C59:J59"/>
    <mergeCell ref="C60:J60"/>
    <mergeCell ref="D62:J62"/>
    <mergeCell ref="A2:G2"/>
    <mergeCell ref="N2:T2"/>
    <mergeCell ref="B54:C54"/>
    <mergeCell ref="B53:C53"/>
    <mergeCell ref="C55:J55"/>
    <mergeCell ref="C56:J56"/>
    <mergeCell ref="M53:N53"/>
  </mergeCells>
  <conditionalFormatting sqref="A4:A48">
    <cfRule type="expression" dxfId="14" priority="1">
      <formula>#REF!="delist"</formula>
    </cfRule>
  </conditionalFormatting>
  <conditionalFormatting sqref="N4 N6:N24">
    <cfRule type="expression" dxfId="13" priority="2">
      <formula>#REF!="delist"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14D-FEE9-46E5-84A2-75602B34CF49}">
  <sheetPr>
    <tabColor rgb="FFFE4E40"/>
  </sheetPr>
  <dimension ref="A1:AG124"/>
  <sheetViews>
    <sheetView showGridLines="0" topLeftCell="A96" zoomScale="70" zoomScaleNormal="70" workbookViewId="0">
      <selection activeCell="B108" sqref="B108"/>
    </sheetView>
  </sheetViews>
  <sheetFormatPr defaultRowHeight="15" x14ac:dyDescent="0.25"/>
  <cols>
    <col min="1" max="1" width="33.85546875" bestFit="1" customWidth="1"/>
    <col min="2" max="2" width="63.7109375" bestFit="1" customWidth="1"/>
    <col min="3" max="3" width="12" hidden="1" customWidth="1"/>
    <col min="4" max="4" width="9.28515625" hidden="1" customWidth="1"/>
    <col min="5" max="6" width="10.28515625" hidden="1" customWidth="1"/>
    <col min="7" max="7" width="10" hidden="1" customWidth="1"/>
    <col min="8" max="10" width="10.28515625" hidden="1" customWidth="1"/>
    <col min="11" max="11" width="9.5703125" hidden="1" customWidth="1"/>
    <col min="12" max="12" width="10" hidden="1" customWidth="1"/>
    <col min="13" max="14" width="10.28515625" hidden="1" customWidth="1"/>
    <col min="15" max="15" width="10.28515625" customWidth="1"/>
    <col min="16" max="16" width="16.7109375" bestFit="1" customWidth="1"/>
    <col min="17" max="17" width="25.140625" customWidth="1"/>
    <col min="18" max="18" width="12.42578125" bestFit="1" customWidth="1"/>
    <col min="19" max="19" width="15" bestFit="1" customWidth="1"/>
    <col min="20" max="20" width="15.5703125" bestFit="1" customWidth="1"/>
    <col min="21" max="21" width="18.28515625" customWidth="1"/>
    <col min="22" max="22" width="18.5703125" hidden="1" customWidth="1"/>
    <col min="23" max="23" width="11" customWidth="1"/>
    <col min="24" max="24" width="19.5703125" customWidth="1"/>
    <col min="25" max="25" width="22.85546875" customWidth="1"/>
    <col min="26" max="26" width="19.140625" bestFit="1" customWidth="1"/>
    <col min="27" max="27" width="20.140625" bestFit="1" customWidth="1"/>
    <col min="28" max="28" width="18.28515625" bestFit="1" customWidth="1"/>
    <col min="29" max="29" width="16.85546875" customWidth="1"/>
    <col min="30" max="30" width="18.140625" customWidth="1"/>
    <col min="31" max="31" width="20" customWidth="1"/>
    <col min="32" max="32" width="16.7109375" customWidth="1"/>
    <col min="33" max="33" width="14.42578125" bestFit="1" customWidth="1"/>
    <col min="39" max="39" width="21.140625" bestFit="1" customWidth="1"/>
  </cols>
  <sheetData>
    <row r="1" spans="1:33" x14ac:dyDescent="0.25">
      <c r="A1" t="s">
        <v>491</v>
      </c>
      <c r="B1" t="s">
        <v>492</v>
      </c>
    </row>
    <row r="3" spans="1:33" x14ac:dyDescent="0.25">
      <c r="A3" t="s">
        <v>493</v>
      </c>
      <c r="C3" t="s">
        <v>494</v>
      </c>
    </row>
    <row r="4" spans="1:33" x14ac:dyDescent="0.25">
      <c r="A4" s="26" t="s">
        <v>495</v>
      </c>
      <c r="B4" s="26" t="s">
        <v>137</v>
      </c>
      <c r="C4" s="26" t="s">
        <v>496</v>
      </c>
      <c r="D4" s="26" t="s">
        <v>497</v>
      </c>
      <c r="E4" s="26" t="s">
        <v>498</v>
      </c>
      <c r="F4" s="26" t="s">
        <v>499</v>
      </c>
      <c r="G4" s="26" t="s">
        <v>500</v>
      </c>
      <c r="H4" s="26" t="s">
        <v>501</v>
      </c>
      <c r="I4" s="26" t="s">
        <v>502</v>
      </c>
      <c r="J4" s="26" t="s">
        <v>450</v>
      </c>
      <c r="K4" s="26" t="s">
        <v>503</v>
      </c>
      <c r="L4" s="26" t="s">
        <v>504</v>
      </c>
      <c r="M4" s="26" t="s">
        <v>505</v>
      </c>
      <c r="N4" s="26" t="s">
        <v>506</v>
      </c>
      <c r="O4" s="182" t="s">
        <v>139</v>
      </c>
      <c r="P4" s="182" t="s">
        <v>507</v>
      </c>
      <c r="Q4" s="182" t="s">
        <v>508</v>
      </c>
      <c r="R4" s="182" t="s">
        <v>509</v>
      </c>
      <c r="S4" s="182" t="s">
        <v>510</v>
      </c>
      <c r="T4" s="182" t="s">
        <v>511</v>
      </c>
      <c r="U4" s="182" t="s">
        <v>512</v>
      </c>
      <c r="V4" s="182" t="s">
        <v>513</v>
      </c>
      <c r="W4" s="182" t="s">
        <v>514</v>
      </c>
      <c r="X4" s="182" t="s">
        <v>515</v>
      </c>
      <c r="Y4" s="182" t="s">
        <v>539</v>
      </c>
      <c r="Z4" s="182" t="s">
        <v>516</v>
      </c>
      <c r="AA4" s="182" t="s">
        <v>517</v>
      </c>
      <c r="AB4" s="182" t="s">
        <v>518</v>
      </c>
      <c r="AC4" s="182" t="s">
        <v>519</v>
      </c>
      <c r="AD4" s="182" t="s">
        <v>520</v>
      </c>
      <c r="AE4" s="182" t="s">
        <v>521</v>
      </c>
      <c r="AF4" s="182" t="s">
        <v>522</v>
      </c>
      <c r="AG4" s="182" t="s">
        <v>523</v>
      </c>
    </row>
    <row r="5" spans="1:33" x14ac:dyDescent="0.25">
      <c r="A5" s="26" t="s">
        <v>60</v>
      </c>
      <c r="B5" s="26" t="s">
        <v>423</v>
      </c>
      <c r="C5" s="8">
        <v>2788</v>
      </c>
      <c r="D5" s="8">
        <v>4963</v>
      </c>
      <c r="E5" s="8">
        <v>2300</v>
      </c>
      <c r="F5" s="8">
        <v>3860</v>
      </c>
      <c r="G5" s="8">
        <v>3014.8220000000001</v>
      </c>
      <c r="H5" s="8">
        <v>1241.6479999999999</v>
      </c>
      <c r="I5" s="8">
        <v>515.89599999999996</v>
      </c>
      <c r="J5" s="8">
        <v>661.26499999999999</v>
      </c>
      <c r="K5" s="8">
        <v>1323.623</v>
      </c>
      <c r="L5" s="8">
        <v>1950</v>
      </c>
      <c r="M5" s="8">
        <v>2300</v>
      </c>
      <c r="N5" s="8">
        <v>5198</v>
      </c>
      <c r="O5" s="8" t="str">
        <f ca="1">VLOOKUP(A5,[1]Projection!A:D,4,0)</f>
        <v>OTC</v>
      </c>
      <c r="P5" s="8" t="str">
        <f ca="1">VLOOKUP(A5,[1]Projection!A:E,5,0)</f>
        <v>Karex / NRS</v>
      </c>
      <c r="Q5" s="183" cm="1">
        <f t="array" aca="1" ref="Q5" ca="1">AVERAGE(IF([1]Projection!$A$4:$A$74='Gestao de estoque'!A5,[1]Projection!$BL$4:$BX$74))</f>
        <v>1853.2640000000001</v>
      </c>
      <c r="R5" s="14">
        <f ca="1">VLOOKUP(A5,[1]Projection!A:BA,35,0)</f>
        <v>3626</v>
      </c>
      <c r="S5" s="14">
        <f ca="1">VLOOKUP('Gestao de estoque'!A5,[1]Projection!A:FN,170,0)</f>
        <v>21000</v>
      </c>
      <c r="T5" s="14">
        <f ca="1">ROUND(R5+S5,0)</f>
        <v>24626</v>
      </c>
      <c r="U5" s="8">
        <f ca="1">ROUND(T5/Q5,0)</f>
        <v>13</v>
      </c>
      <c r="V5" s="8">
        <f ca="1">VLOOKUP(A5,[1]Projection!A:I,9,0)</f>
        <v>266</v>
      </c>
      <c r="W5" s="8">
        <f ca="1">ROUND(V5/30,0)</f>
        <v>9</v>
      </c>
      <c r="X5" s="8">
        <v>3</v>
      </c>
      <c r="Y5" s="8">
        <f ca="1">ROUND(W5+X5,0)</f>
        <v>12</v>
      </c>
      <c r="Z5" s="14">
        <f ca="1">ROUND(Q5*Y5,0)</f>
        <v>22239</v>
      </c>
      <c r="AA5" s="184">
        <f ca="1">ROUND(Z5-T5,0)</f>
        <v>-2387</v>
      </c>
      <c r="AB5" s="26" t="str">
        <f ca="1">IF(U5&lt;1,"STOCKOUT RISK",IF(U5=Y5,"NORMAL",IF(U5&lt;Y5,"UNDERSTOCKED",IF(U5&gt;Y5*1.5,"OVERSTOCKED","NORMAL"))))</f>
        <v>NORMAL</v>
      </c>
      <c r="AC5" s="14">
        <f ca="1">VLOOKUP(A5,[1]Projection!A:V,22,0)</f>
        <v>3000</v>
      </c>
      <c r="AD5" s="185">
        <f ca="1">ROUND(AA5/AC5,0)</f>
        <v>-1</v>
      </c>
      <c r="AE5" s="28">
        <f ca="1">VLOOKUP(A5,[1]Projection!A:FO,171,0)</f>
        <v>3000</v>
      </c>
      <c r="AF5" s="28">
        <f ca="1">AE5/AC5</f>
        <v>1</v>
      </c>
      <c r="AG5" s="186">
        <f ca="1">AD5-AF5</f>
        <v>-2</v>
      </c>
    </row>
    <row r="6" spans="1:33" x14ac:dyDescent="0.25">
      <c r="A6" s="26" t="s">
        <v>54</v>
      </c>
      <c r="B6" s="26" t="s">
        <v>428</v>
      </c>
      <c r="C6" s="8">
        <v>3379</v>
      </c>
      <c r="D6" s="8">
        <v>4166</v>
      </c>
      <c r="E6" s="8">
        <v>4726</v>
      </c>
      <c r="F6" s="8">
        <v>3958</v>
      </c>
      <c r="G6" s="8">
        <v>3722.473</v>
      </c>
      <c r="H6" s="8">
        <v>1118.1389999999999</v>
      </c>
      <c r="I6" s="8">
        <v>643.77700000000004</v>
      </c>
      <c r="J6" s="8">
        <v>708.26400000000001</v>
      </c>
      <c r="K6" s="8">
        <v>1208.8579999999999</v>
      </c>
      <c r="L6" s="8">
        <v>2250</v>
      </c>
      <c r="M6" s="8">
        <v>3000</v>
      </c>
      <c r="N6" s="8">
        <v>6753</v>
      </c>
      <c r="O6" s="8" t="str">
        <f ca="1">VLOOKUP(A6,[1]Projection!A:D,4,0)</f>
        <v>OTC</v>
      </c>
      <c r="P6" s="8" t="str">
        <f ca="1">VLOOKUP(A6,[1]Projection!A:E,5,0)</f>
        <v>Karex / NRS</v>
      </c>
      <c r="Q6" s="183" cm="1">
        <f t="array" aca="1" ref="Q6" ca="1">AVERAGE(IF([1]Projection!$A$4:$A$74='Gestao de estoque'!A6,[1]Projection!$BL$4:$BX$74))</f>
        <v>2302.2336923076923</v>
      </c>
      <c r="R6" s="14">
        <f ca="1">VLOOKUP(A6,[1]Projection!A:BA,35,0)</f>
        <v>234</v>
      </c>
      <c r="S6" s="14">
        <f ca="1">VLOOKUP('Gestao de estoque'!A6,[1]Projection!A:FN,170,0)</f>
        <v>24000</v>
      </c>
      <c r="T6" s="14">
        <f t="shared" ref="T6:T68" ca="1" si="0">ROUND(R6+S6,0)</f>
        <v>24234</v>
      </c>
      <c r="U6" s="8">
        <f t="shared" ref="U6:U68" ca="1" si="1">ROUND(T6/Q6,0)</f>
        <v>11</v>
      </c>
      <c r="V6" s="8">
        <f ca="1">VLOOKUP(A6,[1]Projection!A:I,9,0)</f>
        <v>266</v>
      </c>
      <c r="W6" s="8">
        <f t="shared" ref="W6:W68" ca="1" si="2">ROUND(V6/30,0)</f>
        <v>9</v>
      </c>
      <c r="X6" s="8">
        <v>3</v>
      </c>
      <c r="Y6" s="8">
        <f t="shared" ref="Y6:Y68" ca="1" si="3">ROUND(W6+X6,0)</f>
        <v>12</v>
      </c>
      <c r="Z6" s="14">
        <f t="shared" ref="Z6:Z68" ca="1" si="4">ROUND(Q6*Y6,0)</f>
        <v>27627</v>
      </c>
      <c r="AA6" s="184">
        <f t="shared" ref="AA6:AA68" ca="1" si="5">ROUND(Z6-T6,0)</f>
        <v>3393</v>
      </c>
      <c r="AB6" s="26" t="str">
        <f t="shared" ref="AB6:AB68" ca="1" si="6">IF(U6&lt;1,"STOCKOUT RISK",IF(U6=Y6,"NORMAL",IF(U6&lt;Y6,"UNDERSTOCKED",IF(U6&gt;Y6*1.5,"OVERSTOCKED","NORMAL"))))</f>
        <v>UNDERSTOCKED</v>
      </c>
      <c r="AC6" s="14">
        <f ca="1">VLOOKUP(A6,[1]Projection!A:V,22,0)</f>
        <v>3000</v>
      </c>
      <c r="AD6" s="185">
        <f t="shared" ref="AD6:AD68" ca="1" si="7">ROUND(AA6/AC6,0)</f>
        <v>1</v>
      </c>
      <c r="AE6" s="28">
        <f ca="1">VLOOKUP(A6,[1]Projection!A:FO,171,0)</f>
        <v>9000</v>
      </c>
      <c r="AF6" s="28">
        <f t="shared" ref="AF6:AF68" ca="1" si="8">AE6/AC6</f>
        <v>3</v>
      </c>
      <c r="AG6" s="186">
        <f t="shared" ref="AG6:AG68" ca="1" si="9">AD6-AF6</f>
        <v>-2</v>
      </c>
    </row>
    <row r="7" spans="1:33" x14ac:dyDescent="0.25">
      <c r="A7" s="26" t="s">
        <v>66</v>
      </c>
      <c r="B7" s="26" t="s">
        <v>391</v>
      </c>
      <c r="C7" s="8">
        <v>2125</v>
      </c>
      <c r="D7" s="8">
        <v>2545</v>
      </c>
      <c r="E7" s="8">
        <v>2958</v>
      </c>
      <c r="F7" s="8">
        <v>1500</v>
      </c>
      <c r="G7" s="8">
        <v>2147</v>
      </c>
      <c r="H7" s="8">
        <v>1092</v>
      </c>
      <c r="I7" s="8">
        <v>825</v>
      </c>
      <c r="J7" s="8">
        <v>439</v>
      </c>
      <c r="K7" s="8">
        <v>2149</v>
      </c>
      <c r="L7" s="8">
        <v>1578</v>
      </c>
      <c r="M7" s="8">
        <v>3487</v>
      </c>
      <c r="N7" s="8">
        <v>3623</v>
      </c>
      <c r="O7" s="8" t="str">
        <f ca="1">VLOOKUP(A7,[1]Projection!A:D,4,0)</f>
        <v>OTC</v>
      </c>
      <c r="P7" s="8" t="str">
        <f ca="1">VLOOKUP(A7,[1]Projection!A:E,5,0)</f>
        <v>Karex / NRS</v>
      </c>
      <c r="Q7" s="183" cm="1">
        <f t="array" aca="1" ref="Q7" ca="1">AVERAGE(IF([1]Projection!$A$4:$A$74='Gestao de estoque'!A7,[1]Projection!$BL$4:$BX$74))</f>
        <v>1280.9230769230769</v>
      </c>
      <c r="R7" s="14">
        <f ca="1">VLOOKUP(A7,[1]Projection!A:BA,35,0)</f>
        <v>0</v>
      </c>
      <c r="S7" s="14">
        <f ca="1">VLOOKUP('Gestao de estoque'!A7,[1]Projection!A:FN,170,0)</f>
        <v>22400</v>
      </c>
      <c r="T7" s="14">
        <f t="shared" ca="1" si="0"/>
        <v>22400</v>
      </c>
      <c r="U7" s="8">
        <f t="shared" ca="1" si="1"/>
        <v>17</v>
      </c>
      <c r="V7" s="8">
        <f ca="1">VLOOKUP(A7,[1]Projection!A:I,9,0)</f>
        <v>266</v>
      </c>
      <c r="W7" s="8">
        <f t="shared" ca="1" si="2"/>
        <v>9</v>
      </c>
      <c r="X7" s="8">
        <v>3</v>
      </c>
      <c r="Y7" s="8">
        <f t="shared" ca="1" si="3"/>
        <v>12</v>
      </c>
      <c r="Z7" s="14">
        <f t="shared" ca="1" si="4"/>
        <v>15371</v>
      </c>
      <c r="AA7" s="184">
        <f t="shared" ca="1" si="5"/>
        <v>-7029</v>
      </c>
      <c r="AB7" s="26" t="str">
        <f t="shared" ca="1" si="6"/>
        <v>NORMAL</v>
      </c>
      <c r="AC7" s="14">
        <f ca="1">VLOOKUP(A7,[1]Projection!A:V,22,0)</f>
        <v>3000</v>
      </c>
      <c r="AD7" s="185">
        <f t="shared" ca="1" si="7"/>
        <v>-2</v>
      </c>
      <c r="AE7" s="28">
        <f ca="1">VLOOKUP(A7,[1]Projection!A:FO,171,0)</f>
        <v>0</v>
      </c>
      <c r="AF7" s="28">
        <f t="shared" ca="1" si="8"/>
        <v>0</v>
      </c>
      <c r="AG7" s="186">
        <f t="shared" ca="1" si="9"/>
        <v>-2</v>
      </c>
    </row>
    <row r="8" spans="1:33" x14ac:dyDescent="0.25">
      <c r="A8" s="26" t="s">
        <v>72</v>
      </c>
      <c r="B8" s="26" t="s">
        <v>425</v>
      </c>
      <c r="C8" s="8">
        <v>1246</v>
      </c>
      <c r="D8" s="8">
        <v>1682</v>
      </c>
      <c r="E8" s="8">
        <v>2571</v>
      </c>
      <c r="F8" s="8">
        <v>1515</v>
      </c>
      <c r="G8" s="8">
        <v>1828</v>
      </c>
      <c r="H8" s="8">
        <v>1133</v>
      </c>
      <c r="I8" s="8">
        <v>426</v>
      </c>
      <c r="J8" s="8">
        <v>608</v>
      </c>
      <c r="K8" s="8">
        <v>478</v>
      </c>
      <c r="L8" s="8">
        <v>900</v>
      </c>
      <c r="M8" s="8">
        <v>2986</v>
      </c>
      <c r="N8" s="8">
        <v>1976</v>
      </c>
      <c r="O8" s="8" t="str">
        <f ca="1">VLOOKUP(A8,[1]Projection!A:D,4,0)</f>
        <v>OTC</v>
      </c>
      <c r="P8" s="8" t="str">
        <f ca="1">VLOOKUP(A8,[1]Projection!A:E,5,0)</f>
        <v>Karex / NRS</v>
      </c>
      <c r="Q8" s="183" cm="1">
        <f t="array" aca="1" ref="Q8" ca="1">AVERAGE(IF([1]Projection!$A$4:$A$74='Gestao de estoque'!A8,[1]Projection!$BL$4:$BX$74))</f>
        <v>888.07692307692309</v>
      </c>
      <c r="R8" s="14">
        <f ca="1">VLOOKUP(A8,[1]Projection!A:BA,35,0)</f>
        <v>0</v>
      </c>
      <c r="S8" s="14">
        <f ca="1">VLOOKUP('Gestao de estoque'!A8,[1]Projection!A:FN,170,0)</f>
        <v>12000</v>
      </c>
      <c r="T8" s="14">
        <f t="shared" ca="1" si="0"/>
        <v>12000</v>
      </c>
      <c r="U8" s="8">
        <f t="shared" ca="1" si="1"/>
        <v>14</v>
      </c>
      <c r="V8" s="8">
        <f ca="1">VLOOKUP(A8,[1]Projection!A:I,9,0)</f>
        <v>266</v>
      </c>
      <c r="W8" s="8">
        <f t="shared" ca="1" si="2"/>
        <v>9</v>
      </c>
      <c r="X8" s="8">
        <v>3</v>
      </c>
      <c r="Y8" s="8">
        <f t="shared" ca="1" si="3"/>
        <v>12</v>
      </c>
      <c r="Z8" s="14">
        <f t="shared" ca="1" si="4"/>
        <v>10657</v>
      </c>
      <c r="AA8" s="184">
        <f t="shared" ca="1" si="5"/>
        <v>-1343</v>
      </c>
      <c r="AB8" s="26" t="str">
        <f t="shared" ca="1" si="6"/>
        <v>NORMAL</v>
      </c>
      <c r="AC8" s="14">
        <f ca="1">VLOOKUP(A8,[1]Projection!A:V,22,0)</f>
        <v>3000</v>
      </c>
      <c r="AD8" s="185">
        <f t="shared" ca="1" si="7"/>
        <v>0</v>
      </c>
      <c r="AE8" s="28">
        <f ca="1">VLOOKUP(A8,[1]Projection!A:FO,171,0)</f>
        <v>0</v>
      </c>
      <c r="AF8" s="28">
        <f t="shared" ca="1" si="8"/>
        <v>0</v>
      </c>
      <c r="AG8" s="186">
        <f t="shared" ca="1" si="9"/>
        <v>0</v>
      </c>
    </row>
    <row r="9" spans="1:33" x14ac:dyDescent="0.25">
      <c r="A9" s="26" t="s">
        <v>24</v>
      </c>
      <c r="B9" s="26" t="s">
        <v>351</v>
      </c>
      <c r="C9" s="8">
        <v>8032</v>
      </c>
      <c r="D9" s="8">
        <v>9612</v>
      </c>
      <c r="E9" s="8">
        <v>11781</v>
      </c>
      <c r="F9" s="8">
        <v>5633</v>
      </c>
      <c r="G9" s="8">
        <v>7620</v>
      </c>
      <c r="H9" s="8">
        <v>2991</v>
      </c>
      <c r="I9" s="8">
        <v>4007</v>
      </c>
      <c r="J9" s="8">
        <v>3420</v>
      </c>
      <c r="K9" s="8">
        <v>7078</v>
      </c>
      <c r="L9" s="8">
        <v>5037</v>
      </c>
      <c r="M9" s="8">
        <v>11025</v>
      </c>
      <c r="N9" s="8">
        <v>10993</v>
      </c>
      <c r="O9" s="8" t="str">
        <f ca="1">VLOOKUP(A9,[1]Projection!A:D,4,0)</f>
        <v>OTC</v>
      </c>
      <c r="P9" s="8" t="str">
        <f ca="1">VLOOKUP(A9,[1]Projection!A:E,5,0)</f>
        <v>Karex / NRS</v>
      </c>
      <c r="Q9" s="183" cm="1">
        <f t="array" aca="1" ref="Q9" ca="1">AVERAGE(IF([1]Projection!$A$4:$A$74='Gestao de estoque'!A9,[1]Projection!$BL$4:$BX$74))</f>
        <v>4497.8461538461543</v>
      </c>
      <c r="R9" s="14">
        <f ca="1">VLOOKUP(A9,[1]Projection!A:BA,35,0)</f>
        <v>2360</v>
      </c>
      <c r="S9" s="14">
        <f ca="1">VLOOKUP('Gestao de estoque'!A9,[1]Projection!A:FN,170,0)</f>
        <v>46020</v>
      </c>
      <c r="T9" s="14">
        <f t="shared" ca="1" si="0"/>
        <v>48380</v>
      </c>
      <c r="U9" s="8">
        <f t="shared" ca="1" si="1"/>
        <v>11</v>
      </c>
      <c r="V9" s="8">
        <f ca="1">VLOOKUP(A9,[1]Projection!A:I,9,0)</f>
        <v>266</v>
      </c>
      <c r="W9" s="8">
        <f t="shared" ca="1" si="2"/>
        <v>9</v>
      </c>
      <c r="X9" s="8">
        <v>3</v>
      </c>
      <c r="Y9" s="8">
        <f t="shared" ca="1" si="3"/>
        <v>12</v>
      </c>
      <c r="Z9" s="14">
        <f t="shared" ca="1" si="4"/>
        <v>53974</v>
      </c>
      <c r="AA9" s="184">
        <f t="shared" ca="1" si="5"/>
        <v>5594</v>
      </c>
      <c r="AB9" s="26" t="str">
        <f t="shared" ca="1" si="6"/>
        <v>UNDERSTOCKED</v>
      </c>
      <c r="AC9" s="14">
        <f ca="1">VLOOKUP(A9,[1]Projection!A:V,22,0)</f>
        <v>3000</v>
      </c>
      <c r="AD9" s="185">
        <f t="shared" ca="1" si="7"/>
        <v>2</v>
      </c>
      <c r="AE9" s="28">
        <f ca="1">VLOOKUP(A9,[1]Projection!A:FO,171,0)</f>
        <v>18000</v>
      </c>
      <c r="AF9" s="28">
        <f t="shared" ca="1" si="8"/>
        <v>6</v>
      </c>
      <c r="AG9" s="186">
        <f t="shared" ca="1" si="9"/>
        <v>-4</v>
      </c>
    </row>
    <row r="10" spans="1:33" x14ac:dyDescent="0.25">
      <c r="A10" s="26" t="s">
        <v>34</v>
      </c>
      <c r="B10" s="26" t="s">
        <v>381</v>
      </c>
      <c r="C10" s="8">
        <v>4471</v>
      </c>
      <c r="D10" s="8">
        <v>6346</v>
      </c>
      <c r="E10" s="8">
        <v>7372</v>
      </c>
      <c r="F10" s="8">
        <v>3755</v>
      </c>
      <c r="G10" s="8">
        <v>5029.701</v>
      </c>
      <c r="H10" s="8">
        <v>2446.134</v>
      </c>
      <c r="I10" s="8">
        <v>2047.1890000000001</v>
      </c>
      <c r="J10" s="8">
        <v>2154.3029999999999</v>
      </c>
      <c r="K10" s="8">
        <v>2582.8989999999999</v>
      </c>
      <c r="L10" s="8">
        <v>5478</v>
      </c>
      <c r="M10" s="8">
        <v>5982</v>
      </c>
      <c r="N10" s="8">
        <v>6328</v>
      </c>
      <c r="O10" s="8" t="str">
        <f ca="1">VLOOKUP(A10,[1]Projection!A:D,4,0)</f>
        <v>OTC</v>
      </c>
      <c r="P10" s="8" t="str">
        <f ca="1">VLOOKUP(A10,[1]Projection!A:E,5,0)</f>
        <v>Karex / NRS</v>
      </c>
      <c r="Q10" s="183" cm="1">
        <f t="array" aca="1" ref="Q10" ca="1">AVERAGE(IF([1]Projection!$A$4:$A$74='Gestao de estoque'!A10,[1]Projection!$BL$4:$BX$74))</f>
        <v>2746.8096153846154</v>
      </c>
      <c r="R10" s="14">
        <f ca="1">VLOOKUP(A10,[1]Projection!A:BA,35,0)</f>
        <v>2871</v>
      </c>
      <c r="S10" s="14">
        <f ca="1">VLOOKUP('Gestao de estoque'!A10,[1]Projection!A:FN,170,0)</f>
        <v>27000</v>
      </c>
      <c r="T10" s="14">
        <f t="shared" ca="1" si="0"/>
        <v>29871</v>
      </c>
      <c r="U10" s="8">
        <f t="shared" ca="1" si="1"/>
        <v>11</v>
      </c>
      <c r="V10" s="8">
        <f ca="1">VLOOKUP(A10,[1]Projection!A:I,9,0)</f>
        <v>266</v>
      </c>
      <c r="W10" s="8">
        <f t="shared" ca="1" si="2"/>
        <v>9</v>
      </c>
      <c r="X10" s="8">
        <v>2</v>
      </c>
      <c r="Y10" s="8">
        <f t="shared" ca="1" si="3"/>
        <v>11</v>
      </c>
      <c r="Z10" s="14">
        <f t="shared" ca="1" si="4"/>
        <v>30215</v>
      </c>
      <c r="AA10" s="184">
        <f t="shared" ca="1" si="5"/>
        <v>344</v>
      </c>
      <c r="AB10" s="26" t="str">
        <f t="shared" ca="1" si="6"/>
        <v>NORMAL</v>
      </c>
      <c r="AC10" s="14">
        <f ca="1">VLOOKUP(A10,[1]Projection!A:V,22,0)</f>
        <v>3000</v>
      </c>
      <c r="AD10" s="185">
        <f t="shared" ca="1" si="7"/>
        <v>0</v>
      </c>
      <c r="AE10" s="28">
        <f ca="1">VLOOKUP(A10,[1]Projection!A:FO,171,0)</f>
        <v>9000</v>
      </c>
      <c r="AF10" s="28">
        <f t="shared" ca="1" si="8"/>
        <v>3</v>
      </c>
      <c r="AG10" s="186">
        <f t="shared" ca="1" si="9"/>
        <v>-3</v>
      </c>
    </row>
    <row r="11" spans="1:33" x14ac:dyDescent="0.25">
      <c r="A11" s="26" t="s">
        <v>38</v>
      </c>
      <c r="B11" s="26" t="s">
        <v>379</v>
      </c>
      <c r="C11" s="8">
        <v>6022</v>
      </c>
      <c r="D11" s="8">
        <v>5239</v>
      </c>
      <c r="E11" s="8">
        <v>5777</v>
      </c>
      <c r="F11" s="8">
        <v>4077</v>
      </c>
      <c r="G11" s="8">
        <v>4455</v>
      </c>
      <c r="H11" s="8">
        <v>1325</v>
      </c>
      <c r="I11" s="8">
        <v>2512</v>
      </c>
      <c r="J11" s="8">
        <v>1371</v>
      </c>
      <c r="K11" s="8">
        <v>4532</v>
      </c>
      <c r="L11" s="8">
        <v>3018</v>
      </c>
      <c r="M11" s="8">
        <v>5982</v>
      </c>
      <c r="N11" s="8">
        <v>6035</v>
      </c>
      <c r="O11" s="8" t="str">
        <f ca="1">VLOOKUP(A11,[1]Projection!A:D,4,0)</f>
        <v>OTC</v>
      </c>
      <c r="P11" s="8" t="str">
        <f ca="1">VLOOKUP(A11,[1]Projection!A:E,5,0)</f>
        <v>Karex / NRS</v>
      </c>
      <c r="Q11" s="183" cm="1">
        <f t="array" aca="1" ref="Q11" ca="1">AVERAGE(IF([1]Projection!$A$4:$A$74='Gestao de estoque'!A11,[1]Projection!$BL$4:$BX$74))</f>
        <v>2596.0769230769229</v>
      </c>
      <c r="R11" s="14">
        <f ca="1">VLOOKUP(A11,[1]Projection!A:BA,35,0)</f>
        <v>10</v>
      </c>
      <c r="S11" s="14">
        <f ca="1">VLOOKUP('Gestao de estoque'!A11,[1]Projection!A:FN,170,0)</f>
        <v>25400</v>
      </c>
      <c r="T11" s="14">
        <f t="shared" ca="1" si="0"/>
        <v>25410</v>
      </c>
      <c r="U11" s="8">
        <f t="shared" ca="1" si="1"/>
        <v>10</v>
      </c>
      <c r="V11" s="8">
        <f ca="1">VLOOKUP(A11,[1]Projection!A:I,9,0)</f>
        <v>266</v>
      </c>
      <c r="W11" s="8">
        <f t="shared" ca="1" si="2"/>
        <v>9</v>
      </c>
      <c r="X11" s="8">
        <v>2</v>
      </c>
      <c r="Y11" s="8">
        <f t="shared" ca="1" si="3"/>
        <v>11</v>
      </c>
      <c r="Z11" s="14">
        <f t="shared" ca="1" si="4"/>
        <v>28557</v>
      </c>
      <c r="AA11" s="184">
        <f t="shared" ca="1" si="5"/>
        <v>3147</v>
      </c>
      <c r="AB11" s="26" t="str">
        <f t="shared" ca="1" si="6"/>
        <v>UNDERSTOCKED</v>
      </c>
      <c r="AC11" s="14">
        <f ca="1">VLOOKUP(A11,[1]Projection!A:V,22,0)</f>
        <v>3000</v>
      </c>
      <c r="AD11" s="185">
        <f t="shared" ca="1" si="7"/>
        <v>1</v>
      </c>
      <c r="AE11" s="28">
        <f ca="1">VLOOKUP(A11,[1]Projection!A:FO,171,0)</f>
        <v>9000</v>
      </c>
      <c r="AF11" s="28">
        <f t="shared" ca="1" si="8"/>
        <v>3</v>
      </c>
      <c r="AG11" s="186">
        <f t="shared" ca="1" si="9"/>
        <v>-2</v>
      </c>
    </row>
    <row r="12" spans="1:33" x14ac:dyDescent="0.25">
      <c r="A12" s="26" t="s">
        <v>58</v>
      </c>
      <c r="B12" s="26" t="s">
        <v>377</v>
      </c>
      <c r="C12" s="8">
        <v>2765</v>
      </c>
      <c r="D12" s="8">
        <v>2879</v>
      </c>
      <c r="E12" s="8">
        <v>3126</v>
      </c>
      <c r="F12" s="8">
        <v>1161</v>
      </c>
      <c r="G12" s="8">
        <v>2172</v>
      </c>
      <c r="H12" s="8">
        <v>809</v>
      </c>
      <c r="I12" s="8">
        <v>818</v>
      </c>
      <c r="J12" s="8">
        <v>827</v>
      </c>
      <c r="K12" s="8">
        <v>2457</v>
      </c>
      <c r="L12" s="8">
        <v>3393</v>
      </c>
      <c r="M12" s="8">
        <v>2734</v>
      </c>
      <c r="N12" s="8">
        <v>3768</v>
      </c>
      <c r="O12" s="8" t="str">
        <f ca="1">VLOOKUP(A12,[1]Projection!A:D,4,0)</f>
        <v>OTC</v>
      </c>
      <c r="P12" s="8" t="str">
        <f ca="1">VLOOKUP(A12,[1]Projection!A:E,5,0)</f>
        <v>Karex / NRS</v>
      </c>
      <c r="Q12" s="183" cm="1">
        <f t="array" aca="1" ref="Q12" ca="1">AVERAGE(IF([1]Projection!$A$4:$A$74='Gestao de estoque'!A12,[1]Projection!$BL$4:$BX$74))</f>
        <v>1275.2307692307693</v>
      </c>
      <c r="R12" s="14">
        <f ca="1">VLOOKUP(A12,[1]Projection!A:BA,35,0)</f>
        <v>0</v>
      </c>
      <c r="S12" s="14">
        <f ca="1">VLOOKUP('Gestao de estoque'!A12,[1]Projection!A:FN,170,0)</f>
        <v>16100</v>
      </c>
      <c r="T12" s="14">
        <f t="shared" ca="1" si="0"/>
        <v>16100</v>
      </c>
      <c r="U12" s="8">
        <f t="shared" ca="1" si="1"/>
        <v>13</v>
      </c>
      <c r="V12" s="8">
        <f ca="1">VLOOKUP(A12,[1]Projection!A:I,9,0)</f>
        <v>266</v>
      </c>
      <c r="W12" s="8">
        <f t="shared" ca="1" si="2"/>
        <v>9</v>
      </c>
      <c r="X12" s="8">
        <v>2</v>
      </c>
      <c r="Y12" s="8">
        <f t="shared" ca="1" si="3"/>
        <v>11</v>
      </c>
      <c r="Z12" s="14">
        <f t="shared" ca="1" si="4"/>
        <v>14028</v>
      </c>
      <c r="AA12" s="184">
        <f t="shared" ca="1" si="5"/>
        <v>-2072</v>
      </c>
      <c r="AB12" s="26" t="str">
        <f t="shared" ca="1" si="6"/>
        <v>NORMAL</v>
      </c>
      <c r="AC12" s="14">
        <f ca="1">VLOOKUP(A12,[1]Projection!A:V,22,0)</f>
        <v>3000</v>
      </c>
      <c r="AD12" s="185">
        <f t="shared" ca="1" si="7"/>
        <v>-1</v>
      </c>
      <c r="AE12" s="28">
        <f ca="1">VLOOKUP(A12,[1]Projection!A:FO,171,0)</f>
        <v>3000</v>
      </c>
      <c r="AF12" s="28">
        <f t="shared" ca="1" si="8"/>
        <v>1</v>
      </c>
      <c r="AG12" s="186">
        <f t="shared" ca="1" si="9"/>
        <v>-2</v>
      </c>
    </row>
    <row r="13" spans="1:33" x14ac:dyDescent="0.25">
      <c r="A13" s="26" t="s">
        <v>52</v>
      </c>
      <c r="B13" s="26" t="s">
        <v>383</v>
      </c>
      <c r="C13" s="8">
        <v>3328</v>
      </c>
      <c r="D13" s="8">
        <v>3856</v>
      </c>
      <c r="E13" s="8">
        <v>3672</v>
      </c>
      <c r="F13" s="8">
        <v>3036</v>
      </c>
      <c r="G13" s="8">
        <v>3293.5749999999998</v>
      </c>
      <c r="H13" s="8">
        <v>1758.6369999999999</v>
      </c>
      <c r="I13" s="8">
        <v>1220.8810000000001</v>
      </c>
      <c r="J13" s="8">
        <v>1424.1790000000001</v>
      </c>
      <c r="K13" s="8">
        <v>1712.452</v>
      </c>
      <c r="L13" s="8">
        <v>4642.5460000000003</v>
      </c>
      <c r="M13" s="8">
        <v>1915</v>
      </c>
      <c r="N13" s="8">
        <v>6332</v>
      </c>
      <c r="O13" s="8" t="str">
        <f ca="1">VLOOKUP(A13,[1]Projection!A:D,4,0)</f>
        <v>OTC</v>
      </c>
      <c r="P13" s="8" t="str">
        <f ca="1">VLOOKUP(A13,[1]Projection!A:E,5,0)</f>
        <v>Karex / NRS</v>
      </c>
      <c r="Q13" s="183" cm="1">
        <f t="array" aca="1" ref="Q13" ca="1">AVERAGE(IF([1]Projection!$A$4:$A$74='Gestao de estoque'!A13,[1]Projection!$BL$4:$BX$74))</f>
        <v>1752.0534615384615</v>
      </c>
      <c r="R13" s="14">
        <f ca="1">VLOOKUP(A13,[1]Projection!A:BA,35,0)</f>
        <v>2467</v>
      </c>
      <c r="S13" s="14">
        <f ca="1">VLOOKUP('Gestao de estoque'!A13,[1]Projection!A:FN,170,0)</f>
        <v>18000</v>
      </c>
      <c r="T13" s="14">
        <f t="shared" ca="1" si="0"/>
        <v>20467</v>
      </c>
      <c r="U13" s="8">
        <f t="shared" ca="1" si="1"/>
        <v>12</v>
      </c>
      <c r="V13" s="8">
        <f ca="1">VLOOKUP(A13,[1]Projection!A:I,9,0)</f>
        <v>266</v>
      </c>
      <c r="W13" s="8">
        <f t="shared" ca="1" si="2"/>
        <v>9</v>
      </c>
      <c r="X13" s="8">
        <v>3</v>
      </c>
      <c r="Y13" s="8">
        <f t="shared" ca="1" si="3"/>
        <v>12</v>
      </c>
      <c r="Z13" s="14">
        <f t="shared" ca="1" si="4"/>
        <v>21025</v>
      </c>
      <c r="AA13" s="184">
        <f t="shared" ca="1" si="5"/>
        <v>558</v>
      </c>
      <c r="AB13" s="26" t="str">
        <f t="shared" ca="1" si="6"/>
        <v>NORMAL</v>
      </c>
      <c r="AC13" s="14">
        <f ca="1">VLOOKUP(A13,[1]Projection!A:V,22,0)</f>
        <v>3000</v>
      </c>
      <c r="AD13" s="185">
        <f t="shared" ca="1" si="7"/>
        <v>0</v>
      </c>
      <c r="AE13" s="28">
        <f ca="1">VLOOKUP(A13,[1]Projection!A:FO,171,0)</f>
        <v>6000</v>
      </c>
      <c r="AF13" s="28">
        <f t="shared" ca="1" si="8"/>
        <v>2</v>
      </c>
      <c r="AG13" s="186">
        <f t="shared" ca="1" si="9"/>
        <v>-2</v>
      </c>
    </row>
    <row r="14" spans="1:33" x14ac:dyDescent="0.25">
      <c r="A14" s="26" t="s">
        <v>71</v>
      </c>
      <c r="B14" s="26" t="s">
        <v>385</v>
      </c>
      <c r="C14" s="8">
        <v>804</v>
      </c>
      <c r="D14" s="8">
        <v>2927</v>
      </c>
      <c r="E14" s="8">
        <v>2552</v>
      </c>
      <c r="F14" s="8">
        <v>967</v>
      </c>
      <c r="G14" s="8">
        <v>1157.1500000000001</v>
      </c>
      <c r="H14" s="8">
        <v>700.61300000000006</v>
      </c>
      <c r="I14" s="8">
        <v>590.22</v>
      </c>
      <c r="J14" s="8">
        <v>670.00900000000001</v>
      </c>
      <c r="K14" s="8">
        <v>2624.2619999999997</v>
      </c>
      <c r="L14" s="8">
        <v>2926.7730000000001</v>
      </c>
      <c r="M14" s="8">
        <v>644</v>
      </c>
      <c r="N14" s="8">
        <v>673</v>
      </c>
      <c r="O14" s="8" t="str">
        <f ca="1">VLOOKUP(A14,[1]Projection!A:D,4,0)</f>
        <v>OTC</v>
      </c>
      <c r="P14" s="8" t="str">
        <f ca="1">VLOOKUP(A14,[1]Projection!A:E,5,0)</f>
        <v>Karex / NRS</v>
      </c>
      <c r="Q14" s="183" cm="1">
        <f t="array" aca="1" ref="Q14" ca="1">AVERAGE(IF([1]Projection!$A$4:$A$74='Gestao de estoque'!A14,[1]Projection!$BL$4:$BX$74))</f>
        <v>683.06746153846154</v>
      </c>
      <c r="R14" s="14">
        <f ca="1">VLOOKUP(A14,[1]Projection!A:BA,35,0)</f>
        <v>4</v>
      </c>
      <c r="S14" s="14">
        <f ca="1">VLOOKUP('Gestao de estoque'!A14,[1]Projection!A:FN,170,0)</f>
        <v>6000</v>
      </c>
      <c r="T14" s="14">
        <f t="shared" ca="1" si="0"/>
        <v>6004</v>
      </c>
      <c r="U14" s="8">
        <f t="shared" ca="1" si="1"/>
        <v>9</v>
      </c>
      <c r="V14" s="8">
        <f ca="1">VLOOKUP(A14,[1]Projection!A:I,9,0)</f>
        <v>266</v>
      </c>
      <c r="W14" s="8">
        <f t="shared" ca="1" si="2"/>
        <v>9</v>
      </c>
      <c r="X14" s="8">
        <v>3</v>
      </c>
      <c r="Y14" s="8">
        <f t="shared" ca="1" si="3"/>
        <v>12</v>
      </c>
      <c r="Z14" s="14">
        <f t="shared" ca="1" si="4"/>
        <v>8197</v>
      </c>
      <c r="AA14" s="184">
        <f t="shared" ca="1" si="5"/>
        <v>2193</v>
      </c>
      <c r="AB14" s="26" t="str">
        <f t="shared" ca="1" si="6"/>
        <v>UNDERSTOCKED</v>
      </c>
      <c r="AC14" s="14">
        <f ca="1">VLOOKUP(A14,[1]Projection!A:V,22,0)</f>
        <v>3000</v>
      </c>
      <c r="AD14" s="185">
        <f t="shared" ca="1" si="7"/>
        <v>1</v>
      </c>
      <c r="AE14" s="28">
        <f ca="1">VLOOKUP(A14,[1]Projection!A:FO,171,0)</f>
        <v>3000</v>
      </c>
      <c r="AF14" s="28">
        <f t="shared" ca="1" si="8"/>
        <v>1</v>
      </c>
      <c r="AG14" s="186">
        <f t="shared" ca="1" si="9"/>
        <v>0</v>
      </c>
    </row>
    <row r="15" spans="1:33" x14ac:dyDescent="0.25">
      <c r="A15" s="26" t="s">
        <v>75</v>
      </c>
      <c r="B15" s="26" t="s">
        <v>397</v>
      </c>
      <c r="C15" s="8">
        <v>842</v>
      </c>
      <c r="D15" s="8">
        <v>812</v>
      </c>
      <c r="E15" s="8">
        <v>760</v>
      </c>
      <c r="F15" s="8">
        <v>228</v>
      </c>
      <c r="G15" s="8">
        <v>638.69100000000003</v>
      </c>
      <c r="H15" s="8">
        <v>388.01499999999999</v>
      </c>
      <c r="I15" s="8">
        <v>322.435</v>
      </c>
      <c r="J15" s="8">
        <v>384.73599999999999</v>
      </c>
      <c r="K15" s="8">
        <v>422.99099999999999</v>
      </c>
      <c r="L15" s="8">
        <v>535.57000000000005</v>
      </c>
      <c r="M15" s="8">
        <v>322</v>
      </c>
      <c r="N15" s="8">
        <v>385</v>
      </c>
      <c r="O15" s="8" t="str">
        <f ca="1">VLOOKUP(A15,[1]Projection!A:D,4,0)</f>
        <v>OTC</v>
      </c>
      <c r="P15" s="8" t="str">
        <f ca="1">VLOOKUP(A15,[1]Projection!A:E,5,0)</f>
        <v>Karex / NRS</v>
      </c>
      <c r="Q15" s="183" cm="1">
        <f t="array" aca="1" ref="Q15" ca="1">AVERAGE(IF([1]Projection!$A$4:$A$74='Gestao de estoque'!A15,[1]Projection!$BL$4:$BX$74))</f>
        <v>371.74976923076923</v>
      </c>
      <c r="R15" s="14">
        <f ca="1">VLOOKUP(A15,[1]Projection!A:BA,35,0)</f>
        <v>2858</v>
      </c>
      <c r="S15" s="14">
        <f ca="1">VLOOKUP('Gestao de estoque'!A15,[1]Projection!A:FN,170,0)</f>
        <v>3000</v>
      </c>
      <c r="T15" s="14">
        <f t="shared" ca="1" si="0"/>
        <v>5858</v>
      </c>
      <c r="U15" s="8">
        <f t="shared" ca="1" si="1"/>
        <v>16</v>
      </c>
      <c r="V15" s="8">
        <f ca="1">VLOOKUP(A15,[1]Projection!A:I,9,0)</f>
        <v>266</v>
      </c>
      <c r="W15" s="8">
        <f t="shared" ca="1" si="2"/>
        <v>9</v>
      </c>
      <c r="X15" s="8">
        <v>2</v>
      </c>
      <c r="Y15" s="8">
        <f t="shared" ca="1" si="3"/>
        <v>11</v>
      </c>
      <c r="Z15" s="14">
        <f t="shared" ca="1" si="4"/>
        <v>4089</v>
      </c>
      <c r="AA15" s="184">
        <f t="shared" ca="1" si="5"/>
        <v>-1769</v>
      </c>
      <c r="AB15" s="26" t="str">
        <f t="shared" ca="1" si="6"/>
        <v>NORMAL</v>
      </c>
      <c r="AC15" s="14">
        <f ca="1">VLOOKUP(A15,[1]Projection!A:V,22,0)</f>
        <v>3000</v>
      </c>
      <c r="AD15" s="185">
        <f t="shared" ca="1" si="7"/>
        <v>-1</v>
      </c>
      <c r="AE15" s="28">
        <f ca="1">VLOOKUP(A15,[1]Projection!A:FO,171,0)</f>
        <v>0</v>
      </c>
      <c r="AF15" s="28">
        <f t="shared" ca="1" si="8"/>
        <v>0</v>
      </c>
      <c r="AG15" s="186">
        <f t="shared" ca="1" si="9"/>
        <v>-1</v>
      </c>
    </row>
    <row r="16" spans="1:33" x14ac:dyDescent="0.25">
      <c r="A16" s="26" t="s">
        <v>67</v>
      </c>
      <c r="B16" s="26" t="s">
        <v>393</v>
      </c>
      <c r="C16" s="8">
        <v>2820</v>
      </c>
      <c r="D16" s="8">
        <v>2748</v>
      </c>
      <c r="E16" s="8">
        <v>2281</v>
      </c>
      <c r="F16" s="8">
        <v>1412</v>
      </c>
      <c r="G16" s="8">
        <v>1608.08</v>
      </c>
      <c r="H16" s="8">
        <v>878.77200000000005</v>
      </c>
      <c r="I16" s="8">
        <v>651.428</v>
      </c>
      <c r="J16" s="8">
        <v>858.005</v>
      </c>
      <c r="K16" s="8">
        <v>1966.028</v>
      </c>
      <c r="L16" s="8">
        <v>807</v>
      </c>
      <c r="M16" s="8">
        <v>654</v>
      </c>
      <c r="N16" s="8">
        <v>875</v>
      </c>
      <c r="O16" s="8" t="str">
        <f ca="1">VLOOKUP(A16,[1]Projection!A:D,4,0)</f>
        <v>OTC</v>
      </c>
      <c r="P16" s="8" t="str">
        <f ca="1">VLOOKUP(A16,[1]Projection!A:E,5,0)</f>
        <v>Karex / NRS</v>
      </c>
      <c r="Q16" s="183" cm="1">
        <f t="array" aca="1" ref="Q16" ca="1">AVERAGE(IF([1]Projection!$A$4:$A$74='Gestao de estoque'!A16,[1]Projection!$BL$4:$BX$74))</f>
        <v>863.1717692307692</v>
      </c>
      <c r="R16" s="14">
        <f ca="1">VLOOKUP(A16,[1]Projection!A:BA,35,0)</f>
        <v>0</v>
      </c>
      <c r="S16" s="14">
        <f ca="1">VLOOKUP('Gestao de estoque'!A16,[1]Projection!A:FN,170,0)</f>
        <v>9000</v>
      </c>
      <c r="T16" s="14">
        <f t="shared" ca="1" si="0"/>
        <v>9000</v>
      </c>
      <c r="U16" s="8">
        <f t="shared" ca="1" si="1"/>
        <v>10</v>
      </c>
      <c r="V16" s="8">
        <f ca="1">VLOOKUP(A16,[1]Projection!A:I,9,0)</f>
        <v>266</v>
      </c>
      <c r="W16" s="8">
        <f t="shared" ca="1" si="2"/>
        <v>9</v>
      </c>
      <c r="X16" s="8">
        <v>2</v>
      </c>
      <c r="Y16" s="8">
        <f t="shared" ca="1" si="3"/>
        <v>11</v>
      </c>
      <c r="Z16" s="14">
        <f t="shared" ca="1" si="4"/>
        <v>9495</v>
      </c>
      <c r="AA16" s="184">
        <f t="shared" ca="1" si="5"/>
        <v>495</v>
      </c>
      <c r="AB16" s="26" t="str">
        <f t="shared" ca="1" si="6"/>
        <v>UNDERSTOCKED</v>
      </c>
      <c r="AC16" s="14">
        <f ca="1">VLOOKUP(A16,[1]Projection!A:V,22,0)</f>
        <v>3000</v>
      </c>
      <c r="AD16" s="185">
        <f t="shared" ca="1" si="7"/>
        <v>0</v>
      </c>
      <c r="AE16" s="28">
        <f ca="1">VLOOKUP(A16,[1]Projection!A:FO,171,0)</f>
        <v>3000</v>
      </c>
      <c r="AF16" s="28">
        <f t="shared" ca="1" si="8"/>
        <v>1</v>
      </c>
      <c r="AG16" s="186">
        <f t="shared" ca="1" si="9"/>
        <v>-1</v>
      </c>
    </row>
    <row r="17" spans="1:33" x14ac:dyDescent="0.25">
      <c r="A17" s="26" t="s">
        <v>70</v>
      </c>
      <c r="B17" s="26" t="s">
        <v>399</v>
      </c>
      <c r="C17" s="8">
        <v>1545</v>
      </c>
      <c r="D17" s="8">
        <v>1685</v>
      </c>
      <c r="E17" s="8">
        <v>2152.8000000000002</v>
      </c>
      <c r="F17" s="8">
        <v>866.2</v>
      </c>
      <c r="G17" s="8">
        <v>1363</v>
      </c>
      <c r="H17" s="8">
        <v>1801</v>
      </c>
      <c r="I17" s="8">
        <v>2021</v>
      </c>
      <c r="J17" s="8">
        <v>740</v>
      </c>
      <c r="K17" s="8">
        <v>1149</v>
      </c>
      <c r="L17" s="8">
        <v>1150</v>
      </c>
      <c r="M17" s="8">
        <v>3600</v>
      </c>
      <c r="N17" s="8">
        <v>2408</v>
      </c>
      <c r="O17" s="8" t="str">
        <f ca="1">VLOOKUP(A17,[1]Projection!A:D,4,0)</f>
        <v>OTC</v>
      </c>
      <c r="P17" s="8" t="str">
        <f ca="1">VLOOKUP(A17,[1]Projection!A:E,5,0)</f>
        <v>Karex / NRS</v>
      </c>
      <c r="Q17" s="183" cm="1">
        <f t="array" aca="1" ref="Q17" ca="1">AVERAGE(IF([1]Projection!$A$4:$A$74='Gestao de estoque'!A17,[1]Projection!$BL$4:$BX$74))</f>
        <v>893.38461538461536</v>
      </c>
      <c r="R17" s="14">
        <f ca="1">VLOOKUP(A17,[1]Projection!A:BA,35,0)</f>
        <v>3350</v>
      </c>
      <c r="S17" s="14">
        <f ca="1">VLOOKUP('Gestao de estoque'!A17,[1]Projection!A:FN,170,0)</f>
        <v>10560</v>
      </c>
      <c r="T17" s="14">
        <f t="shared" ca="1" si="0"/>
        <v>13910</v>
      </c>
      <c r="U17" s="8">
        <f t="shared" ca="1" si="1"/>
        <v>16</v>
      </c>
      <c r="V17" s="8">
        <f ca="1">VLOOKUP(A17,[1]Projection!A:I,9,0)</f>
        <v>266</v>
      </c>
      <c r="W17" s="8">
        <f t="shared" ca="1" si="2"/>
        <v>9</v>
      </c>
      <c r="X17" s="8">
        <v>2</v>
      </c>
      <c r="Y17" s="8">
        <f t="shared" ca="1" si="3"/>
        <v>11</v>
      </c>
      <c r="Z17" s="14">
        <f t="shared" ca="1" si="4"/>
        <v>9827</v>
      </c>
      <c r="AA17" s="184">
        <f t="shared" ca="1" si="5"/>
        <v>-4083</v>
      </c>
      <c r="AB17" s="26" t="str">
        <f t="shared" ca="1" si="6"/>
        <v>NORMAL</v>
      </c>
      <c r="AC17" s="14">
        <f ca="1">VLOOKUP(A17,[1]Projection!A:V,22,0)</f>
        <v>2640</v>
      </c>
      <c r="AD17" s="185">
        <f t="shared" ca="1" si="7"/>
        <v>-2</v>
      </c>
      <c r="AE17" s="28">
        <f ca="1">VLOOKUP(A17,[1]Projection!A:FO,171,0)</f>
        <v>0</v>
      </c>
      <c r="AF17" s="28">
        <f t="shared" ca="1" si="8"/>
        <v>0</v>
      </c>
      <c r="AG17" s="186">
        <f t="shared" ca="1" si="9"/>
        <v>-2</v>
      </c>
    </row>
    <row r="18" spans="1:33" x14ac:dyDescent="0.25">
      <c r="A18" s="26" t="s">
        <v>68</v>
      </c>
      <c r="B18" s="26" t="s">
        <v>410</v>
      </c>
      <c r="C18" s="8">
        <v>1134</v>
      </c>
      <c r="D18" s="8">
        <v>1412</v>
      </c>
      <c r="E18" s="8">
        <v>1781</v>
      </c>
      <c r="F18" s="8">
        <v>1210</v>
      </c>
      <c r="G18" s="8">
        <v>1099.6869999999999</v>
      </c>
      <c r="H18" s="8">
        <v>615.35900000000004</v>
      </c>
      <c r="I18" s="8">
        <v>531.19799999999998</v>
      </c>
      <c r="J18" s="8">
        <v>562.89499999999998</v>
      </c>
      <c r="K18" s="8">
        <v>713.54300000000001</v>
      </c>
      <c r="L18" s="8">
        <v>819.75</v>
      </c>
      <c r="M18" s="8">
        <v>513</v>
      </c>
      <c r="N18" s="8">
        <v>2585</v>
      </c>
      <c r="O18" s="8" t="str">
        <f ca="1">VLOOKUP(A18,[1]Projection!A:D,4,0)</f>
        <v>OTC</v>
      </c>
      <c r="P18" s="8" t="str">
        <f ca="1">VLOOKUP(A18,[1]Projection!A:E,5,0)</f>
        <v>Karex / NRS</v>
      </c>
      <c r="Q18" s="183" cm="1">
        <f t="array" aca="1" ref="Q18" ca="1">AVERAGE(IF([1]Projection!$A$4:$A$74='Gestao de estoque'!A18,[1]Projection!$BL$4:$BX$74))</f>
        <v>605.05730769230763</v>
      </c>
      <c r="R18" s="14">
        <f ca="1">VLOOKUP(A18,[1]Projection!A:BA,35,0)</f>
        <v>56</v>
      </c>
      <c r="S18" s="14">
        <f ca="1">VLOOKUP('Gestao de estoque'!A18,[1]Projection!A:FN,170,0)</f>
        <v>6000</v>
      </c>
      <c r="T18" s="14">
        <f t="shared" ca="1" si="0"/>
        <v>6056</v>
      </c>
      <c r="U18" s="8">
        <f t="shared" ca="1" si="1"/>
        <v>10</v>
      </c>
      <c r="V18" s="8">
        <f ca="1">VLOOKUP(A18,[1]Projection!A:I,9,0)</f>
        <v>266</v>
      </c>
      <c r="W18" s="8">
        <f t="shared" ca="1" si="2"/>
        <v>9</v>
      </c>
      <c r="X18" s="8">
        <v>3</v>
      </c>
      <c r="Y18" s="8">
        <f t="shared" ca="1" si="3"/>
        <v>12</v>
      </c>
      <c r="Z18" s="14">
        <f t="shared" ca="1" si="4"/>
        <v>7261</v>
      </c>
      <c r="AA18" s="184">
        <f t="shared" ca="1" si="5"/>
        <v>1205</v>
      </c>
      <c r="AB18" s="26" t="str">
        <f t="shared" ca="1" si="6"/>
        <v>UNDERSTOCKED</v>
      </c>
      <c r="AC18" s="14">
        <f ca="1">VLOOKUP(A18,[1]Projection!A:V,22,0)</f>
        <v>3000</v>
      </c>
      <c r="AD18" s="185">
        <f t="shared" ca="1" si="7"/>
        <v>0</v>
      </c>
      <c r="AE18" s="28">
        <f ca="1">VLOOKUP(A18,[1]Projection!A:FO,171,0)</f>
        <v>3000</v>
      </c>
      <c r="AF18" s="28">
        <f t="shared" ca="1" si="8"/>
        <v>1</v>
      </c>
      <c r="AG18" s="186">
        <f t="shared" ca="1" si="9"/>
        <v>-1</v>
      </c>
    </row>
    <row r="19" spans="1:33" x14ac:dyDescent="0.25">
      <c r="A19" s="26" t="s">
        <v>76</v>
      </c>
      <c r="B19" s="26" t="s">
        <v>408</v>
      </c>
      <c r="C19" s="8">
        <v>1443</v>
      </c>
      <c r="D19" s="8">
        <v>1149</v>
      </c>
      <c r="E19" s="8">
        <v>1634</v>
      </c>
      <c r="F19" s="8">
        <v>974</v>
      </c>
      <c r="G19" s="8">
        <v>886</v>
      </c>
      <c r="H19" s="8">
        <v>594</v>
      </c>
      <c r="I19" s="8">
        <v>478</v>
      </c>
      <c r="J19" s="8">
        <v>174</v>
      </c>
      <c r="K19" s="8">
        <v>1696</v>
      </c>
      <c r="L19" s="8">
        <v>1869</v>
      </c>
      <c r="M19" s="8">
        <v>1790</v>
      </c>
      <c r="N19" s="8">
        <v>1559</v>
      </c>
      <c r="O19" s="8" t="str">
        <f ca="1">VLOOKUP(A19,[1]Projection!A:D,4,0)</f>
        <v>OTC</v>
      </c>
      <c r="P19" s="8" t="str">
        <f ca="1">VLOOKUP(A19,[1]Projection!A:E,5,0)</f>
        <v>Karex / NRS</v>
      </c>
      <c r="Q19" s="183" cm="1">
        <f t="array" aca="1" ref="Q19" ca="1">AVERAGE(IF([1]Projection!$A$4:$A$74='Gestao de estoque'!A19,[1]Projection!$BL$4:$BX$74))</f>
        <v>530.92307692307691</v>
      </c>
      <c r="R19" s="14">
        <f ca="1">VLOOKUP(A19,[1]Projection!A:BA,35,0)</f>
        <v>944</v>
      </c>
      <c r="S19" s="14">
        <f ca="1">VLOOKUP('Gestao de estoque'!A19,[1]Projection!A:FN,170,0)</f>
        <v>3000</v>
      </c>
      <c r="T19" s="14">
        <f t="shared" ca="1" si="0"/>
        <v>3944</v>
      </c>
      <c r="U19" s="8">
        <f t="shared" ca="1" si="1"/>
        <v>7</v>
      </c>
      <c r="V19" s="8">
        <f ca="1">VLOOKUP(A19,[1]Projection!A:I,9,0)</f>
        <v>266</v>
      </c>
      <c r="W19" s="8">
        <f t="shared" ca="1" si="2"/>
        <v>9</v>
      </c>
      <c r="X19" s="8">
        <v>3</v>
      </c>
      <c r="Y19" s="8">
        <f t="shared" ca="1" si="3"/>
        <v>12</v>
      </c>
      <c r="Z19" s="14">
        <f t="shared" ca="1" si="4"/>
        <v>6371</v>
      </c>
      <c r="AA19" s="184">
        <f t="shared" ca="1" si="5"/>
        <v>2427</v>
      </c>
      <c r="AB19" s="26" t="str">
        <f t="shared" ca="1" si="6"/>
        <v>UNDERSTOCKED</v>
      </c>
      <c r="AC19" s="14">
        <f ca="1">VLOOKUP(A19,[1]Projection!A:V,22,0)</f>
        <v>3000</v>
      </c>
      <c r="AD19" s="185">
        <f t="shared" ca="1" si="7"/>
        <v>1</v>
      </c>
      <c r="AE19" s="28">
        <f ca="1">VLOOKUP(A19,[1]Projection!A:FO,171,0)</f>
        <v>3000</v>
      </c>
      <c r="AF19" s="28">
        <f t="shared" ca="1" si="8"/>
        <v>1</v>
      </c>
      <c r="AG19" s="186">
        <f t="shared" ca="1" si="9"/>
        <v>0</v>
      </c>
    </row>
    <row r="20" spans="1:33" x14ac:dyDescent="0.25">
      <c r="A20" s="26" t="s">
        <v>44</v>
      </c>
      <c r="B20" s="26" t="s">
        <v>347</v>
      </c>
      <c r="C20" s="8">
        <v>3926</v>
      </c>
      <c r="D20" s="8">
        <v>4031</v>
      </c>
      <c r="E20" s="8">
        <v>5011</v>
      </c>
      <c r="F20" s="8">
        <v>2314</v>
      </c>
      <c r="G20" s="8">
        <v>3431.5699999999997</v>
      </c>
      <c r="H20" s="8">
        <v>1920.4010000000001</v>
      </c>
      <c r="I20" s="8">
        <v>1595.78</v>
      </c>
      <c r="J20" s="8">
        <v>1737.87</v>
      </c>
      <c r="K20" s="8">
        <v>3990.0050000000001</v>
      </c>
      <c r="L20" s="8">
        <v>1922.7739999999999</v>
      </c>
      <c r="M20" s="8">
        <v>5696</v>
      </c>
      <c r="N20" s="8">
        <v>4015</v>
      </c>
      <c r="O20" s="8" t="str">
        <f ca="1">VLOOKUP(A20,[1]Projection!A:D,4,0)</f>
        <v>OTC</v>
      </c>
      <c r="P20" s="8" t="str">
        <f ca="1">VLOOKUP(A20,[1]Projection!A:E,5,0)</f>
        <v>Karex / NRS</v>
      </c>
      <c r="Q20" s="183" cm="1">
        <f t="array" aca="1" ref="Q20" ca="1">AVERAGE(IF([1]Projection!$A$4:$A$74='Gestao de estoque'!A20,[1]Projection!$BL$4:$BX$74))</f>
        <v>1798.6023076923079</v>
      </c>
      <c r="R20" s="14">
        <f ca="1">VLOOKUP(A20,[1]Projection!A:BA,35,0)</f>
        <v>5915</v>
      </c>
      <c r="S20" s="14">
        <f ca="1">VLOOKUP('Gestao de estoque'!A20,[1]Projection!A:FN,170,0)</f>
        <v>12600</v>
      </c>
      <c r="T20" s="14">
        <f t="shared" ca="1" si="0"/>
        <v>18515</v>
      </c>
      <c r="U20" s="8">
        <f t="shared" ca="1" si="1"/>
        <v>10</v>
      </c>
      <c r="V20" s="8">
        <f ca="1">VLOOKUP(A20,[1]Projection!A:I,9,0)</f>
        <v>266</v>
      </c>
      <c r="W20" s="8">
        <f t="shared" ca="1" si="2"/>
        <v>9</v>
      </c>
      <c r="X20" s="8">
        <v>2</v>
      </c>
      <c r="Y20" s="8">
        <f t="shared" ca="1" si="3"/>
        <v>11</v>
      </c>
      <c r="Z20" s="14">
        <f t="shared" ca="1" si="4"/>
        <v>19785</v>
      </c>
      <c r="AA20" s="184">
        <f t="shared" ca="1" si="5"/>
        <v>1270</v>
      </c>
      <c r="AB20" s="26" t="str">
        <f t="shared" ca="1" si="6"/>
        <v>UNDERSTOCKED</v>
      </c>
      <c r="AC20" s="14">
        <f ca="1">VLOOKUP(A20,[1]Projection!A:V,22,0)</f>
        <v>2100</v>
      </c>
      <c r="AD20" s="185">
        <f t="shared" ca="1" si="7"/>
        <v>1</v>
      </c>
      <c r="AE20" s="28">
        <f ca="1">VLOOKUP(A20,[1]Projection!A:FO,171,0)</f>
        <v>6300</v>
      </c>
      <c r="AF20" s="28">
        <f t="shared" ca="1" si="8"/>
        <v>3</v>
      </c>
      <c r="AG20" s="186">
        <f t="shared" ca="1" si="9"/>
        <v>-2</v>
      </c>
    </row>
    <row r="21" spans="1:33" x14ac:dyDescent="0.25">
      <c r="A21" s="26" t="s">
        <v>69</v>
      </c>
      <c r="B21" s="26" t="s">
        <v>395</v>
      </c>
      <c r="C21" s="8">
        <v>1731</v>
      </c>
      <c r="D21" s="8">
        <v>1348</v>
      </c>
      <c r="E21" s="8">
        <v>1328</v>
      </c>
      <c r="F21" s="8">
        <v>1114</v>
      </c>
      <c r="G21" s="8">
        <v>1286.546</v>
      </c>
      <c r="H21" s="8">
        <v>651.428</v>
      </c>
      <c r="I21" s="8">
        <v>553.05799999999999</v>
      </c>
      <c r="J21" s="8">
        <v>647.05600000000004</v>
      </c>
      <c r="K21" s="8">
        <v>651.428</v>
      </c>
      <c r="L21" s="8">
        <v>686.404</v>
      </c>
      <c r="M21" s="8">
        <v>553</v>
      </c>
      <c r="N21" s="8">
        <v>647</v>
      </c>
      <c r="O21" s="8" t="str">
        <f ca="1">VLOOKUP(A21,[1]Projection!A:D,4,0)</f>
        <v>OTC</v>
      </c>
      <c r="P21" s="8" t="str">
        <f ca="1">VLOOKUP(A21,[1]Projection!A:E,5,0)</f>
        <v>Karex / NRS</v>
      </c>
      <c r="Q21" s="183" cm="1">
        <f t="array" aca="1" ref="Q21" ca="1">AVERAGE(IF([1]Projection!$A$4:$A$74='Gestao de estoque'!A21,[1]Projection!$BL$4:$BX$74))</f>
        <v>663.10569230769227</v>
      </c>
      <c r="R21" s="14">
        <f ca="1">VLOOKUP(A21,[1]Projection!A:BA,35,0)</f>
        <v>5366</v>
      </c>
      <c r="S21" s="14">
        <f ca="1">VLOOKUP('Gestao de estoque'!A21,[1]Projection!A:FN,170,0)</f>
        <v>2100</v>
      </c>
      <c r="T21" s="14">
        <f t="shared" ca="1" si="0"/>
        <v>7466</v>
      </c>
      <c r="U21" s="8">
        <f t="shared" ca="1" si="1"/>
        <v>11</v>
      </c>
      <c r="V21" s="8">
        <f ca="1">VLOOKUP(A21,[1]Projection!A:I,9,0)</f>
        <v>266</v>
      </c>
      <c r="W21" s="8">
        <f t="shared" ca="1" si="2"/>
        <v>9</v>
      </c>
      <c r="X21" s="8">
        <v>2</v>
      </c>
      <c r="Y21" s="8">
        <f t="shared" ca="1" si="3"/>
        <v>11</v>
      </c>
      <c r="Z21" s="14">
        <f t="shared" ca="1" si="4"/>
        <v>7294</v>
      </c>
      <c r="AA21" s="184">
        <f t="shared" ca="1" si="5"/>
        <v>-172</v>
      </c>
      <c r="AB21" s="26" t="str">
        <f t="shared" ca="1" si="6"/>
        <v>NORMAL</v>
      </c>
      <c r="AC21" s="14">
        <f ca="1">VLOOKUP(A21,[1]Projection!A:V,22,0)</f>
        <v>2100</v>
      </c>
      <c r="AD21" s="185">
        <f t="shared" ca="1" si="7"/>
        <v>0</v>
      </c>
      <c r="AE21" s="28">
        <f ca="1">VLOOKUP(A21,[1]Projection!A:FO,171,0)</f>
        <v>2100</v>
      </c>
      <c r="AF21" s="28">
        <f t="shared" ca="1" si="8"/>
        <v>1</v>
      </c>
      <c r="AG21" s="186">
        <f t="shared" ca="1" si="9"/>
        <v>-1</v>
      </c>
    </row>
    <row r="22" spans="1:33" x14ac:dyDescent="0.25">
      <c r="A22" s="26" t="s">
        <v>46</v>
      </c>
      <c r="B22" s="26" t="s">
        <v>373</v>
      </c>
      <c r="C22" s="8">
        <v>3293</v>
      </c>
      <c r="D22" s="8">
        <v>4261</v>
      </c>
      <c r="E22" s="8">
        <v>5099</v>
      </c>
      <c r="F22" s="8">
        <v>2823</v>
      </c>
      <c r="G22" s="8">
        <v>3615.0550000000003</v>
      </c>
      <c r="H22" s="8">
        <v>1918.2149999999999</v>
      </c>
      <c r="I22" s="8">
        <v>1771.7529999999999</v>
      </c>
      <c r="J22" s="8">
        <v>1769.567</v>
      </c>
      <c r="K22" s="8">
        <v>2296.5129999999999</v>
      </c>
      <c r="L22" s="8">
        <v>1927.8430000000001</v>
      </c>
      <c r="M22" s="8">
        <v>1780</v>
      </c>
      <c r="N22" s="8">
        <v>7142</v>
      </c>
      <c r="O22" s="8" t="str">
        <f ca="1">VLOOKUP(A22,[1]Projection!A:D,4,0)</f>
        <v>OTC</v>
      </c>
      <c r="P22" s="8" t="str">
        <f ca="1">VLOOKUP(A22,[1]Projection!A:E,5,0)</f>
        <v>Karex / NRS</v>
      </c>
      <c r="Q22" s="183" cm="1">
        <f t="array" aca="1" ref="Q22" ca="1">AVERAGE(IF([1]Projection!$A$4:$A$74='Gestao de estoque'!A22,[1]Projection!$BL$4:$BX$74))</f>
        <v>1882.4531538461538</v>
      </c>
      <c r="R22" s="14">
        <f ca="1">VLOOKUP(A22,[1]Projection!A:BA,35,0)</f>
        <v>8426</v>
      </c>
      <c r="S22" s="14">
        <f ca="1">VLOOKUP('Gestao de estoque'!A22,[1]Projection!A:FN,170,0)</f>
        <v>15000</v>
      </c>
      <c r="T22" s="14">
        <f t="shared" ca="1" si="0"/>
        <v>23426</v>
      </c>
      <c r="U22" s="8">
        <f t="shared" ca="1" si="1"/>
        <v>12</v>
      </c>
      <c r="V22" s="8">
        <f ca="1">VLOOKUP(A22,[1]Projection!A:I,9,0)</f>
        <v>266</v>
      </c>
      <c r="W22" s="8">
        <f t="shared" ca="1" si="2"/>
        <v>9</v>
      </c>
      <c r="X22" s="8">
        <v>3</v>
      </c>
      <c r="Y22" s="8">
        <f t="shared" ca="1" si="3"/>
        <v>12</v>
      </c>
      <c r="Z22" s="14">
        <f t="shared" ca="1" si="4"/>
        <v>22589</v>
      </c>
      <c r="AA22" s="184">
        <f t="shared" ca="1" si="5"/>
        <v>-837</v>
      </c>
      <c r="AB22" s="26" t="str">
        <f t="shared" ca="1" si="6"/>
        <v>NORMAL</v>
      </c>
      <c r="AC22" s="14">
        <f ca="1">VLOOKUP(A22,[1]Projection!A:V,22,0)</f>
        <v>3000</v>
      </c>
      <c r="AD22" s="185">
        <f t="shared" ca="1" si="7"/>
        <v>0</v>
      </c>
      <c r="AE22" s="28">
        <f ca="1">VLOOKUP(A22,[1]Projection!A:FO,171,0)</f>
        <v>3000</v>
      </c>
      <c r="AF22" s="28">
        <f t="shared" ca="1" si="8"/>
        <v>1</v>
      </c>
      <c r="AG22" s="186">
        <f t="shared" ca="1" si="9"/>
        <v>-1</v>
      </c>
    </row>
    <row r="23" spans="1:33" x14ac:dyDescent="0.25">
      <c r="A23" s="26" t="s">
        <v>19</v>
      </c>
      <c r="B23" s="26" t="s">
        <v>375</v>
      </c>
      <c r="C23" s="8">
        <v>9676</v>
      </c>
      <c r="D23" s="8">
        <v>11588</v>
      </c>
      <c r="E23" s="8">
        <v>11760</v>
      </c>
      <c r="F23" s="8">
        <v>7599</v>
      </c>
      <c r="G23" s="8">
        <v>9727.7010000000009</v>
      </c>
      <c r="H23" s="8">
        <v>5879.2470000000003</v>
      </c>
      <c r="I23" s="8">
        <v>4681.3190000000004</v>
      </c>
      <c r="J23" s="8">
        <v>4980.8010000000004</v>
      </c>
      <c r="K23" s="8">
        <v>14931.241</v>
      </c>
      <c r="L23" s="8">
        <v>11649.991</v>
      </c>
      <c r="M23" s="8">
        <v>9364</v>
      </c>
      <c r="N23" s="8">
        <v>9542</v>
      </c>
      <c r="O23" s="8" t="str">
        <f ca="1">VLOOKUP(A23,[1]Projection!A:D,4,0)</f>
        <v>OTC</v>
      </c>
      <c r="P23" s="8" t="str">
        <f ca="1">VLOOKUP(A23,[1]Projection!A:E,5,0)</f>
        <v>Karex / NRS</v>
      </c>
      <c r="Q23" s="183" cm="1">
        <f t="array" aca="1" ref="Q23" ca="1">AVERAGE(IF([1]Projection!$A$4:$A$74='Gestao de estoque'!A23,[1]Projection!$BL$4:$BX$74))</f>
        <v>5291.2768461538462</v>
      </c>
      <c r="R23" s="14">
        <f ca="1">VLOOKUP(A23,[1]Projection!A:BA,35,0)</f>
        <v>19890</v>
      </c>
      <c r="S23" s="14">
        <f ca="1">VLOOKUP('Gestao de estoque'!A23,[1]Projection!A:FN,170,0)</f>
        <v>34720</v>
      </c>
      <c r="T23" s="14">
        <f t="shared" ca="1" si="0"/>
        <v>54610</v>
      </c>
      <c r="U23" s="8">
        <f t="shared" ca="1" si="1"/>
        <v>10</v>
      </c>
      <c r="V23" s="8">
        <f ca="1">VLOOKUP(A23,[1]Projection!A:I,9,0)</f>
        <v>266</v>
      </c>
      <c r="W23" s="8">
        <f t="shared" ca="1" si="2"/>
        <v>9</v>
      </c>
      <c r="X23" s="8">
        <v>2</v>
      </c>
      <c r="Y23" s="8">
        <f t="shared" ca="1" si="3"/>
        <v>11</v>
      </c>
      <c r="Z23" s="14">
        <f t="shared" ca="1" si="4"/>
        <v>58204</v>
      </c>
      <c r="AA23" s="184">
        <f t="shared" ca="1" si="5"/>
        <v>3594</v>
      </c>
      <c r="AB23" s="26" t="str">
        <f t="shared" ca="1" si="6"/>
        <v>UNDERSTOCKED</v>
      </c>
      <c r="AC23" s="14">
        <f ca="1">VLOOKUP(A23,[1]Projection!A:V,22,0)</f>
        <v>2100</v>
      </c>
      <c r="AD23" s="185">
        <f t="shared" ca="1" si="7"/>
        <v>2</v>
      </c>
      <c r="AE23" s="28">
        <f ca="1">VLOOKUP(A23,[1]Projection!A:FO,171,0)</f>
        <v>16800</v>
      </c>
      <c r="AF23" s="28">
        <f t="shared" ca="1" si="8"/>
        <v>8</v>
      </c>
      <c r="AG23" s="186">
        <f t="shared" ca="1" si="9"/>
        <v>-6</v>
      </c>
    </row>
    <row r="24" spans="1:33" x14ac:dyDescent="0.25">
      <c r="A24" s="26" t="s">
        <v>64</v>
      </c>
      <c r="B24" s="26" t="s">
        <v>402</v>
      </c>
      <c r="C24" s="8">
        <v>949</v>
      </c>
      <c r="D24" s="8">
        <v>2948</v>
      </c>
      <c r="E24" s="8">
        <v>1611</v>
      </c>
      <c r="F24" s="8">
        <v>1756</v>
      </c>
      <c r="G24" s="8">
        <v>1705.636</v>
      </c>
      <c r="H24" s="8">
        <v>868.93499999999995</v>
      </c>
      <c r="I24" s="8">
        <v>783.68100000000004</v>
      </c>
      <c r="J24" s="8">
        <v>772.75099999999998</v>
      </c>
      <c r="K24" s="8">
        <v>3043.7240000000002</v>
      </c>
      <c r="L24" s="8">
        <v>1980.2370000000001</v>
      </c>
      <c r="M24" s="8">
        <v>797</v>
      </c>
      <c r="N24" s="8">
        <v>785</v>
      </c>
      <c r="O24" s="8" t="str">
        <f ca="1">VLOOKUP(A24,[1]Projection!A:D,4,0)</f>
        <v>OTC</v>
      </c>
      <c r="P24" s="8" t="str">
        <f ca="1">VLOOKUP(A24,[1]Projection!A:E,5,0)</f>
        <v>Thai Nippon</v>
      </c>
      <c r="Q24" s="183" cm="1">
        <f t="array" aca="1" ref="Q24" ca="1">AVERAGE(IF([1]Projection!$A$4:$A$74='Gestao de estoque'!A24,[1]Projection!$BL$4:$BX$74))</f>
        <v>902.17907692307699</v>
      </c>
      <c r="R24" s="14">
        <f ca="1">VLOOKUP(A24,[1]Projection!A:BA,35,0)</f>
        <v>2247</v>
      </c>
      <c r="S24" s="14">
        <f ca="1">VLOOKUP('Gestao de estoque'!A24,[1]Projection!A:FN,170,0)</f>
        <v>6800</v>
      </c>
      <c r="T24" s="14">
        <f t="shared" ca="1" si="0"/>
        <v>9047</v>
      </c>
      <c r="U24" s="8">
        <f t="shared" ca="1" si="1"/>
        <v>10</v>
      </c>
      <c r="V24" s="8">
        <f ca="1">VLOOKUP(A24,[1]Projection!A:I,9,0)</f>
        <v>151</v>
      </c>
      <c r="W24" s="8">
        <f t="shared" ca="1" si="2"/>
        <v>5</v>
      </c>
      <c r="X24" s="8">
        <v>3</v>
      </c>
      <c r="Y24" s="8">
        <f t="shared" ca="1" si="3"/>
        <v>8</v>
      </c>
      <c r="Z24" s="14">
        <f t="shared" ca="1" si="4"/>
        <v>7217</v>
      </c>
      <c r="AA24" s="184">
        <f t="shared" ca="1" si="5"/>
        <v>-1830</v>
      </c>
      <c r="AB24" s="26" t="str">
        <f t="shared" ca="1" si="6"/>
        <v>NORMAL</v>
      </c>
      <c r="AC24" s="14">
        <f ca="1">VLOOKUP(A24,[1]Projection!A:V,22,0)</f>
        <v>3400</v>
      </c>
      <c r="AD24" s="185">
        <f t="shared" ca="1" si="7"/>
        <v>-1</v>
      </c>
      <c r="AE24" s="28">
        <f ca="1">VLOOKUP(A24,[1]Projection!A:FO,171,0)</f>
        <v>3400</v>
      </c>
      <c r="AF24" s="28">
        <f t="shared" ca="1" si="8"/>
        <v>1</v>
      </c>
      <c r="AG24" s="186">
        <f t="shared" ca="1" si="9"/>
        <v>-2</v>
      </c>
    </row>
    <row r="25" spans="1:33" x14ac:dyDescent="0.25">
      <c r="A25" s="26" t="s">
        <v>77</v>
      </c>
      <c r="B25" s="26" t="s">
        <v>416</v>
      </c>
      <c r="C25" s="8">
        <v>1107</v>
      </c>
      <c r="D25" s="8">
        <v>856</v>
      </c>
      <c r="E25" s="8">
        <v>1310</v>
      </c>
      <c r="F25" s="8">
        <v>760</v>
      </c>
      <c r="G25" s="8">
        <v>532</v>
      </c>
      <c r="H25" s="8">
        <v>156</v>
      </c>
      <c r="I25" s="8">
        <v>973</v>
      </c>
      <c r="J25" s="8">
        <v>189</v>
      </c>
      <c r="K25" s="8">
        <v>97</v>
      </c>
      <c r="L25" s="8">
        <v>1310</v>
      </c>
      <c r="M25" s="8">
        <v>1136</v>
      </c>
      <c r="N25" s="8">
        <v>798</v>
      </c>
      <c r="O25" s="8" t="str">
        <f ca="1">VLOOKUP(A25,[1]Projection!A:D,4,0)</f>
        <v>OTC</v>
      </c>
      <c r="P25" s="8" t="str">
        <f ca="1">VLOOKUP(A25,[1]Projection!A:E,5,0)</f>
        <v>Karex / NRS</v>
      </c>
      <c r="Q25" s="183" cm="1">
        <f t="array" aca="1" ref="Q25" ca="1">AVERAGE(IF([1]Projection!$A$4:$A$74='Gestao de estoque'!A25,[1]Projection!$BL$4:$BX$74))</f>
        <v>404.92307692307691</v>
      </c>
      <c r="R25" s="14">
        <f ca="1">VLOOKUP(A25,[1]Projection!A:BA,35,0)</f>
        <v>1550</v>
      </c>
      <c r="S25" s="14">
        <f ca="1">VLOOKUP('Gestao de estoque'!A25,[1]Projection!A:FN,170,0)</f>
        <v>3000</v>
      </c>
      <c r="T25" s="14">
        <f t="shared" ca="1" si="0"/>
        <v>4550</v>
      </c>
      <c r="U25" s="8">
        <f t="shared" ca="1" si="1"/>
        <v>11</v>
      </c>
      <c r="V25" s="8">
        <f ca="1">VLOOKUP(A25,[1]Projection!A:I,9,0)</f>
        <v>266</v>
      </c>
      <c r="W25" s="8">
        <f t="shared" ca="1" si="2"/>
        <v>9</v>
      </c>
      <c r="X25" s="8">
        <v>3</v>
      </c>
      <c r="Y25" s="8">
        <f t="shared" ca="1" si="3"/>
        <v>12</v>
      </c>
      <c r="Z25" s="14">
        <f t="shared" ca="1" si="4"/>
        <v>4859</v>
      </c>
      <c r="AA25" s="184">
        <f t="shared" ca="1" si="5"/>
        <v>309</v>
      </c>
      <c r="AB25" s="26" t="str">
        <f t="shared" ca="1" si="6"/>
        <v>UNDERSTOCKED</v>
      </c>
      <c r="AC25" s="14">
        <f ca="1">VLOOKUP(A25,[1]Projection!A:V,22,0)</f>
        <v>3000</v>
      </c>
      <c r="AD25" s="185">
        <f t="shared" ca="1" si="7"/>
        <v>0</v>
      </c>
      <c r="AE25" s="28">
        <f ca="1">VLOOKUP(A25,[1]Projection!A:FO,171,0)</f>
        <v>3000</v>
      </c>
      <c r="AF25" s="28">
        <f t="shared" ca="1" si="8"/>
        <v>1</v>
      </c>
      <c r="AG25" s="186">
        <f t="shared" ca="1" si="9"/>
        <v>-1</v>
      </c>
    </row>
    <row r="26" spans="1:33" x14ac:dyDescent="0.25">
      <c r="A26" s="26" t="s">
        <v>28</v>
      </c>
      <c r="B26" s="26" t="s">
        <v>372</v>
      </c>
      <c r="C26" s="8">
        <v>2120</v>
      </c>
      <c r="D26" s="8">
        <v>5674</v>
      </c>
      <c r="E26" s="8">
        <v>6976</v>
      </c>
      <c r="F26" s="8">
        <v>3368</v>
      </c>
      <c r="G26" s="8">
        <v>4953.1720000000005</v>
      </c>
      <c r="H26" s="8">
        <v>2918.31</v>
      </c>
      <c r="I26" s="8">
        <v>2042.817</v>
      </c>
      <c r="J26" s="8">
        <v>2137.9079999999999</v>
      </c>
      <c r="K26" s="8">
        <v>4986.6759999999995</v>
      </c>
      <c r="L26" s="8">
        <v>5038.152</v>
      </c>
      <c r="M26" s="8">
        <v>4103</v>
      </c>
      <c r="N26" s="8">
        <v>4162</v>
      </c>
      <c r="O26" s="8" t="str">
        <f ca="1">VLOOKUP(A26,[1]Projection!A:D,4,0)</f>
        <v>OTC</v>
      </c>
      <c r="P26" s="8" t="str">
        <f ca="1">VLOOKUP(A26,[1]Projection!A:E,5,0)</f>
        <v>Thai Nippon</v>
      </c>
      <c r="Q26" s="183" cm="1">
        <f t="array" aca="1" ref="Q26" ca="1">AVERAGE(IF([1]Projection!$A$4:$A$74='Gestao de estoque'!A26,[1]Projection!$BL$4:$BX$74))</f>
        <v>2630.451</v>
      </c>
      <c r="R26" s="14">
        <f ca="1">VLOOKUP(A26,[1]Projection!A:BA,35,0)</f>
        <v>74</v>
      </c>
      <c r="S26" s="14">
        <f ca="1">VLOOKUP('Gestao de estoque'!A26,[1]Projection!A:FN,170,0)</f>
        <v>15400</v>
      </c>
      <c r="T26" s="14">
        <f t="shared" ca="1" si="0"/>
        <v>15474</v>
      </c>
      <c r="U26" s="8">
        <f t="shared" ca="1" si="1"/>
        <v>6</v>
      </c>
      <c r="V26" s="8">
        <f ca="1">VLOOKUP(A26,[1]Projection!A:I,9,0)</f>
        <v>151</v>
      </c>
      <c r="W26" s="8">
        <f t="shared" ca="1" si="2"/>
        <v>5</v>
      </c>
      <c r="X26" s="8">
        <v>3</v>
      </c>
      <c r="Y26" s="8">
        <f t="shared" ca="1" si="3"/>
        <v>8</v>
      </c>
      <c r="Z26" s="14">
        <f t="shared" ca="1" si="4"/>
        <v>21044</v>
      </c>
      <c r="AA26" s="184">
        <f t="shared" ca="1" si="5"/>
        <v>5570</v>
      </c>
      <c r="AB26" s="26" t="str">
        <f t="shared" ca="1" si="6"/>
        <v>UNDERSTOCKED</v>
      </c>
      <c r="AC26" s="14">
        <f ca="1">VLOOKUP(A26,[1]Projection!A:V,22,0)</f>
        <v>2600</v>
      </c>
      <c r="AD26" s="185">
        <f t="shared" ca="1" si="7"/>
        <v>2</v>
      </c>
      <c r="AE26" s="28">
        <f ca="1">VLOOKUP(A26,[1]Projection!A:FO,171,0)</f>
        <v>20800</v>
      </c>
      <c r="AF26" s="28">
        <f t="shared" ca="1" si="8"/>
        <v>8</v>
      </c>
      <c r="AG26" s="186">
        <f t="shared" ca="1" si="9"/>
        <v>-6</v>
      </c>
    </row>
    <row r="27" spans="1:33" x14ac:dyDescent="0.25">
      <c r="A27" s="26" t="s">
        <v>65</v>
      </c>
      <c r="B27" s="26" t="s">
        <v>433</v>
      </c>
      <c r="C27" s="8">
        <v>1607</v>
      </c>
      <c r="D27" s="8">
        <v>1865</v>
      </c>
      <c r="E27" s="8">
        <v>2985</v>
      </c>
      <c r="F27" s="8">
        <v>798</v>
      </c>
      <c r="G27" s="8">
        <v>1372.713</v>
      </c>
      <c r="H27" s="8">
        <v>499.50099999999998</v>
      </c>
      <c r="I27" s="8">
        <v>366.15499999999997</v>
      </c>
      <c r="J27" s="8">
        <v>539.94200000000001</v>
      </c>
      <c r="K27" s="8">
        <v>1782.9650000000001</v>
      </c>
      <c r="L27" s="8">
        <v>1747.549</v>
      </c>
      <c r="M27" s="8">
        <v>1895</v>
      </c>
      <c r="N27" s="8">
        <v>1724</v>
      </c>
      <c r="O27" s="8" t="str">
        <f ca="1">VLOOKUP(A27,[1]Projection!A:D,4,0)</f>
        <v>OTC</v>
      </c>
      <c r="P27" s="8" t="str">
        <f ca="1">VLOOKUP(A27,[1]Projection!A:E,5,0)</f>
        <v>Thai Nippon</v>
      </c>
      <c r="Q27" s="183" cm="1">
        <f t="array" aca="1" ref="Q27" ca="1">AVERAGE(IF([1]Projection!$A$4:$A$74='Gestao de estoque'!A27,[1]Projection!$BL$4:$BX$74))</f>
        <v>799.0086153846155</v>
      </c>
      <c r="R27" s="14">
        <f ca="1">VLOOKUP(A27,[1]Projection!A:BA,35,0)</f>
        <v>250</v>
      </c>
      <c r="S27" s="14">
        <f ca="1">VLOOKUP('Gestao de estoque'!A27,[1]Projection!A:FN,170,0)</f>
        <v>6800</v>
      </c>
      <c r="T27" s="14">
        <f t="shared" ca="1" si="0"/>
        <v>7050</v>
      </c>
      <c r="U27" s="8">
        <f t="shared" ca="1" si="1"/>
        <v>9</v>
      </c>
      <c r="V27" s="8">
        <f ca="1">VLOOKUP(A27,[1]Projection!A:I,9,0)</f>
        <v>151</v>
      </c>
      <c r="W27" s="8">
        <f t="shared" ca="1" si="2"/>
        <v>5</v>
      </c>
      <c r="X27" s="8">
        <v>2</v>
      </c>
      <c r="Y27" s="8">
        <f t="shared" ca="1" si="3"/>
        <v>7</v>
      </c>
      <c r="Z27" s="14">
        <f t="shared" ca="1" si="4"/>
        <v>5593</v>
      </c>
      <c r="AA27" s="184">
        <f t="shared" ca="1" si="5"/>
        <v>-1457</v>
      </c>
      <c r="AB27" s="26" t="str">
        <f t="shared" ca="1" si="6"/>
        <v>NORMAL</v>
      </c>
      <c r="AC27" s="14">
        <f ca="1">VLOOKUP(A27,[1]Projection!A:V,22,0)</f>
        <v>3400</v>
      </c>
      <c r="AD27" s="185">
        <f t="shared" ca="1" si="7"/>
        <v>0</v>
      </c>
      <c r="AE27" s="28">
        <f ca="1">VLOOKUP(A27,[1]Projection!A:FO,171,0)</f>
        <v>3400</v>
      </c>
      <c r="AF27" s="28">
        <f t="shared" ca="1" si="8"/>
        <v>1</v>
      </c>
      <c r="AG27" s="186">
        <f t="shared" ca="1" si="9"/>
        <v>-1</v>
      </c>
    </row>
    <row r="28" spans="1:33" x14ac:dyDescent="0.25">
      <c r="A28" s="26" t="s">
        <v>62</v>
      </c>
      <c r="B28" s="26" t="s">
        <v>403</v>
      </c>
      <c r="C28" s="8">
        <v>500</v>
      </c>
      <c r="D28" s="8">
        <v>1671</v>
      </c>
      <c r="E28" s="8">
        <v>1246</v>
      </c>
      <c r="F28" s="8">
        <v>607</v>
      </c>
      <c r="G28" s="8">
        <v>991.85</v>
      </c>
      <c r="H28" s="8">
        <v>491.85</v>
      </c>
      <c r="I28" s="8">
        <v>491.85</v>
      </c>
      <c r="J28" s="8">
        <v>491.85</v>
      </c>
      <c r="K28" s="8">
        <v>1347.85</v>
      </c>
      <c r="L28" s="8">
        <v>2007.85</v>
      </c>
      <c r="M28" s="8">
        <v>627</v>
      </c>
      <c r="N28" s="8">
        <v>500</v>
      </c>
      <c r="O28" s="8" t="str">
        <f ca="1">VLOOKUP(A28,[1]Projection!A:D,4,0)</f>
        <v>OTC</v>
      </c>
      <c r="P28" s="8" t="str">
        <f ca="1">VLOOKUP(A28,[1]Projection!A:E,5,0)</f>
        <v>Thai Nippon</v>
      </c>
      <c r="Q28" s="183" cm="1">
        <f t="array" aca="1" ref="Q28" ca="1">AVERAGE(IF([1]Projection!$A$4:$A$74='Gestao de estoque'!A28,[1]Projection!$BL$4:$BX$74))</f>
        <v>496.86538461538464</v>
      </c>
      <c r="R28" s="14">
        <f ca="1">VLOOKUP(A28,[1]Projection!A:BA,35,0)</f>
        <v>6572</v>
      </c>
      <c r="S28" s="14">
        <f ca="1">VLOOKUP('Gestao de estoque'!A28,[1]Projection!A:FN,170,0)</f>
        <v>0</v>
      </c>
      <c r="T28" s="14">
        <f t="shared" ca="1" si="0"/>
        <v>6572</v>
      </c>
      <c r="U28" s="8">
        <f t="shared" ca="1" si="1"/>
        <v>13</v>
      </c>
      <c r="V28" s="8">
        <f ca="1">VLOOKUP(A28,[1]Projection!A:I,9,0)</f>
        <v>151</v>
      </c>
      <c r="W28" s="8">
        <f t="shared" ca="1" si="2"/>
        <v>5</v>
      </c>
      <c r="X28" s="8">
        <v>2</v>
      </c>
      <c r="Y28" s="8">
        <f t="shared" ca="1" si="3"/>
        <v>7</v>
      </c>
      <c r="Z28" s="14">
        <f t="shared" ca="1" si="4"/>
        <v>3478</v>
      </c>
      <c r="AA28" s="184">
        <f t="shared" ca="1" si="5"/>
        <v>-3094</v>
      </c>
      <c r="AB28" s="26" t="str">
        <f t="shared" ca="1" si="6"/>
        <v>OVERSTOCKED</v>
      </c>
      <c r="AC28" s="14">
        <f ca="1">VLOOKUP(A28,[1]Projection!A:V,22,0)</f>
        <v>3400</v>
      </c>
      <c r="AD28" s="185">
        <f t="shared" ca="1" si="7"/>
        <v>-1</v>
      </c>
      <c r="AE28" s="28">
        <f ca="1">VLOOKUP(A28,[1]Projection!A:FO,171,0)</f>
        <v>0</v>
      </c>
      <c r="AF28" s="187">
        <f t="shared" ca="1" si="8"/>
        <v>0</v>
      </c>
      <c r="AG28" s="186">
        <f t="shared" ca="1" si="9"/>
        <v>-1</v>
      </c>
    </row>
    <row r="29" spans="1:33" x14ac:dyDescent="0.25">
      <c r="A29" s="26" t="s">
        <v>50</v>
      </c>
      <c r="B29" s="26" t="s">
        <v>404</v>
      </c>
      <c r="C29" s="8">
        <v>1008</v>
      </c>
      <c r="D29" s="8">
        <v>1041</v>
      </c>
      <c r="E29" s="8">
        <v>1494</v>
      </c>
      <c r="F29" s="8">
        <v>808</v>
      </c>
      <c r="G29" s="8">
        <v>1465.1</v>
      </c>
      <c r="H29" s="8">
        <v>765.1</v>
      </c>
      <c r="I29" s="8">
        <v>765.1</v>
      </c>
      <c r="J29" s="8">
        <v>765.1</v>
      </c>
      <c r="K29" s="8">
        <v>1636.1</v>
      </c>
      <c r="L29" s="8">
        <v>778.1</v>
      </c>
      <c r="M29" s="8">
        <v>702</v>
      </c>
      <c r="N29" s="8">
        <v>1734</v>
      </c>
      <c r="O29" s="8" t="str">
        <f ca="1">VLOOKUP(A29,[1]Projection!A:D,4,0)</f>
        <v>OTC</v>
      </c>
      <c r="P29" s="8" t="str">
        <f ca="1">VLOOKUP(A29,[1]Projection!A:E,5,0)</f>
        <v>Thai Nippon</v>
      </c>
      <c r="Q29" s="183" cm="1">
        <f t="array" aca="1" ref="Q29" ca="1">AVERAGE(IF([1]Projection!$A$4:$A$74='Gestao de estoque'!A29,[1]Projection!$BL$4:$BX$74))</f>
        <v>725.03846153846155</v>
      </c>
      <c r="R29" s="14">
        <f ca="1">VLOOKUP(A29,[1]Projection!A:BA,35,0)</f>
        <v>6035</v>
      </c>
      <c r="S29" s="14">
        <f ca="1">VLOOKUP('Gestao de estoque'!A29,[1]Projection!A:FN,170,0)</f>
        <v>3400</v>
      </c>
      <c r="T29" s="14">
        <f t="shared" ca="1" si="0"/>
        <v>9435</v>
      </c>
      <c r="U29" s="8">
        <f t="shared" ca="1" si="1"/>
        <v>13</v>
      </c>
      <c r="V29" s="8">
        <f ca="1">VLOOKUP(A29,[1]Projection!A:I,9,0)</f>
        <v>151</v>
      </c>
      <c r="W29" s="8">
        <f t="shared" ca="1" si="2"/>
        <v>5</v>
      </c>
      <c r="X29" s="8">
        <v>2</v>
      </c>
      <c r="Y29" s="8">
        <f t="shared" ca="1" si="3"/>
        <v>7</v>
      </c>
      <c r="Z29" s="14">
        <f t="shared" ca="1" si="4"/>
        <v>5075</v>
      </c>
      <c r="AA29" s="184">
        <f t="shared" ca="1" si="5"/>
        <v>-4360</v>
      </c>
      <c r="AB29" s="26" t="str">
        <f t="shared" ca="1" si="6"/>
        <v>OVERSTOCKED</v>
      </c>
      <c r="AC29" s="14">
        <f ca="1">VLOOKUP(A29,[1]Projection!A:V,22,0)</f>
        <v>3400</v>
      </c>
      <c r="AD29" s="185">
        <f t="shared" ca="1" si="7"/>
        <v>-1</v>
      </c>
      <c r="AE29" s="28">
        <f ca="1">VLOOKUP(A29,[1]Projection!A:FO,171,0)</f>
        <v>0</v>
      </c>
      <c r="AF29" s="187">
        <f t="shared" ca="1" si="8"/>
        <v>0</v>
      </c>
      <c r="AG29" s="186">
        <f t="shared" ca="1" si="9"/>
        <v>-1</v>
      </c>
    </row>
    <row r="30" spans="1:33" x14ac:dyDescent="0.25">
      <c r="A30" s="26" t="s">
        <v>42</v>
      </c>
      <c r="B30" s="26" t="s">
        <v>353</v>
      </c>
      <c r="C30" s="8">
        <v>4310</v>
      </c>
      <c r="D30" s="8">
        <v>3952</v>
      </c>
      <c r="E30" s="8">
        <v>4872.8</v>
      </c>
      <c r="F30" s="8">
        <v>2663.2</v>
      </c>
      <c r="G30" s="8">
        <v>2999</v>
      </c>
      <c r="H30" s="8">
        <v>405</v>
      </c>
      <c r="I30" s="8">
        <v>4295</v>
      </c>
      <c r="J30" s="8">
        <v>2337</v>
      </c>
      <c r="K30" s="8">
        <v>3138</v>
      </c>
      <c r="L30" s="8">
        <v>2002</v>
      </c>
      <c r="M30" s="8">
        <v>4996</v>
      </c>
      <c r="N30" s="8">
        <v>5866</v>
      </c>
      <c r="O30" s="8" t="str">
        <f ca="1">VLOOKUP(A30,[1]Projection!A:D,4,0)</f>
        <v>OTC</v>
      </c>
      <c r="P30" s="8" t="str">
        <f ca="1">VLOOKUP(A30,[1]Projection!A:E,5,0)</f>
        <v>Karex / NRS</v>
      </c>
      <c r="Q30" s="183" cm="1">
        <f t="array" aca="1" ref="Q30" ca="1">AVERAGE(IF([1]Projection!$A$4:$A$74='Gestao de estoque'!A30,[1]Projection!$BL$4:$BX$74))</f>
        <v>2168.6153846153848</v>
      </c>
      <c r="R30" s="14">
        <f ca="1">VLOOKUP(A30,[1]Projection!A:BA,35,0)</f>
        <v>1984</v>
      </c>
      <c r="S30" s="14">
        <f ca="1">VLOOKUP('Gestao de estoque'!A30,[1]Projection!A:FN,170,0)</f>
        <v>19880</v>
      </c>
      <c r="T30" s="14">
        <f t="shared" ca="1" si="0"/>
        <v>21864</v>
      </c>
      <c r="U30" s="8">
        <f t="shared" ca="1" si="1"/>
        <v>10</v>
      </c>
      <c r="V30" s="8">
        <f ca="1">VLOOKUP(A30,[1]Projection!A:I,9,0)</f>
        <v>266</v>
      </c>
      <c r="W30" s="8">
        <f t="shared" ca="1" si="2"/>
        <v>9</v>
      </c>
      <c r="X30" s="8">
        <v>3</v>
      </c>
      <c r="Y30" s="8">
        <f t="shared" ca="1" si="3"/>
        <v>12</v>
      </c>
      <c r="Z30" s="14">
        <f t="shared" ca="1" si="4"/>
        <v>26023</v>
      </c>
      <c r="AA30" s="184">
        <f t="shared" ca="1" si="5"/>
        <v>4159</v>
      </c>
      <c r="AB30" s="26" t="str">
        <f t="shared" ca="1" si="6"/>
        <v>UNDERSTOCKED</v>
      </c>
      <c r="AC30" s="14">
        <f ca="1">VLOOKUP(A30,[1]Projection!A:V,22,0)</f>
        <v>3000</v>
      </c>
      <c r="AD30" s="185">
        <f t="shared" ca="1" si="7"/>
        <v>1</v>
      </c>
      <c r="AE30" s="28">
        <f ca="1">VLOOKUP(A30,[1]Projection!A:FO,171,0)</f>
        <v>9000</v>
      </c>
      <c r="AF30" s="28">
        <f t="shared" ca="1" si="8"/>
        <v>3</v>
      </c>
      <c r="AG30" s="186">
        <f t="shared" ca="1" si="9"/>
        <v>-2</v>
      </c>
    </row>
    <row r="31" spans="1:33" x14ac:dyDescent="0.25">
      <c r="A31" s="26" t="s">
        <v>32</v>
      </c>
      <c r="B31" s="26" t="s">
        <v>355</v>
      </c>
      <c r="C31" s="8">
        <v>4993</v>
      </c>
      <c r="D31" s="8">
        <v>5105</v>
      </c>
      <c r="E31" s="8">
        <v>5736</v>
      </c>
      <c r="F31" s="8">
        <v>2636</v>
      </c>
      <c r="G31" s="8">
        <v>4335</v>
      </c>
      <c r="H31" s="8">
        <v>5006</v>
      </c>
      <c r="I31" s="8">
        <v>2330</v>
      </c>
      <c r="J31" s="8">
        <v>1425</v>
      </c>
      <c r="K31" s="8">
        <v>4012</v>
      </c>
      <c r="L31" s="8">
        <v>4710</v>
      </c>
      <c r="M31" s="8">
        <v>5825</v>
      </c>
      <c r="N31" s="8">
        <v>5735</v>
      </c>
      <c r="O31" s="8" t="str">
        <f ca="1">VLOOKUP(A31,[1]Projection!A:D,4,0)</f>
        <v>OTC</v>
      </c>
      <c r="P31" s="8" t="str">
        <f ca="1">VLOOKUP(A31,[1]Projection!A:E,5,0)</f>
        <v>Karex / NRS</v>
      </c>
      <c r="Q31" s="183" cm="1">
        <f t="array" aca="1" ref="Q31" ca="1">AVERAGE(IF([1]Projection!$A$4:$A$74='Gestao de estoque'!A31,[1]Projection!$BL$4:$BX$74))</f>
        <v>2411.6153846153848</v>
      </c>
      <c r="R31" s="14">
        <f ca="1">VLOOKUP(A31,[1]Projection!A:BA,35,0)</f>
        <v>6461</v>
      </c>
      <c r="S31" s="14">
        <f ca="1">VLOOKUP('Gestao de estoque'!A31,[1]Projection!A:FN,170,0)</f>
        <v>25200</v>
      </c>
      <c r="T31" s="14">
        <f t="shared" ca="1" si="0"/>
        <v>31661</v>
      </c>
      <c r="U31" s="8">
        <f t="shared" ca="1" si="1"/>
        <v>13</v>
      </c>
      <c r="V31" s="8">
        <f ca="1">VLOOKUP(A31,[1]Projection!A:I,9,0)</f>
        <v>266</v>
      </c>
      <c r="W31" s="8">
        <f t="shared" ca="1" si="2"/>
        <v>9</v>
      </c>
      <c r="X31" s="8">
        <v>3</v>
      </c>
      <c r="Y31" s="8">
        <f t="shared" ca="1" si="3"/>
        <v>12</v>
      </c>
      <c r="Z31" s="14">
        <f t="shared" ca="1" si="4"/>
        <v>28939</v>
      </c>
      <c r="AA31" s="184">
        <f t="shared" ca="1" si="5"/>
        <v>-2722</v>
      </c>
      <c r="AB31" s="26" t="str">
        <f t="shared" ca="1" si="6"/>
        <v>NORMAL</v>
      </c>
      <c r="AC31" s="14">
        <f ca="1">VLOOKUP(A31,[1]Projection!A:V,22,0)</f>
        <v>2100</v>
      </c>
      <c r="AD31" s="185">
        <f t="shared" ca="1" si="7"/>
        <v>-1</v>
      </c>
      <c r="AE31" s="28">
        <f ca="1">VLOOKUP(A31,[1]Projection!A:FO,171,0)</f>
        <v>2100</v>
      </c>
      <c r="AF31" s="28">
        <f t="shared" ca="1" si="8"/>
        <v>1</v>
      </c>
      <c r="AG31" s="186">
        <f t="shared" ca="1" si="9"/>
        <v>-2</v>
      </c>
    </row>
    <row r="32" spans="1:33" x14ac:dyDescent="0.25">
      <c r="A32" s="26" t="s">
        <v>78</v>
      </c>
      <c r="B32" s="26" t="s">
        <v>427</v>
      </c>
      <c r="C32" s="8">
        <v>715</v>
      </c>
      <c r="D32" s="8">
        <v>1484</v>
      </c>
      <c r="E32" s="8">
        <v>1168</v>
      </c>
      <c r="F32" s="8">
        <v>343</v>
      </c>
      <c r="G32" s="8">
        <v>763</v>
      </c>
      <c r="H32" s="8">
        <v>289</v>
      </c>
      <c r="I32" s="8">
        <v>301</v>
      </c>
      <c r="J32" s="8">
        <v>412</v>
      </c>
      <c r="K32" s="8">
        <v>713</v>
      </c>
      <c r="L32" s="8">
        <v>1122</v>
      </c>
      <c r="M32" s="8">
        <v>1030</v>
      </c>
      <c r="N32" s="8">
        <v>747</v>
      </c>
      <c r="O32" s="8" t="str">
        <f ca="1">VLOOKUP(A32,[1]Projection!A:D,4,0)</f>
        <v>OTC</v>
      </c>
      <c r="P32" s="8" t="str">
        <f ca="1">VLOOKUP(A32,[1]Projection!A:E,5,0)</f>
        <v>Thai Nippon</v>
      </c>
      <c r="Q32" s="183" cm="1">
        <f t="array" aca="1" ref="Q32" ca="1">AVERAGE(IF([1]Projection!$A$4:$A$74='Gestao de estoque'!A32,[1]Projection!$BL$4:$BX$74))</f>
        <v>478.84615384615387</v>
      </c>
      <c r="R32" s="14">
        <f ca="1">VLOOKUP(A32,[1]Projection!A:BA,35,0)</f>
        <v>4211</v>
      </c>
      <c r="S32" s="14">
        <f ca="1">VLOOKUP('Gestao de estoque'!A32,[1]Projection!A:FN,170,0)</f>
        <v>0</v>
      </c>
      <c r="T32" s="14">
        <f t="shared" ca="1" si="0"/>
        <v>4211</v>
      </c>
      <c r="U32" s="8">
        <f t="shared" ca="1" si="1"/>
        <v>9</v>
      </c>
      <c r="V32" s="8">
        <f ca="1">VLOOKUP(A32,[1]Projection!A:I,9,0)</f>
        <v>151</v>
      </c>
      <c r="W32" s="8">
        <f t="shared" ca="1" si="2"/>
        <v>5</v>
      </c>
      <c r="X32" s="8">
        <v>3</v>
      </c>
      <c r="Y32" s="8">
        <f t="shared" ca="1" si="3"/>
        <v>8</v>
      </c>
      <c r="Z32" s="14">
        <f t="shared" ca="1" si="4"/>
        <v>3831</v>
      </c>
      <c r="AA32" s="184">
        <f t="shared" ca="1" si="5"/>
        <v>-380</v>
      </c>
      <c r="AB32" s="26" t="str">
        <f t="shared" ca="1" si="6"/>
        <v>NORMAL</v>
      </c>
      <c r="AC32" s="14">
        <f ca="1">VLOOKUP(A32,[1]Projection!A:V,22,0)</f>
        <v>3400</v>
      </c>
      <c r="AD32" s="185">
        <f t="shared" ca="1" si="7"/>
        <v>0</v>
      </c>
      <c r="AE32" s="28">
        <f ca="1">VLOOKUP(A32,[1]Projection!A:FO,171,0)</f>
        <v>3400</v>
      </c>
      <c r="AF32" s="28">
        <f t="shared" ca="1" si="8"/>
        <v>1</v>
      </c>
      <c r="AG32" s="186">
        <f t="shared" ca="1" si="9"/>
        <v>-1</v>
      </c>
    </row>
    <row r="33" spans="1:33" x14ac:dyDescent="0.25">
      <c r="A33" s="26" t="s">
        <v>80</v>
      </c>
      <c r="B33" s="26" t="s">
        <v>430</v>
      </c>
      <c r="C33" s="8">
        <v>669</v>
      </c>
      <c r="D33" s="8">
        <v>611</v>
      </c>
      <c r="E33" s="8">
        <v>573</v>
      </c>
      <c r="F33" s="8">
        <v>591</v>
      </c>
      <c r="G33" s="8">
        <v>717.71399999999994</v>
      </c>
      <c r="H33" s="8">
        <v>425.17700000000002</v>
      </c>
      <c r="I33" s="8">
        <v>320.24900000000002</v>
      </c>
      <c r="J33" s="8">
        <v>349.76</v>
      </c>
      <c r="K33" s="8">
        <v>904.96900000000005</v>
      </c>
      <c r="L33" s="8">
        <v>887.596</v>
      </c>
      <c r="M33" s="8">
        <v>537</v>
      </c>
      <c r="N33" s="8">
        <v>627</v>
      </c>
      <c r="O33" s="8" t="str">
        <f ca="1">VLOOKUP(A33,[1]Projection!A:D,4,0)</f>
        <v>OTC</v>
      </c>
      <c r="P33" s="8" t="str">
        <f ca="1">VLOOKUP(A33,[1]Projection!A:E,5,0)</f>
        <v>Thai Nippon</v>
      </c>
      <c r="Q33" s="183" cm="1">
        <f t="array" aca="1" ref="Q33" ca="1">AVERAGE(IF([1]Projection!$A$4:$A$74='Gestao de estoque'!A33,[1]Projection!$BL$4:$BX$74))</f>
        <v>373.75007692307696</v>
      </c>
      <c r="R33" s="14">
        <f ca="1">VLOOKUP(A33,[1]Projection!A:BA,35,0)</f>
        <v>5519</v>
      </c>
      <c r="S33" s="14">
        <f ca="1">VLOOKUP('Gestao de estoque'!A33,[1]Projection!A:FN,170,0)</f>
        <v>0</v>
      </c>
      <c r="T33" s="14">
        <f t="shared" ca="1" si="0"/>
        <v>5519</v>
      </c>
      <c r="U33" s="8">
        <f t="shared" ca="1" si="1"/>
        <v>15</v>
      </c>
      <c r="V33" s="8">
        <f ca="1">VLOOKUP(A33,[1]Projection!A:I,9,0)</f>
        <v>151</v>
      </c>
      <c r="W33" s="8">
        <f t="shared" ca="1" si="2"/>
        <v>5</v>
      </c>
      <c r="X33" s="8">
        <v>3</v>
      </c>
      <c r="Y33" s="8">
        <f t="shared" ca="1" si="3"/>
        <v>8</v>
      </c>
      <c r="Z33" s="14">
        <f t="shared" ca="1" si="4"/>
        <v>2990</v>
      </c>
      <c r="AA33" s="184">
        <f t="shared" ca="1" si="5"/>
        <v>-2529</v>
      </c>
      <c r="AB33" s="26" t="str">
        <f t="shared" ca="1" si="6"/>
        <v>OVERSTOCKED</v>
      </c>
      <c r="AC33" s="14">
        <f ca="1">VLOOKUP(A33,[1]Projection!A:V,22,0)</f>
        <v>3400</v>
      </c>
      <c r="AD33" s="185">
        <f t="shared" ca="1" si="7"/>
        <v>-1</v>
      </c>
      <c r="AE33" s="28">
        <f ca="1">VLOOKUP(A33,[1]Projection!A:FO,171,0)</f>
        <v>0</v>
      </c>
      <c r="AF33" s="187">
        <f t="shared" ca="1" si="8"/>
        <v>0</v>
      </c>
      <c r="AG33" s="186">
        <f t="shared" ca="1" si="9"/>
        <v>-1</v>
      </c>
    </row>
    <row r="34" spans="1:33" x14ac:dyDescent="0.25">
      <c r="A34" s="26" t="s">
        <v>73</v>
      </c>
      <c r="B34" s="26" t="s">
        <v>414</v>
      </c>
      <c r="C34" s="8">
        <v>640</v>
      </c>
      <c r="D34" s="8">
        <v>477</v>
      </c>
      <c r="E34" s="8">
        <v>554</v>
      </c>
      <c r="F34" s="8">
        <v>451</v>
      </c>
      <c r="G34" s="8">
        <v>393.43899999999996</v>
      </c>
      <c r="H34" s="8">
        <v>174.88</v>
      </c>
      <c r="I34" s="8">
        <v>163.95</v>
      </c>
      <c r="J34" s="8">
        <v>175.97300000000001</v>
      </c>
      <c r="K34" s="8">
        <v>199.64699999999999</v>
      </c>
      <c r="L34" s="8">
        <v>287.459</v>
      </c>
      <c r="M34" s="8">
        <v>168</v>
      </c>
      <c r="N34" s="8">
        <v>176</v>
      </c>
      <c r="O34" s="8" t="str">
        <f ca="1">VLOOKUP(A34,[1]Projection!A:D,4,0)</f>
        <v>OTC</v>
      </c>
      <c r="P34" s="8" t="str">
        <f ca="1">VLOOKUP(A34,[1]Projection!A:E,5,0)</f>
        <v>Karex / NRS</v>
      </c>
      <c r="Q34" s="183" cm="1">
        <f t="array" aca="1" ref="Q34" ca="1">AVERAGE(IF([1]Projection!$A$4:$A$74='Gestao de estoque'!A34,[1]Projection!$BL$4:$BX$74))</f>
        <v>217.60838461538464</v>
      </c>
      <c r="R34" s="14">
        <f ca="1">VLOOKUP(A34,[1]Projection!A:BA,35,0)</f>
        <v>2641</v>
      </c>
      <c r="S34" s="14">
        <f ca="1">VLOOKUP('Gestao de estoque'!A34,[1]Projection!A:FN,170,0)</f>
        <v>0</v>
      </c>
      <c r="T34" s="14">
        <f t="shared" ca="1" si="0"/>
        <v>2641</v>
      </c>
      <c r="U34" s="8">
        <f t="shared" ca="1" si="1"/>
        <v>12</v>
      </c>
      <c r="V34" s="8">
        <f ca="1">VLOOKUP(A34,[1]Projection!A:I,9,0)</f>
        <v>266</v>
      </c>
      <c r="W34" s="8">
        <f t="shared" ca="1" si="2"/>
        <v>9</v>
      </c>
      <c r="X34" s="8">
        <v>3</v>
      </c>
      <c r="Y34" s="8">
        <f t="shared" ca="1" si="3"/>
        <v>12</v>
      </c>
      <c r="Z34" s="14">
        <f t="shared" ca="1" si="4"/>
        <v>2611</v>
      </c>
      <c r="AA34" s="184">
        <f t="shared" ca="1" si="5"/>
        <v>-30</v>
      </c>
      <c r="AB34" s="26" t="str">
        <f t="shared" ca="1" si="6"/>
        <v>NORMAL</v>
      </c>
      <c r="AC34" s="14">
        <f ca="1">VLOOKUP(A34,[1]Projection!A:V,22,0)</f>
        <v>2000</v>
      </c>
      <c r="AD34" s="185">
        <f t="shared" ca="1" si="7"/>
        <v>0</v>
      </c>
      <c r="AE34" s="28">
        <f ca="1">VLOOKUP(A34,[1]Projection!A:FO,171,0)</f>
        <v>0</v>
      </c>
      <c r="AF34" s="28">
        <f t="shared" ca="1" si="8"/>
        <v>0</v>
      </c>
      <c r="AG34" s="186">
        <f t="shared" ca="1" si="9"/>
        <v>0</v>
      </c>
    </row>
    <row r="35" spans="1:33" x14ac:dyDescent="0.25">
      <c r="A35" s="26" t="s">
        <v>83</v>
      </c>
      <c r="B35" s="26" t="s">
        <v>421</v>
      </c>
      <c r="C35" s="8">
        <v>483</v>
      </c>
      <c r="D35" s="8">
        <v>414</v>
      </c>
      <c r="E35" s="8">
        <v>803</v>
      </c>
      <c r="F35" s="8">
        <v>253</v>
      </c>
      <c r="G35" s="8">
        <v>287.15999999999997</v>
      </c>
      <c r="H35" s="8">
        <v>177.066</v>
      </c>
      <c r="I35" s="8">
        <v>165.04300000000001</v>
      </c>
      <c r="J35" s="8">
        <v>165.04300000000001</v>
      </c>
      <c r="K35" s="8">
        <v>192.36799999999999</v>
      </c>
      <c r="L35" s="8">
        <v>193.46100000000001</v>
      </c>
      <c r="M35" s="8">
        <v>165</v>
      </c>
      <c r="N35" s="8">
        <v>797</v>
      </c>
      <c r="O35" s="8" t="str">
        <f ca="1">VLOOKUP(A35,[1]Projection!A:D,4,0)</f>
        <v>OTC</v>
      </c>
      <c r="P35" s="8" t="str">
        <f ca="1">VLOOKUP(A35,[1]Projection!A:E,5,0)</f>
        <v>Karex / NRS</v>
      </c>
      <c r="Q35" s="183" cm="1">
        <f t="array" aca="1" ref="Q35" ca="1">AVERAGE(IF([1]Projection!$A$4:$A$74='Gestao de estoque'!A35,[1]Projection!$BL$4:$BX$74))</f>
        <v>203.07546153846152</v>
      </c>
      <c r="R35" s="14">
        <f ca="1">VLOOKUP(A35,[1]Projection!A:BA,35,0)</f>
        <v>726</v>
      </c>
      <c r="S35" s="14">
        <f ca="1">VLOOKUP('Gestao de estoque'!A35,[1]Projection!A:FN,170,0)</f>
        <v>2200</v>
      </c>
      <c r="T35" s="14">
        <f t="shared" ca="1" si="0"/>
        <v>2926</v>
      </c>
      <c r="U35" s="8">
        <f t="shared" ca="1" si="1"/>
        <v>14</v>
      </c>
      <c r="V35" s="8">
        <f ca="1">VLOOKUP(A35,[1]Projection!A:I,9,0)</f>
        <v>266</v>
      </c>
      <c r="W35" s="8">
        <f t="shared" ca="1" si="2"/>
        <v>9</v>
      </c>
      <c r="X35" s="8">
        <v>2</v>
      </c>
      <c r="Y35" s="8">
        <f t="shared" ca="1" si="3"/>
        <v>11</v>
      </c>
      <c r="Z35" s="14">
        <f t="shared" ca="1" si="4"/>
        <v>2234</v>
      </c>
      <c r="AA35" s="184">
        <f t="shared" ca="1" si="5"/>
        <v>-692</v>
      </c>
      <c r="AB35" s="26" t="str">
        <f t="shared" ca="1" si="6"/>
        <v>NORMAL</v>
      </c>
      <c r="AC35" s="14">
        <f ca="1">VLOOKUP(A35,[1]Projection!A:V,22,0)</f>
        <v>2200</v>
      </c>
      <c r="AD35" s="185">
        <f t="shared" ca="1" si="7"/>
        <v>0</v>
      </c>
      <c r="AE35" s="28">
        <f ca="1">VLOOKUP(A35,[1]Projection!A:FO,171,0)</f>
        <v>0</v>
      </c>
      <c r="AF35" s="28">
        <f t="shared" ca="1" si="8"/>
        <v>0</v>
      </c>
      <c r="AG35" s="186">
        <f t="shared" ca="1" si="9"/>
        <v>0</v>
      </c>
    </row>
    <row r="36" spans="1:33" x14ac:dyDescent="0.25">
      <c r="A36" s="26" t="s">
        <v>56</v>
      </c>
      <c r="B36" s="26" t="s">
        <v>387</v>
      </c>
      <c r="C36" s="8">
        <v>2237</v>
      </c>
      <c r="D36" s="8">
        <v>2733</v>
      </c>
      <c r="E36" s="8">
        <v>3240</v>
      </c>
      <c r="F36" s="8">
        <v>2103</v>
      </c>
      <c r="G36" s="8">
        <v>2011</v>
      </c>
      <c r="H36" s="8">
        <v>1247</v>
      </c>
      <c r="I36" s="8">
        <v>1179</v>
      </c>
      <c r="J36" s="8">
        <v>2109</v>
      </c>
      <c r="K36" s="8">
        <v>961</v>
      </c>
      <c r="L36" s="8">
        <v>1839</v>
      </c>
      <c r="M36" s="8">
        <v>988</v>
      </c>
      <c r="N36" s="8">
        <v>3881</v>
      </c>
      <c r="O36" s="8" t="str">
        <f ca="1">VLOOKUP(A36,[1]Projection!A:D,4,0)</f>
        <v>OTC</v>
      </c>
      <c r="P36" s="8" t="str">
        <f ca="1">VLOOKUP(A36,[1]Projection!A:E,5,0)</f>
        <v>Karex / NRS</v>
      </c>
      <c r="Q36" s="183" cm="1">
        <f t="array" aca="1" ref="Q36" ca="1">AVERAGE(IF([1]Projection!$A$4:$A$74='Gestao de estoque'!A36,[1]Projection!$BL$4:$BX$74))</f>
        <v>1291.4615384615386</v>
      </c>
      <c r="R36" s="14">
        <f ca="1">VLOOKUP(A36,[1]Projection!A:BA,35,0)</f>
        <v>1506</v>
      </c>
      <c r="S36" s="14">
        <f ca="1">VLOOKUP('Gestao de estoque'!A36,[1]Projection!A:FN,170,0)</f>
        <v>13200</v>
      </c>
      <c r="T36" s="14">
        <f t="shared" ca="1" si="0"/>
        <v>14706</v>
      </c>
      <c r="U36" s="8">
        <f t="shared" ca="1" si="1"/>
        <v>11</v>
      </c>
      <c r="V36" s="8">
        <f ca="1">VLOOKUP(A36,[1]Projection!A:I,9,0)</f>
        <v>266</v>
      </c>
      <c r="W36" s="8">
        <f t="shared" ca="1" si="2"/>
        <v>9</v>
      </c>
      <c r="X36" s="8">
        <v>3</v>
      </c>
      <c r="Y36" s="8">
        <f t="shared" ca="1" si="3"/>
        <v>12</v>
      </c>
      <c r="Z36" s="14">
        <f t="shared" ca="1" si="4"/>
        <v>15498</v>
      </c>
      <c r="AA36" s="184">
        <f t="shared" ca="1" si="5"/>
        <v>792</v>
      </c>
      <c r="AB36" s="26" t="str">
        <f t="shared" ca="1" si="6"/>
        <v>UNDERSTOCKED</v>
      </c>
      <c r="AC36" s="14">
        <f ca="1">VLOOKUP(A36,[1]Projection!A:V,22,0)</f>
        <v>2200</v>
      </c>
      <c r="AD36" s="185">
        <f t="shared" ca="1" si="7"/>
        <v>0</v>
      </c>
      <c r="AE36" s="28">
        <f ca="1">VLOOKUP(A36,[1]Projection!A:FO,171,0)</f>
        <v>4400</v>
      </c>
      <c r="AF36" s="28">
        <f t="shared" ca="1" si="8"/>
        <v>2</v>
      </c>
      <c r="AG36" s="186">
        <f t="shared" ca="1" si="9"/>
        <v>-2</v>
      </c>
    </row>
    <row r="37" spans="1:33" x14ac:dyDescent="0.25">
      <c r="A37" s="26" t="s">
        <v>79</v>
      </c>
      <c r="B37" s="26" t="s">
        <v>412</v>
      </c>
      <c r="C37" s="8">
        <v>881</v>
      </c>
      <c r="D37" s="8">
        <v>863</v>
      </c>
      <c r="E37" s="8">
        <v>1362</v>
      </c>
      <c r="F37" s="8">
        <v>738</v>
      </c>
      <c r="G37" s="8">
        <v>680.87699999999995</v>
      </c>
      <c r="H37" s="8">
        <v>337.73700000000002</v>
      </c>
      <c r="I37" s="8">
        <v>311.505</v>
      </c>
      <c r="J37" s="8">
        <v>322.435</v>
      </c>
      <c r="K37" s="8">
        <v>372.52699999999999</v>
      </c>
      <c r="L37" s="8">
        <v>372.71300000000002</v>
      </c>
      <c r="M37" s="8">
        <v>312</v>
      </c>
      <c r="N37" s="8">
        <v>1581</v>
      </c>
      <c r="O37" s="8" t="str">
        <f ca="1">VLOOKUP(A37,[1]Projection!A:D,4,0)</f>
        <v>OTC</v>
      </c>
      <c r="P37" s="8" t="str">
        <f ca="1">VLOOKUP(A37,[1]Projection!A:E,5,0)</f>
        <v>Karex / NRS</v>
      </c>
      <c r="Q37" s="183" cm="1">
        <f t="array" aca="1" ref="Q37" ca="1">AVERAGE(IF([1]Projection!$A$4:$A$74='Gestao de estoque'!A37,[1]Projection!$BL$4:$BX$74))</f>
        <v>349.53207692307689</v>
      </c>
      <c r="R37" s="14">
        <f ca="1">VLOOKUP(A37,[1]Projection!A:BA,35,0)</f>
        <v>2422</v>
      </c>
      <c r="S37" s="14">
        <f ca="1">VLOOKUP('Gestao de estoque'!A37,[1]Projection!A:FN,170,0)</f>
        <v>0</v>
      </c>
      <c r="T37" s="14">
        <f t="shared" ca="1" si="0"/>
        <v>2422</v>
      </c>
      <c r="U37" s="8">
        <f t="shared" ca="1" si="1"/>
        <v>7</v>
      </c>
      <c r="V37" s="8">
        <f ca="1">VLOOKUP(A37,[1]Projection!A:I,9,0)</f>
        <v>266</v>
      </c>
      <c r="W37" s="8">
        <f t="shared" ca="1" si="2"/>
        <v>9</v>
      </c>
      <c r="X37" s="8">
        <v>3</v>
      </c>
      <c r="Y37" s="8">
        <f t="shared" ca="1" si="3"/>
        <v>12</v>
      </c>
      <c r="Z37" s="14">
        <f t="shared" ca="1" si="4"/>
        <v>4194</v>
      </c>
      <c r="AA37" s="184">
        <f t="shared" ca="1" si="5"/>
        <v>1772</v>
      </c>
      <c r="AB37" s="26" t="str">
        <f t="shared" ca="1" si="6"/>
        <v>UNDERSTOCKED</v>
      </c>
      <c r="AC37" s="14">
        <f ca="1">VLOOKUP(A37,[1]Projection!A:V,22,0)</f>
        <v>2200</v>
      </c>
      <c r="AD37" s="185">
        <f t="shared" ca="1" si="7"/>
        <v>1</v>
      </c>
      <c r="AE37" s="28">
        <f ca="1">VLOOKUP(A37,[1]Projection!A:FO,171,0)</f>
        <v>2200</v>
      </c>
      <c r="AF37" s="28">
        <f t="shared" ca="1" si="8"/>
        <v>1</v>
      </c>
      <c r="AG37" s="186">
        <f t="shared" ca="1" si="9"/>
        <v>0</v>
      </c>
    </row>
    <row r="38" spans="1:33" x14ac:dyDescent="0.25">
      <c r="A38" s="26" t="s">
        <v>26</v>
      </c>
      <c r="B38" s="26" t="s">
        <v>357</v>
      </c>
      <c r="C38" s="8">
        <v>4888</v>
      </c>
      <c r="D38" s="8">
        <v>5874</v>
      </c>
      <c r="E38" s="8">
        <v>6794</v>
      </c>
      <c r="F38" s="8">
        <v>3776</v>
      </c>
      <c r="G38" s="8">
        <v>5216.857</v>
      </c>
      <c r="H38" s="8">
        <v>3134.7240000000002</v>
      </c>
      <c r="I38" s="8">
        <v>2572.922</v>
      </c>
      <c r="J38" s="8">
        <v>2776.22</v>
      </c>
      <c r="K38" s="8">
        <v>6310.73</v>
      </c>
      <c r="L38" s="8">
        <v>6420</v>
      </c>
      <c r="M38" s="8">
        <v>5635</v>
      </c>
      <c r="N38" s="8">
        <v>6051</v>
      </c>
      <c r="O38" s="8" t="str">
        <f ca="1">VLOOKUP(A38,[1]Projection!A:D,4,0)</f>
        <v>OTC</v>
      </c>
      <c r="P38" s="8" t="str">
        <f ca="1">VLOOKUP(A38,[1]Projection!A:E,5,0)</f>
        <v>Karex / NRS</v>
      </c>
      <c r="Q38" s="183" cm="1">
        <f t="array" aca="1" ref="Q38" ca="1">AVERAGE(IF([1]Projection!$A$4:$A$74='Gestao de estoque'!A38,[1]Projection!$BL$4:$BX$74))</f>
        <v>2805.9689230769227</v>
      </c>
      <c r="R38" s="14">
        <f ca="1">VLOOKUP(A38,[1]Projection!A:BA,35,0)</f>
        <v>6525</v>
      </c>
      <c r="S38" s="14">
        <f ca="1">VLOOKUP('Gestao de estoque'!A38,[1]Projection!A:FN,170,0)</f>
        <v>24260</v>
      </c>
      <c r="T38" s="14">
        <f t="shared" ca="1" si="0"/>
        <v>30785</v>
      </c>
      <c r="U38" s="8">
        <f t="shared" ca="1" si="1"/>
        <v>11</v>
      </c>
      <c r="V38" s="8">
        <f ca="1">VLOOKUP(A38,[1]Projection!A:I,9,0)</f>
        <v>266</v>
      </c>
      <c r="W38" s="8">
        <f t="shared" ca="1" si="2"/>
        <v>9</v>
      </c>
      <c r="X38" s="8">
        <v>3</v>
      </c>
      <c r="Y38" s="8">
        <f t="shared" ca="1" si="3"/>
        <v>12</v>
      </c>
      <c r="Z38" s="14">
        <f t="shared" ca="1" si="4"/>
        <v>33672</v>
      </c>
      <c r="AA38" s="184">
        <f t="shared" ca="1" si="5"/>
        <v>2887</v>
      </c>
      <c r="AB38" s="26" t="str">
        <f t="shared" ca="1" si="6"/>
        <v>UNDERSTOCKED</v>
      </c>
      <c r="AC38" s="14">
        <f ca="1">VLOOKUP(A38,[1]Projection!A:V,22,0)</f>
        <v>1780</v>
      </c>
      <c r="AD38" s="185">
        <f t="shared" ca="1" si="7"/>
        <v>2</v>
      </c>
      <c r="AE38" s="28">
        <f ca="1">VLOOKUP(A38,[1]Projection!A:FO,171,0)</f>
        <v>8900</v>
      </c>
      <c r="AF38" s="28">
        <f t="shared" ca="1" si="8"/>
        <v>5</v>
      </c>
      <c r="AG38" s="186">
        <f t="shared" ca="1" si="9"/>
        <v>-3</v>
      </c>
    </row>
    <row r="39" spans="1:33" x14ac:dyDescent="0.25">
      <c r="A39" s="26" t="s">
        <v>13</v>
      </c>
      <c r="B39" s="26" t="s">
        <v>365</v>
      </c>
      <c r="C39" s="8">
        <v>20009</v>
      </c>
      <c r="D39" s="8">
        <v>14416</v>
      </c>
      <c r="E39" s="8">
        <v>23259</v>
      </c>
      <c r="F39" s="8">
        <v>11003</v>
      </c>
      <c r="G39" s="8">
        <v>13704.345140000001</v>
      </c>
      <c r="H39" s="8">
        <v>6869.7673199999999</v>
      </c>
      <c r="I39" s="8">
        <v>6315.6163200000001</v>
      </c>
      <c r="J39" s="8">
        <v>8000</v>
      </c>
      <c r="K39" s="8">
        <v>22619</v>
      </c>
      <c r="L39" s="8">
        <v>23473</v>
      </c>
      <c r="M39" s="8">
        <v>15285</v>
      </c>
      <c r="N39" s="8">
        <v>8478</v>
      </c>
      <c r="O39" s="8" t="str">
        <f ca="1">VLOOKUP(A39,[1]Projection!A:D,4,0)</f>
        <v>OTC</v>
      </c>
      <c r="P39" s="8" t="str">
        <f ca="1">VLOOKUP(A39,[1]Projection!A:E,5,0)</f>
        <v>Karex / NRS</v>
      </c>
      <c r="Q39" s="183" cm="1">
        <f t="array" aca="1" ref="Q39" ca="1">AVERAGE(IF([1]Projection!$A$4:$A$74='Gestao de estoque'!A39,[1]Projection!$BL$4:$BX$74))</f>
        <v>7691.1833569230766</v>
      </c>
      <c r="R39" s="14">
        <f ca="1">VLOOKUP(A39,[1]Projection!A:BA,35,0)</f>
        <v>4886</v>
      </c>
      <c r="S39" s="14">
        <f ca="1">VLOOKUP('Gestao de estoque'!A39,[1]Projection!A:FN,170,0)</f>
        <v>81000</v>
      </c>
      <c r="T39" s="14">
        <f t="shared" ca="1" si="0"/>
        <v>85886</v>
      </c>
      <c r="U39" s="8">
        <f t="shared" ca="1" si="1"/>
        <v>11</v>
      </c>
      <c r="V39" s="8">
        <f ca="1">VLOOKUP(A39,[1]Projection!A:I,9,0)</f>
        <v>266</v>
      </c>
      <c r="W39" s="8">
        <f t="shared" ca="1" si="2"/>
        <v>9</v>
      </c>
      <c r="X39" s="8">
        <v>3</v>
      </c>
      <c r="Y39" s="8">
        <f t="shared" ca="1" si="3"/>
        <v>12</v>
      </c>
      <c r="Z39" s="14">
        <f t="shared" ca="1" si="4"/>
        <v>92294</v>
      </c>
      <c r="AA39" s="184">
        <f t="shared" ca="1" si="5"/>
        <v>6408</v>
      </c>
      <c r="AB39" s="26" t="str">
        <f t="shared" ca="1" si="6"/>
        <v>UNDERSTOCKED</v>
      </c>
      <c r="AC39" s="14">
        <f ca="1">VLOOKUP(A39,[1]Projection!A:V,22,0)</f>
        <v>3000</v>
      </c>
      <c r="AD39" s="185">
        <f t="shared" ca="1" si="7"/>
        <v>2</v>
      </c>
      <c r="AE39" s="28">
        <f ca="1">VLOOKUP(A39,[1]Projection!A:FO,171,0)</f>
        <v>27000</v>
      </c>
      <c r="AF39" s="28">
        <f t="shared" ca="1" si="8"/>
        <v>9</v>
      </c>
      <c r="AG39" s="186">
        <f t="shared" ca="1" si="9"/>
        <v>-7</v>
      </c>
    </row>
    <row r="40" spans="1:33" x14ac:dyDescent="0.25">
      <c r="A40" s="26" t="s">
        <v>22</v>
      </c>
      <c r="B40" s="26" t="s">
        <v>367</v>
      </c>
      <c r="C40" s="8">
        <v>8967</v>
      </c>
      <c r="D40" s="8">
        <v>8940</v>
      </c>
      <c r="E40" s="8">
        <v>15079</v>
      </c>
      <c r="F40" s="8">
        <v>9122</v>
      </c>
      <c r="G40" s="8">
        <v>14019</v>
      </c>
      <c r="H40" s="8">
        <v>7263</v>
      </c>
      <c r="I40" s="8">
        <v>4873</v>
      </c>
      <c r="J40" s="8">
        <v>9458</v>
      </c>
      <c r="K40" s="8">
        <v>17266</v>
      </c>
      <c r="L40" s="8">
        <v>16854</v>
      </c>
      <c r="M40" s="8">
        <v>11727</v>
      </c>
      <c r="N40" s="8">
        <v>10995</v>
      </c>
      <c r="O40" s="8" t="str">
        <f ca="1">VLOOKUP(A40,[1]Projection!A:D,4,0)</f>
        <v>OTC</v>
      </c>
      <c r="P40" s="8" t="str">
        <f ca="1">VLOOKUP(A40,[1]Projection!A:E,5,0)</f>
        <v>Karex / NRS</v>
      </c>
      <c r="Q40" s="183" cm="1">
        <f t="array" aca="1" ref="Q40" ca="1">AVERAGE(IF([1]Projection!$A$4:$A$74='Gestao de estoque'!A40,[1]Projection!$BL$4:$BX$74))</f>
        <v>5482.1538461538457</v>
      </c>
      <c r="R40" s="14">
        <f ca="1">VLOOKUP(A40,[1]Projection!A:BA,35,0)</f>
        <v>27423</v>
      </c>
      <c r="S40" s="14">
        <f ca="1">VLOOKUP('Gestao de estoque'!A40,[1]Projection!A:FN,170,0)</f>
        <v>68600</v>
      </c>
      <c r="T40" s="14">
        <f t="shared" ca="1" si="0"/>
        <v>96023</v>
      </c>
      <c r="U40" s="8">
        <f t="shared" ca="1" si="1"/>
        <v>18</v>
      </c>
      <c r="V40" s="8">
        <f ca="1">VLOOKUP(A40,[1]Projection!A:I,9,0)</f>
        <v>266</v>
      </c>
      <c r="W40" s="8">
        <f t="shared" ca="1" si="2"/>
        <v>9</v>
      </c>
      <c r="X40" s="8">
        <v>3</v>
      </c>
      <c r="Y40" s="8">
        <f t="shared" ca="1" si="3"/>
        <v>12</v>
      </c>
      <c r="Z40" s="14">
        <f t="shared" ca="1" si="4"/>
        <v>65786</v>
      </c>
      <c r="AA40" s="184">
        <f t="shared" ca="1" si="5"/>
        <v>-30237</v>
      </c>
      <c r="AB40" s="26" t="str">
        <f t="shared" ca="1" si="6"/>
        <v>NORMAL</v>
      </c>
      <c r="AC40" s="14">
        <f ca="1">VLOOKUP(A40,[1]Projection!A:V,22,0)</f>
        <v>2100</v>
      </c>
      <c r="AD40" s="185">
        <f t="shared" ca="1" si="7"/>
        <v>-14</v>
      </c>
      <c r="AE40" s="28">
        <f ca="1">VLOOKUP(A40,[1]Projection!A:FO,171,0)</f>
        <v>0</v>
      </c>
      <c r="AF40" s="28">
        <f t="shared" ca="1" si="8"/>
        <v>0</v>
      </c>
      <c r="AG40" s="186">
        <f t="shared" ca="1" si="9"/>
        <v>-14</v>
      </c>
    </row>
    <row r="41" spans="1:33" x14ac:dyDescent="0.25">
      <c r="A41" s="26" t="s">
        <v>40</v>
      </c>
      <c r="B41" s="26" t="s">
        <v>363</v>
      </c>
      <c r="C41" s="8">
        <v>3849</v>
      </c>
      <c r="D41" s="8">
        <v>4543</v>
      </c>
      <c r="E41" s="8">
        <v>5923</v>
      </c>
      <c r="F41" s="8">
        <v>4158</v>
      </c>
      <c r="G41" s="8">
        <v>7085</v>
      </c>
      <c r="H41" s="8">
        <v>4731</v>
      </c>
      <c r="I41" s="8">
        <v>5824</v>
      </c>
      <c r="J41" s="8">
        <v>4866</v>
      </c>
      <c r="K41" s="8">
        <v>7416</v>
      </c>
      <c r="L41" s="8">
        <v>5390</v>
      </c>
      <c r="M41" s="8">
        <v>7253</v>
      </c>
      <c r="N41" s="8">
        <v>5494</v>
      </c>
      <c r="O41" s="8" t="str">
        <f ca="1">VLOOKUP(A41,[1]Projection!A:D,4,0)</f>
        <v>OTC</v>
      </c>
      <c r="P41" s="8" t="str">
        <f ca="1">VLOOKUP(A41,[1]Projection!A:E,5,0)</f>
        <v>Karex / NRS</v>
      </c>
      <c r="Q41" s="183" cm="1">
        <f t="array" aca="1" ref="Q41" ca="1">AVERAGE(IF([1]Projection!$A$4:$A$74='Gestao de estoque'!A41,[1]Projection!$BL$4:$BX$74))</f>
        <v>3133.5384615384614</v>
      </c>
      <c r="R41" s="14">
        <f ca="1">VLOOKUP(A41,[1]Projection!A:BA,35,0)</f>
        <v>20703</v>
      </c>
      <c r="S41" s="14">
        <f ca="1">VLOOKUP('Gestao de estoque'!A41,[1]Projection!A:FN,170,0)</f>
        <v>27000</v>
      </c>
      <c r="T41" s="14">
        <f t="shared" ca="1" si="0"/>
        <v>47703</v>
      </c>
      <c r="U41" s="8">
        <f t="shared" ca="1" si="1"/>
        <v>15</v>
      </c>
      <c r="V41" s="8">
        <f ca="1">VLOOKUP(A41,[1]Projection!A:I,9,0)</f>
        <v>266</v>
      </c>
      <c r="W41" s="8">
        <f t="shared" ca="1" si="2"/>
        <v>9</v>
      </c>
      <c r="X41" s="8">
        <v>2</v>
      </c>
      <c r="Y41" s="8">
        <f t="shared" ca="1" si="3"/>
        <v>11</v>
      </c>
      <c r="Z41" s="14">
        <f t="shared" ca="1" si="4"/>
        <v>34469</v>
      </c>
      <c r="AA41" s="184">
        <f t="shared" ca="1" si="5"/>
        <v>-13234</v>
      </c>
      <c r="AB41" s="26" t="str">
        <f t="shared" ca="1" si="6"/>
        <v>NORMAL</v>
      </c>
      <c r="AC41" s="14">
        <f ca="1">VLOOKUP(A41,[1]Projection!A:V,22,0)</f>
        <v>3000</v>
      </c>
      <c r="AD41" s="185">
        <f t="shared" ca="1" si="7"/>
        <v>-4</v>
      </c>
      <c r="AE41" s="28">
        <f ca="1">VLOOKUP(A41,[1]Projection!A:FO,171,0)</f>
        <v>0</v>
      </c>
      <c r="AF41" s="28">
        <f t="shared" ca="1" si="8"/>
        <v>0</v>
      </c>
      <c r="AG41" s="186">
        <f t="shared" ca="1" si="9"/>
        <v>-4</v>
      </c>
    </row>
    <row r="42" spans="1:33" x14ac:dyDescent="0.25">
      <c r="A42" s="26" t="s">
        <v>30</v>
      </c>
      <c r="B42" s="26" t="s">
        <v>401</v>
      </c>
      <c r="C42" s="8">
        <v>6683</v>
      </c>
      <c r="D42" s="8">
        <v>8291</v>
      </c>
      <c r="E42" s="8">
        <v>8168</v>
      </c>
      <c r="F42" s="8">
        <v>10680</v>
      </c>
      <c r="G42" s="8">
        <v>16608.917860000001</v>
      </c>
      <c r="H42" s="8">
        <v>1937.6266800000001</v>
      </c>
      <c r="I42" s="8">
        <v>1781.3276799999999</v>
      </c>
      <c r="J42" s="8">
        <v>1721.93406</v>
      </c>
      <c r="K42" s="8">
        <v>6004.0276199999998</v>
      </c>
      <c r="L42" s="8">
        <v>6998</v>
      </c>
      <c r="M42" s="8">
        <v>6067</v>
      </c>
      <c r="N42" s="8">
        <v>7903</v>
      </c>
      <c r="O42" s="8" t="str">
        <f ca="1">VLOOKUP(A42,[1]Projection!A:D,4,0)</f>
        <v>OTC</v>
      </c>
      <c r="P42" s="8" t="str">
        <f ca="1">VLOOKUP(A42,[1]Projection!A:E,5,0)</f>
        <v>Thai Nippon</v>
      </c>
      <c r="Q42" s="183" cm="1">
        <f t="array" aca="1" ref="Q42" ca="1">AVERAGE(IF([1]Projection!$A$4:$A$74='Gestao de estoque'!A42,[1]Projection!$BL$4:$BX$74))</f>
        <v>4030.7627723076921</v>
      </c>
      <c r="R42" s="14">
        <f ca="1">VLOOKUP(A42,[1]Projection!A:BA,35,0)</f>
        <v>1481</v>
      </c>
      <c r="S42" s="14">
        <f ca="1">VLOOKUP('Gestao de estoque'!A42,[1]Projection!A:FN,170,0)</f>
        <v>34000</v>
      </c>
      <c r="T42" s="14">
        <f t="shared" ca="1" si="0"/>
        <v>35481</v>
      </c>
      <c r="U42" s="8">
        <f t="shared" ca="1" si="1"/>
        <v>9</v>
      </c>
      <c r="V42" s="8">
        <f ca="1">VLOOKUP(A42,[1]Projection!A:I,9,0)</f>
        <v>151</v>
      </c>
      <c r="W42" s="8">
        <f t="shared" ca="1" si="2"/>
        <v>5</v>
      </c>
      <c r="X42" s="8">
        <v>3</v>
      </c>
      <c r="Y42" s="8">
        <f t="shared" ca="1" si="3"/>
        <v>8</v>
      </c>
      <c r="Z42" s="14">
        <f t="shared" ca="1" si="4"/>
        <v>32246</v>
      </c>
      <c r="AA42" s="184">
        <f t="shared" ca="1" si="5"/>
        <v>-3235</v>
      </c>
      <c r="AB42" s="26" t="str">
        <f t="shared" ca="1" si="6"/>
        <v>NORMAL</v>
      </c>
      <c r="AC42" s="14">
        <f ca="1">VLOOKUP(A42,[1]Projection!A:V,22,0)</f>
        <v>3400</v>
      </c>
      <c r="AD42" s="185">
        <f t="shared" ca="1" si="7"/>
        <v>-1</v>
      </c>
      <c r="AE42" s="28">
        <f ca="1">VLOOKUP(A42,[1]Projection!A:FO,171,0)</f>
        <v>17000</v>
      </c>
      <c r="AF42" s="28">
        <f t="shared" ca="1" si="8"/>
        <v>5</v>
      </c>
      <c r="AG42" s="186">
        <f t="shared" ca="1" si="9"/>
        <v>-6</v>
      </c>
    </row>
    <row r="43" spans="1:33" x14ac:dyDescent="0.25">
      <c r="A43" s="26" t="s">
        <v>16</v>
      </c>
      <c r="B43" s="26" t="s">
        <v>359</v>
      </c>
      <c r="C43" s="8">
        <v>9182</v>
      </c>
      <c r="D43" s="8">
        <v>12342</v>
      </c>
      <c r="E43" s="8">
        <v>12976</v>
      </c>
      <c r="F43" s="8">
        <v>8947</v>
      </c>
      <c r="G43" s="8">
        <v>11721.308499999999</v>
      </c>
      <c r="H43" s="8">
        <v>5726.3800199999996</v>
      </c>
      <c r="I43" s="8">
        <v>5886.1328999999996</v>
      </c>
      <c r="J43" s="8">
        <v>6386.3115599999992</v>
      </c>
      <c r="K43" s="8">
        <v>11691.122879999999</v>
      </c>
      <c r="L43" s="8">
        <v>10407</v>
      </c>
      <c r="M43" s="8">
        <v>11020</v>
      </c>
      <c r="N43" s="8">
        <v>11127</v>
      </c>
      <c r="O43" s="8" t="str">
        <f ca="1">VLOOKUP(A43,[1]Projection!A:D,4,0)</f>
        <v>OTC</v>
      </c>
      <c r="P43" s="8" t="str">
        <f ca="1">VLOOKUP(A43,[1]Projection!A:E,5,0)</f>
        <v>Thai Nippon</v>
      </c>
      <c r="Q43" s="183" cm="1">
        <f t="array" aca="1" ref="Q43" ca="1">AVERAGE(IF([1]Projection!$A$4:$A$74='Gestao de estoque'!A43,[1]Projection!$BL$4:$BX$74))</f>
        <v>5985.7651815384606</v>
      </c>
      <c r="R43" s="14">
        <f ca="1">VLOOKUP(A43,[1]Projection!A:BA,35,0)</f>
        <v>22466</v>
      </c>
      <c r="S43" s="14">
        <f ca="1">VLOOKUP('Gestao de estoque'!A43,[1]Projection!A:FN,170,0)</f>
        <v>38800</v>
      </c>
      <c r="T43" s="14">
        <f t="shared" ca="1" si="0"/>
        <v>61266</v>
      </c>
      <c r="U43" s="8">
        <f t="shared" ca="1" si="1"/>
        <v>10</v>
      </c>
      <c r="V43" s="8">
        <f ca="1">VLOOKUP(A43,[1]Projection!A:I,9,0)</f>
        <v>151</v>
      </c>
      <c r="W43" s="8">
        <f t="shared" ca="1" si="2"/>
        <v>5</v>
      </c>
      <c r="X43" s="8">
        <v>3</v>
      </c>
      <c r="Y43" s="8">
        <f t="shared" ca="1" si="3"/>
        <v>8</v>
      </c>
      <c r="Z43" s="14">
        <f t="shared" ca="1" si="4"/>
        <v>47886</v>
      </c>
      <c r="AA43" s="184">
        <f t="shared" ca="1" si="5"/>
        <v>-13380</v>
      </c>
      <c r="AB43" s="26" t="str">
        <f t="shared" ca="1" si="6"/>
        <v>NORMAL</v>
      </c>
      <c r="AC43" s="14">
        <f ca="1">VLOOKUP(A43,[1]Projection!A:V,22,0)</f>
        <v>2600</v>
      </c>
      <c r="AD43" s="185">
        <f t="shared" ca="1" si="7"/>
        <v>-5</v>
      </c>
      <c r="AE43" s="28">
        <f ca="1">VLOOKUP(A43,[1]Projection!A:FO,171,0)</f>
        <v>18200</v>
      </c>
      <c r="AF43" s="28">
        <f t="shared" ca="1" si="8"/>
        <v>7</v>
      </c>
      <c r="AG43" s="186">
        <f t="shared" ca="1" si="9"/>
        <v>-12</v>
      </c>
    </row>
    <row r="44" spans="1:33" x14ac:dyDescent="0.25">
      <c r="A44" s="26" t="s">
        <v>36</v>
      </c>
      <c r="B44" s="26" t="s">
        <v>389</v>
      </c>
      <c r="C44" s="8">
        <v>7021</v>
      </c>
      <c r="D44" s="8">
        <v>8131</v>
      </c>
      <c r="E44" s="8">
        <v>8638</v>
      </c>
      <c r="F44" s="8">
        <v>26215</v>
      </c>
      <c r="G44" s="8">
        <v>6572.8345600000002</v>
      </c>
      <c r="H44" s="8">
        <v>3370.2873599999998</v>
      </c>
      <c r="I44" s="8">
        <v>2767.3011200000001</v>
      </c>
      <c r="J44" s="8">
        <v>2810.6713599999998</v>
      </c>
      <c r="K44" s="8">
        <v>8593.7388800000008</v>
      </c>
      <c r="L44" s="8">
        <v>7589</v>
      </c>
      <c r="M44" s="8">
        <v>6821</v>
      </c>
      <c r="N44" s="8">
        <v>8044</v>
      </c>
      <c r="O44" s="8" t="str">
        <f ca="1">VLOOKUP(A44,[1]Projection!A:D,4,0)</f>
        <v>OTC</v>
      </c>
      <c r="P44" s="8" t="str">
        <f ca="1">VLOOKUP(A44,[1]Projection!A:E,5,0)</f>
        <v>Thai Nippon</v>
      </c>
      <c r="Q44" s="183" cm="1">
        <f t="array" aca="1" ref="Q44" ca="1">AVERAGE(IF([1]Projection!$A$4:$A$74='Gestao de estoque'!A44,[1]Projection!$BL$4:$BX$74))</f>
        <v>3611.6922092307695</v>
      </c>
      <c r="R44" s="14">
        <f ca="1">VLOOKUP(A44,[1]Projection!A:BA,35,0)</f>
        <v>6552</v>
      </c>
      <c r="S44" s="14">
        <f ca="1">VLOOKUP('Gestao de estoque'!A44,[1]Projection!A:FN,170,0)</f>
        <v>27200</v>
      </c>
      <c r="T44" s="14">
        <f t="shared" ca="1" si="0"/>
        <v>33752</v>
      </c>
      <c r="U44" s="8">
        <f t="shared" ca="1" si="1"/>
        <v>9</v>
      </c>
      <c r="V44" s="8">
        <f ca="1">VLOOKUP(A44,[1]Projection!A:I,9,0)</f>
        <v>151</v>
      </c>
      <c r="W44" s="8">
        <f t="shared" ca="1" si="2"/>
        <v>5</v>
      </c>
      <c r="X44" s="8">
        <v>3</v>
      </c>
      <c r="Y44" s="8">
        <f t="shared" ca="1" si="3"/>
        <v>8</v>
      </c>
      <c r="Z44" s="14">
        <f t="shared" ca="1" si="4"/>
        <v>28894</v>
      </c>
      <c r="AA44" s="184">
        <f t="shared" ca="1" si="5"/>
        <v>-4858</v>
      </c>
      <c r="AB44" s="26" t="str">
        <f t="shared" ca="1" si="6"/>
        <v>NORMAL</v>
      </c>
      <c r="AC44" s="14">
        <f ca="1">VLOOKUP(A44,[1]Projection!A:V,22,0)</f>
        <v>3400</v>
      </c>
      <c r="AD44" s="185">
        <f t="shared" ca="1" si="7"/>
        <v>-1</v>
      </c>
      <c r="AE44" s="28">
        <f ca="1">VLOOKUP(A44,[1]Projection!A:FO,171,0)</f>
        <v>17000</v>
      </c>
      <c r="AF44" s="28">
        <f t="shared" ca="1" si="8"/>
        <v>5</v>
      </c>
      <c r="AG44" s="186">
        <f t="shared" ca="1" si="9"/>
        <v>-6</v>
      </c>
    </row>
    <row r="45" spans="1:33" x14ac:dyDescent="0.25">
      <c r="A45" s="26" t="s">
        <v>81</v>
      </c>
      <c r="B45" s="26" t="s">
        <v>447</v>
      </c>
      <c r="C45" s="8">
        <v>0</v>
      </c>
      <c r="D45" s="8">
        <v>0</v>
      </c>
      <c r="E45" s="8">
        <v>0</v>
      </c>
      <c r="F45" s="8">
        <v>0</v>
      </c>
      <c r="G45" s="8">
        <v>143.68291666666673</v>
      </c>
      <c r="H45" s="8">
        <v>158.53383333333335</v>
      </c>
      <c r="I45" s="8">
        <v>319</v>
      </c>
      <c r="J45" s="8">
        <v>390.5</v>
      </c>
      <c r="K45" s="8">
        <v>405.9</v>
      </c>
      <c r="L45" s="8">
        <v>328.9</v>
      </c>
      <c r="M45" s="8">
        <v>409.2</v>
      </c>
      <c r="N45" s="8">
        <v>357.5</v>
      </c>
      <c r="O45" s="8" t="str">
        <f ca="1">VLOOKUP(A45,[1]Projection!A:D,4,0)</f>
        <v>OTC</v>
      </c>
      <c r="P45" s="8" t="str">
        <f ca="1">VLOOKUP(A45,[1]Projection!A:E,5,0)</f>
        <v>Karex / NRS</v>
      </c>
      <c r="Q45" s="183" cm="1">
        <f t="array" aca="1" ref="Q45" ca="1">IFERROR(AVERAGE(IF([1]Projection!$A$4:$A$74='Gestao de estoque'!A45,[1]Projection!$BL$4:$BX$74)),"-")</f>
        <v>239.04106410256415</v>
      </c>
      <c r="R45" s="14">
        <f ca="1">VLOOKUP(A45,[1]Projection!A:BA,35,0)</f>
        <v>0</v>
      </c>
      <c r="S45" s="14">
        <f ca="1">VLOOKUP('Gestao de estoque'!A45,[1]Projection!A:FN,170,0)</f>
        <v>0</v>
      </c>
      <c r="T45" s="14">
        <f t="shared" ca="1" si="0"/>
        <v>0</v>
      </c>
      <c r="U45" s="8">
        <f ca="1">IFERROR(ROUND(T45/Q45,0),"-")</f>
        <v>0</v>
      </c>
      <c r="V45" s="8">
        <f ca="1">VLOOKUP(A45,[1]Projection!A:I,9,0)</f>
        <v>266</v>
      </c>
      <c r="W45" s="8">
        <f t="shared" ca="1" si="2"/>
        <v>9</v>
      </c>
      <c r="X45" s="8">
        <v>3</v>
      </c>
      <c r="Y45" s="8">
        <f t="shared" ca="1" si="3"/>
        <v>12</v>
      </c>
      <c r="Z45" s="14">
        <f ca="1">IFERROR(ROUND(Q45*Y45,0),"-")</f>
        <v>2868</v>
      </c>
      <c r="AA45" s="184">
        <f ca="1">IFERROR(ROUND(Z45-T45,0),"-")</f>
        <v>2868</v>
      </c>
      <c r="AB45" s="26" t="s">
        <v>524</v>
      </c>
      <c r="AC45" s="14">
        <f ca="1">VLOOKUP(A45,[1]Projection!A:V,22,0)</f>
        <v>1340</v>
      </c>
      <c r="AD45" s="185">
        <f ca="1">IFERROR(ROUND(AA45/AC45,0),"-")</f>
        <v>2</v>
      </c>
      <c r="AE45" s="28">
        <f ca="1">VLOOKUP(A45,[1]Projection!A:FO,171,0)</f>
        <v>0</v>
      </c>
      <c r="AF45" s="28">
        <f t="shared" ca="1" si="8"/>
        <v>0</v>
      </c>
      <c r="AG45" s="186">
        <f ca="1">IFERROR(AD45-AF45,"-")</f>
        <v>2</v>
      </c>
    </row>
    <row r="46" spans="1:33" x14ac:dyDescent="0.25">
      <c r="A46" s="26" t="s">
        <v>74</v>
      </c>
      <c r="B46" s="26" t="s">
        <v>444</v>
      </c>
      <c r="C46" s="8">
        <v>0</v>
      </c>
      <c r="D46" s="8">
        <v>0</v>
      </c>
      <c r="E46" s="8">
        <v>0</v>
      </c>
      <c r="F46" s="8">
        <v>0</v>
      </c>
      <c r="G46" s="8">
        <v>174.69375000000005</v>
      </c>
      <c r="H46" s="8">
        <v>189.19450000000001</v>
      </c>
      <c r="I46" s="8">
        <v>423.5</v>
      </c>
      <c r="J46" s="8">
        <v>438.9</v>
      </c>
      <c r="K46" s="8">
        <v>464.2</v>
      </c>
      <c r="L46" s="8">
        <v>435.6</v>
      </c>
      <c r="M46" s="8">
        <v>453.2</v>
      </c>
      <c r="N46" s="8">
        <v>456.5</v>
      </c>
      <c r="O46" s="8" t="str">
        <f ca="1">VLOOKUP(A46,[1]Projection!A:D,4,0)</f>
        <v>OTC</v>
      </c>
      <c r="P46" s="8" t="str">
        <f ca="1">VLOOKUP(A46,[1]Projection!A:E,5,0)</f>
        <v>Karex / NRS</v>
      </c>
      <c r="Q46" s="183" cm="1">
        <f t="array" aca="1" ref="Q46" ca="1">IFERROR(AVERAGE(IF([1]Projection!$A$4:$A$74='Gestao de estoque'!A46,[1]Projection!$BL$4:$BX$74)),"-")</f>
        <v>260.39188461538464</v>
      </c>
      <c r="R46" s="14">
        <f ca="1">VLOOKUP(A46,[1]Projection!A:BA,35,0)</f>
        <v>0</v>
      </c>
      <c r="S46" s="14">
        <f ca="1">VLOOKUP('Gestao de estoque'!A46,[1]Projection!A:FN,170,0)</f>
        <v>1340</v>
      </c>
      <c r="T46" s="14">
        <f t="shared" ca="1" si="0"/>
        <v>1340</v>
      </c>
      <c r="U46" s="8">
        <f t="shared" ref="U46:U47" ca="1" si="10">IFERROR(ROUND(T46/Q46,0),"-")</f>
        <v>5</v>
      </c>
      <c r="V46" s="8">
        <f ca="1">VLOOKUP(A46,[1]Projection!A:I,9,0)</f>
        <v>266</v>
      </c>
      <c r="W46" s="8">
        <f t="shared" ca="1" si="2"/>
        <v>9</v>
      </c>
      <c r="X46" s="8">
        <v>2</v>
      </c>
      <c r="Y46" s="8">
        <f t="shared" ca="1" si="3"/>
        <v>11</v>
      </c>
      <c r="Z46" s="14">
        <f t="shared" ref="Z46:Z47" ca="1" si="11">IFERROR(ROUND(Q46*Y46,0),"-")</f>
        <v>2864</v>
      </c>
      <c r="AA46" s="184">
        <f t="shared" ref="AA46:AA47" ca="1" si="12">IFERROR(ROUND(Z46-T46,0),"-")</f>
        <v>1524</v>
      </c>
      <c r="AB46" s="26" t="s">
        <v>524</v>
      </c>
      <c r="AC46" s="14">
        <f ca="1">VLOOKUP(A46,[1]Projection!A:V,22,0)</f>
        <v>1340</v>
      </c>
      <c r="AD46" s="185">
        <f t="shared" ref="AD46:AD47" ca="1" si="13">IFERROR(ROUND(AA46/AC46,0),"-")</f>
        <v>1</v>
      </c>
      <c r="AE46" s="28">
        <f ca="1">VLOOKUP(A46,[1]Projection!A:FO,171,0)</f>
        <v>1340</v>
      </c>
      <c r="AF46" s="28">
        <f t="shared" ca="1" si="8"/>
        <v>1</v>
      </c>
      <c r="AG46" s="186">
        <f t="shared" ref="AG46:AG47" ca="1" si="14">IFERROR(AD46-AF46,"-")</f>
        <v>0</v>
      </c>
    </row>
    <row r="47" spans="1:33" x14ac:dyDescent="0.25">
      <c r="A47" s="26" t="s">
        <v>63</v>
      </c>
      <c r="B47" s="26" t="s">
        <v>431</v>
      </c>
      <c r="C47" s="8">
        <v>0</v>
      </c>
      <c r="D47" s="8">
        <v>0</v>
      </c>
      <c r="E47" s="8">
        <v>0</v>
      </c>
      <c r="F47" s="8">
        <v>0</v>
      </c>
      <c r="G47" s="8">
        <v>434.71009999999984</v>
      </c>
      <c r="H47" s="8">
        <v>567.04720416666657</v>
      </c>
      <c r="I47" s="8">
        <v>1419</v>
      </c>
      <c r="J47" s="8">
        <v>944.9</v>
      </c>
      <c r="K47" s="8">
        <v>1097.8</v>
      </c>
      <c r="L47" s="8">
        <v>995.5</v>
      </c>
      <c r="M47" s="8">
        <v>1108.8</v>
      </c>
      <c r="N47" s="8">
        <v>1078</v>
      </c>
      <c r="O47" s="8" t="str">
        <f ca="1">VLOOKUP(A47,[1]Projection!A:D,4,0)</f>
        <v>OTC</v>
      </c>
      <c r="P47" s="8" t="str">
        <f ca="1">VLOOKUP(A47,[1]Projection!A:E,5,0)</f>
        <v>Karex / NRS</v>
      </c>
      <c r="Q47" s="183" cm="1">
        <f t="array" aca="1" ref="Q47" ca="1">IFERROR(AVERAGE(IF([1]Projection!$A$4:$A$74='Gestao de estoque'!A47,[1]Projection!$BL$4:$BX$74)),"-")</f>
        <v>636.46516955128209</v>
      </c>
      <c r="R47" s="14">
        <f ca="1">VLOOKUP(A47,[1]Projection!A:BA,35,0)</f>
        <v>0</v>
      </c>
      <c r="S47" s="14">
        <f ca="1">VLOOKUP('Gestao de estoque'!A47,[1]Projection!A:FN,170,0)</f>
        <v>2680</v>
      </c>
      <c r="T47" s="14">
        <f t="shared" ca="1" si="0"/>
        <v>2680</v>
      </c>
      <c r="U47" s="8">
        <f t="shared" ca="1" si="10"/>
        <v>4</v>
      </c>
      <c r="V47" s="8">
        <f ca="1">VLOOKUP(A47,[1]Projection!A:I,9,0)</f>
        <v>266</v>
      </c>
      <c r="W47" s="8">
        <f t="shared" ca="1" si="2"/>
        <v>9</v>
      </c>
      <c r="X47" s="8">
        <v>3</v>
      </c>
      <c r="Y47" s="8">
        <f t="shared" ca="1" si="3"/>
        <v>12</v>
      </c>
      <c r="Z47" s="14">
        <f t="shared" ca="1" si="11"/>
        <v>7638</v>
      </c>
      <c r="AA47" s="184">
        <f t="shared" ca="1" si="12"/>
        <v>4958</v>
      </c>
      <c r="AB47" s="26" t="s">
        <v>524</v>
      </c>
      <c r="AC47" s="14">
        <f ca="1">VLOOKUP(A47,[1]Projection!A:V,22,0)</f>
        <v>1340</v>
      </c>
      <c r="AD47" s="185">
        <f t="shared" ca="1" si="13"/>
        <v>4</v>
      </c>
      <c r="AE47" s="28">
        <f ca="1">VLOOKUP(A47,[1]Projection!A:FO,171,0)</f>
        <v>2680</v>
      </c>
      <c r="AF47" s="28">
        <f t="shared" ca="1" si="8"/>
        <v>2</v>
      </c>
      <c r="AG47" s="186">
        <f t="shared" ca="1" si="14"/>
        <v>2</v>
      </c>
    </row>
    <row r="48" spans="1:33" x14ac:dyDescent="0.25">
      <c r="A48" s="26" t="s">
        <v>18</v>
      </c>
      <c r="B48" s="26" t="s">
        <v>434</v>
      </c>
      <c r="C48" s="8">
        <v>85380</v>
      </c>
      <c r="D48" s="8">
        <v>116080</v>
      </c>
      <c r="E48" s="8">
        <v>528580</v>
      </c>
      <c r="F48" s="8">
        <v>485080</v>
      </c>
      <c r="G48" s="8">
        <v>380000</v>
      </c>
      <c r="H48" s="8">
        <v>234000</v>
      </c>
      <c r="I48" s="8">
        <v>120000</v>
      </c>
      <c r="J48" s="8">
        <v>120000</v>
      </c>
      <c r="K48" s="8">
        <v>165720</v>
      </c>
      <c r="L48" s="8">
        <v>143238</v>
      </c>
      <c r="M48" s="8">
        <v>142300</v>
      </c>
      <c r="N48" s="8">
        <v>151260</v>
      </c>
      <c r="O48" s="8" t="str">
        <f ca="1">VLOOKUP(A48,[1]Projection!A:D,4,0)</f>
        <v>Ethical</v>
      </c>
      <c r="P48" s="8" t="str">
        <f ca="1">VLOOKUP(A48,[1]Projection!A:E,5,0)</f>
        <v>Senador / Mylan</v>
      </c>
      <c r="Q48" s="183" cm="1">
        <f t="array" aca="1" ref="Q48" ca="1">AVERAGE(IF([1]Projection!$A$4:$A$74='Gestao de estoque'!A48,[1]Projection!$BL$4:$BX$74))</f>
        <v>233846.15384615384</v>
      </c>
      <c r="R48" s="14">
        <f ca="1">VLOOKUP(A48,[1]Projection!A:BA,35,0)</f>
        <v>5085</v>
      </c>
      <c r="S48" s="14">
        <f ca="1">VLOOKUP('Gestao de estoque'!A48,[1]Projection!A:FN,170,0)</f>
        <v>1920000</v>
      </c>
      <c r="T48" s="14">
        <f t="shared" ca="1" si="0"/>
        <v>1925085</v>
      </c>
      <c r="U48" s="8">
        <f t="shared" ref="U48:U117" ca="1" si="15">ROUND(T48/Q48,0)</f>
        <v>8</v>
      </c>
      <c r="V48" s="8">
        <f ca="1">VLOOKUP(A48,[1]Projection!A:I,9,0)</f>
        <v>266</v>
      </c>
      <c r="W48" s="8">
        <f t="shared" ca="1" si="2"/>
        <v>9</v>
      </c>
      <c r="X48" s="8">
        <v>2</v>
      </c>
      <c r="Y48" s="8">
        <f t="shared" ca="1" si="3"/>
        <v>11</v>
      </c>
      <c r="Z48" s="14">
        <f t="shared" ref="Z48:Z117" ca="1" si="16">ROUND(Q48*Y48,0)</f>
        <v>2572308</v>
      </c>
      <c r="AA48" s="184">
        <f t="shared" ref="AA48:AA117" ca="1" si="17">ROUND(Z48-T48,0)</f>
        <v>647223</v>
      </c>
      <c r="AB48" s="26" t="str">
        <f t="shared" ref="AB48:AB117" ca="1" si="18">IF(U48&lt;1,"STOCKOUT RISK",IF(U48=Y48,"NORMAL",IF(U48&lt;Y48,"UNDERSTOCKED",IF(U48&gt;Y48*1.5,"OVERSTOCKED","NORMAL"))))</f>
        <v>UNDERSTOCKED</v>
      </c>
      <c r="AC48" s="14">
        <f ca="1">VLOOKUP(A48,[1]Projection!A:V,22,0)</f>
        <v>130000</v>
      </c>
      <c r="AD48" s="185">
        <f t="shared" ref="AD48:AD117" ca="1" si="19">ROUND(AA48/AC48,0)</f>
        <v>5</v>
      </c>
      <c r="AE48" s="28">
        <f ca="1">VLOOKUP(A48,[1]Projection!A:FO,171,0)</f>
        <v>2080000</v>
      </c>
      <c r="AF48" s="28">
        <f t="shared" ca="1" si="8"/>
        <v>16</v>
      </c>
      <c r="AG48" s="186">
        <f t="shared" ref="AG48:AG117" ca="1" si="20">AD48-AF48</f>
        <v>-11</v>
      </c>
    </row>
    <row r="49" spans="1:33" x14ac:dyDescent="0.25">
      <c r="A49" s="26" t="s">
        <v>35</v>
      </c>
      <c r="B49" s="26" t="s">
        <v>343</v>
      </c>
      <c r="C49" s="8">
        <v>831</v>
      </c>
      <c r="D49" s="8">
        <v>1048</v>
      </c>
      <c r="E49" s="8">
        <v>1427</v>
      </c>
      <c r="F49" s="8">
        <v>1368</v>
      </c>
      <c r="G49" s="8">
        <v>1095.3389999999999</v>
      </c>
      <c r="H49" s="8">
        <v>664.54399999999998</v>
      </c>
      <c r="I49" s="8">
        <v>433.92099999999999</v>
      </c>
      <c r="J49" s="8">
        <v>426.27</v>
      </c>
      <c r="K49" s="8">
        <v>1380.222</v>
      </c>
      <c r="L49" s="8">
        <v>1083.4780000000001</v>
      </c>
      <c r="M49" s="8">
        <v>1054</v>
      </c>
      <c r="N49" s="8">
        <v>1419</v>
      </c>
      <c r="O49" s="8" t="str">
        <f ca="1">VLOOKUP(A49,[1]Projection!A:D,4,0)</f>
        <v>OTC</v>
      </c>
      <c r="P49" s="8" t="str">
        <f ca="1">VLOOKUP(A49,[1]Projection!A:E,5,0)</f>
        <v>FW</v>
      </c>
      <c r="Q49" s="183" cm="1">
        <f t="array" aca="1" ref="Q49" ca="1">AVERAGE(IF([1]Projection!$A$4:$A$74='Gestao de estoque'!A49,[1]Projection!$BK$4:$BW$74))</f>
        <v>527.59800000000007</v>
      </c>
      <c r="R49" s="14">
        <f ca="1">VLOOKUP(A49,[1]Projection!A:BA,35,0)</f>
        <v>1275</v>
      </c>
      <c r="S49" s="14">
        <f ca="1">VLOOKUP('Gestao de estoque'!A49,[1]Projection!A:FN,170,0)</f>
        <v>0</v>
      </c>
      <c r="T49" s="14">
        <f t="shared" ca="1" si="0"/>
        <v>1275</v>
      </c>
      <c r="U49" s="8">
        <f t="shared" ca="1" si="15"/>
        <v>2</v>
      </c>
      <c r="V49" s="8">
        <f ca="1">VLOOKUP(A49,[1]Projection!A:I,9,0)</f>
        <v>70</v>
      </c>
      <c r="W49" s="8">
        <f t="shared" ca="1" si="2"/>
        <v>2</v>
      </c>
      <c r="X49" s="8">
        <v>3</v>
      </c>
      <c r="Y49" s="8">
        <f t="shared" ca="1" si="3"/>
        <v>5</v>
      </c>
      <c r="Z49" s="14">
        <f t="shared" ca="1" si="16"/>
        <v>2638</v>
      </c>
      <c r="AA49" s="184">
        <f t="shared" ca="1" si="17"/>
        <v>1363</v>
      </c>
      <c r="AB49" s="26" t="str">
        <f t="shared" ca="1" si="18"/>
        <v>UNDERSTOCKED</v>
      </c>
      <c r="AC49" s="14">
        <f ca="1">VLOOKUP(A49,[1]Projection!A:V,22,0)</f>
        <v>1000</v>
      </c>
      <c r="AD49" s="185">
        <f t="shared" ca="1" si="19"/>
        <v>1</v>
      </c>
      <c r="AE49" s="28">
        <f ca="1">VLOOKUP(A49,[1]Projection!A:FO,171,0)</f>
        <v>0</v>
      </c>
      <c r="AF49" s="28">
        <f t="shared" ca="1" si="8"/>
        <v>0</v>
      </c>
      <c r="AG49" s="186">
        <f t="shared" ca="1" si="20"/>
        <v>1</v>
      </c>
    </row>
    <row r="50" spans="1:33" x14ac:dyDescent="0.25">
      <c r="A50" s="26" t="s">
        <v>15</v>
      </c>
      <c r="B50" s="26" t="s">
        <v>345</v>
      </c>
      <c r="C50" s="8">
        <v>800</v>
      </c>
      <c r="D50" s="8">
        <v>3500</v>
      </c>
      <c r="E50" s="8">
        <v>9700</v>
      </c>
      <c r="F50" s="8">
        <v>1800</v>
      </c>
      <c r="G50" s="8">
        <v>2000</v>
      </c>
      <c r="H50" s="8">
        <v>2000</v>
      </c>
      <c r="I50" s="8">
        <v>1000</v>
      </c>
      <c r="J50" s="8">
        <v>1000</v>
      </c>
      <c r="K50" s="8">
        <v>2100</v>
      </c>
      <c r="L50" s="8">
        <v>1500</v>
      </c>
      <c r="M50" s="8">
        <v>2700</v>
      </c>
      <c r="N50" s="8">
        <v>1600</v>
      </c>
      <c r="O50" s="8" t="str">
        <f ca="1">VLOOKUP(A50,[1]Projection!A:D,4,0)</f>
        <v>Ethical</v>
      </c>
      <c r="P50" s="8" t="str">
        <f ca="1">VLOOKUP(A50,[1]Projection!A:E,5,0)</f>
        <v>Hemafarma</v>
      </c>
      <c r="Q50" s="183" cm="1">
        <f t="array" aca="1" ref="Q50" ca="1">AVERAGE(IF([1]Projection!$A$4:$A$74='Gestao de estoque'!A50,[1]Projection!$BK$4:$BW$74))</f>
        <v>923.07692307692309</v>
      </c>
      <c r="R50" s="14">
        <f ca="1">VLOOKUP(A50,[1]Projection!A:BA,35,0)</f>
        <v>37800</v>
      </c>
      <c r="S50" s="14">
        <f ca="1">VLOOKUP('Gestao de estoque'!A50,[1]Projection!A:FN,170,0)</f>
        <v>0</v>
      </c>
      <c r="T50" s="14">
        <f t="shared" ca="1" si="0"/>
        <v>37800</v>
      </c>
      <c r="U50" s="8">
        <f t="shared" ca="1" si="15"/>
        <v>41</v>
      </c>
      <c r="V50" s="8">
        <f ca="1">VLOOKUP(A50,[1]Projection!A:I,9,0)</f>
        <v>190</v>
      </c>
      <c r="W50" s="8">
        <f t="shared" ca="1" si="2"/>
        <v>6</v>
      </c>
      <c r="X50" s="8">
        <v>2</v>
      </c>
      <c r="Y50" s="8">
        <f t="shared" ca="1" si="3"/>
        <v>8</v>
      </c>
      <c r="Z50" s="14">
        <f t="shared" ca="1" si="16"/>
        <v>7385</v>
      </c>
      <c r="AA50" s="184">
        <f t="shared" ca="1" si="17"/>
        <v>-30415</v>
      </c>
      <c r="AB50" s="26" t="str">
        <f t="shared" ca="1" si="18"/>
        <v>OVERSTOCKED</v>
      </c>
      <c r="AC50" s="14">
        <f ca="1">VLOOKUP(A50,[1]Projection!A:V,22,0)</f>
        <v>124000</v>
      </c>
      <c r="AD50" s="185">
        <f t="shared" ca="1" si="19"/>
        <v>0</v>
      </c>
      <c r="AE50" s="188">
        <f ca="1">VLOOKUP(A50,[1]Projection!A:FO,171,0)</f>
        <v>0</v>
      </c>
      <c r="AF50" s="187">
        <f t="shared" ca="1" si="8"/>
        <v>0</v>
      </c>
      <c r="AG50" s="186">
        <f t="shared" ca="1" si="20"/>
        <v>0</v>
      </c>
    </row>
    <row r="51" spans="1:33" x14ac:dyDescent="0.25">
      <c r="A51" s="26" t="s">
        <v>23</v>
      </c>
      <c r="B51" s="26" t="s">
        <v>342</v>
      </c>
      <c r="C51" s="8">
        <v>2534</v>
      </c>
      <c r="D51" s="8">
        <v>1147</v>
      </c>
      <c r="E51" s="8">
        <v>2083</v>
      </c>
      <c r="F51" s="8">
        <v>1504</v>
      </c>
      <c r="G51" s="8">
        <v>2128</v>
      </c>
      <c r="H51" s="8">
        <v>2050</v>
      </c>
      <c r="I51" s="8">
        <v>1296</v>
      </c>
      <c r="J51" s="8">
        <v>1058</v>
      </c>
      <c r="K51" s="8">
        <v>1380</v>
      </c>
      <c r="L51" s="8">
        <v>2175</v>
      </c>
      <c r="M51" s="8">
        <v>1682</v>
      </c>
      <c r="N51" s="8">
        <v>1854</v>
      </c>
      <c r="O51" s="8" t="str">
        <f ca="1">VLOOKUP(A51,[1]Projection!A:D,4,0)</f>
        <v>Ethical</v>
      </c>
      <c r="P51" s="8" t="str">
        <f ca="1">VLOOKUP(A51,[1]Projection!A:E,5,0)</f>
        <v>DKT WCG</v>
      </c>
      <c r="Q51" s="183" cm="1">
        <f t="array" aca="1" ref="Q51" ca="1">AVERAGE(IF([1]Projection!$A$4:$A$74='Gestao de estoque'!A51,[1]Projection!$BL$4:$BX$74))</f>
        <v>1035.8461538461538</v>
      </c>
      <c r="R51" s="14">
        <f ca="1">VLOOKUP(A51,[1]Projection!A:BA,35,0)</f>
        <v>2242</v>
      </c>
      <c r="S51" s="14">
        <f ca="1">VLOOKUP('Gestao de estoque'!A51,[1]Projection!A:FN,170,0)</f>
        <v>12000</v>
      </c>
      <c r="T51" s="14">
        <f t="shared" ca="1" si="0"/>
        <v>14242</v>
      </c>
      <c r="U51" s="8">
        <f t="shared" ca="1" si="15"/>
        <v>14</v>
      </c>
      <c r="V51" s="8">
        <f ca="1">VLOOKUP(A51,[1]Projection!A:I,9,0)</f>
        <v>212</v>
      </c>
      <c r="W51" s="8">
        <f t="shared" ca="1" si="2"/>
        <v>7</v>
      </c>
      <c r="X51" s="8">
        <v>3</v>
      </c>
      <c r="Y51" s="8">
        <f t="shared" ca="1" si="3"/>
        <v>10</v>
      </c>
      <c r="Z51" s="14">
        <f t="shared" ca="1" si="16"/>
        <v>10358</v>
      </c>
      <c r="AA51" s="184">
        <f t="shared" ca="1" si="17"/>
        <v>-3884</v>
      </c>
      <c r="AB51" s="26" t="str">
        <f t="shared" ca="1" si="18"/>
        <v>NORMAL</v>
      </c>
      <c r="AC51" s="14">
        <f ca="1">VLOOKUP(A51,[1]Projection!A:V,22,0)</f>
        <v>1000</v>
      </c>
      <c r="AD51" s="185">
        <f t="shared" ca="1" si="19"/>
        <v>-4</v>
      </c>
      <c r="AE51" s="28">
        <f ca="1">VLOOKUP(A51,[1]Projection!A:FO,171,0)</f>
        <v>0</v>
      </c>
      <c r="AF51" s="28">
        <f t="shared" ca="1" si="8"/>
        <v>0</v>
      </c>
      <c r="AG51" s="186">
        <f t="shared" ca="1" si="20"/>
        <v>-4</v>
      </c>
    </row>
    <row r="52" spans="1:33" x14ac:dyDescent="0.25">
      <c r="A52" s="26" t="s">
        <v>49</v>
      </c>
      <c r="B52" s="26" t="s">
        <v>438</v>
      </c>
      <c r="C52" s="8">
        <v>1088</v>
      </c>
      <c r="D52" s="8">
        <v>495</v>
      </c>
      <c r="E52" s="8">
        <v>1223.5</v>
      </c>
      <c r="F52" s="8">
        <v>696</v>
      </c>
      <c r="G52" s="8">
        <v>1159.5</v>
      </c>
      <c r="H52" s="8">
        <v>991</v>
      </c>
      <c r="I52" s="8">
        <v>339.60499999999996</v>
      </c>
      <c r="J52" s="8">
        <v>340</v>
      </c>
      <c r="K52" s="8">
        <v>560</v>
      </c>
      <c r="L52" s="8">
        <v>792</v>
      </c>
      <c r="M52" s="8">
        <v>770</v>
      </c>
      <c r="N52" s="8">
        <v>642</v>
      </c>
      <c r="O52" s="8" t="str">
        <f ca="1">VLOOKUP(A52,[1]Projection!A:D,4,0)</f>
        <v>Ethical</v>
      </c>
      <c r="P52" s="8" t="str">
        <f ca="1">VLOOKUP(A52,[1]Projection!A:E,5,0)</f>
        <v>DKT WCG</v>
      </c>
      <c r="Q52" s="183" cm="1">
        <f t="array" aca="1" ref="Q52" ca="1">AVERAGE(IF([1]Projection!$A$4:$A$74='Gestao de estoque'!A52,[1]Projection!$BL$4:$BX$74))</f>
        <v>414.62346153846153</v>
      </c>
      <c r="R52" s="14">
        <f ca="1">VLOOKUP(A52,[1]Projection!A:BA,35,0)</f>
        <v>2506</v>
      </c>
      <c r="S52" s="14">
        <f ca="1">VLOOKUP('Gestao de estoque'!A52,[1]Projection!A:FN,170,0)</f>
        <v>5000</v>
      </c>
      <c r="T52" s="14">
        <f t="shared" ca="1" si="0"/>
        <v>7506</v>
      </c>
      <c r="U52" s="8">
        <f t="shared" ca="1" si="15"/>
        <v>18</v>
      </c>
      <c r="V52" s="8">
        <f ca="1">VLOOKUP(A52,[1]Projection!A:I,9,0)</f>
        <v>212</v>
      </c>
      <c r="W52" s="8">
        <f t="shared" ca="1" si="2"/>
        <v>7</v>
      </c>
      <c r="X52" s="8">
        <v>3</v>
      </c>
      <c r="Y52" s="8">
        <f t="shared" ca="1" si="3"/>
        <v>10</v>
      </c>
      <c r="Z52" s="14">
        <f t="shared" ca="1" si="16"/>
        <v>4146</v>
      </c>
      <c r="AA52" s="184">
        <f t="shared" ca="1" si="17"/>
        <v>-3360</v>
      </c>
      <c r="AB52" s="26" t="str">
        <f t="shared" ca="1" si="18"/>
        <v>OVERSTOCKED</v>
      </c>
      <c r="AC52" s="14">
        <f ca="1">VLOOKUP(A52,[1]Projection!A:V,22,0)</f>
        <v>1000</v>
      </c>
      <c r="AD52" s="185">
        <f t="shared" ca="1" si="19"/>
        <v>-3</v>
      </c>
      <c r="AE52" s="28">
        <f ca="1">VLOOKUP(A52,[1]Projection!A:FO,171,0)</f>
        <v>0</v>
      </c>
      <c r="AF52" s="187">
        <f t="shared" ca="1" si="8"/>
        <v>0</v>
      </c>
      <c r="AG52" s="186">
        <f t="shared" ca="1" si="20"/>
        <v>-3</v>
      </c>
    </row>
    <row r="53" spans="1:33" x14ac:dyDescent="0.25">
      <c r="A53" s="26" t="s">
        <v>43</v>
      </c>
      <c r="B53" s="26" t="s">
        <v>439</v>
      </c>
      <c r="C53" s="8">
        <v>1387</v>
      </c>
      <c r="D53" s="8">
        <v>568</v>
      </c>
      <c r="E53" s="8">
        <v>1523</v>
      </c>
      <c r="F53" s="8">
        <v>857</v>
      </c>
      <c r="G53" s="8">
        <v>1301</v>
      </c>
      <c r="H53" s="8">
        <v>1380</v>
      </c>
      <c r="I53" s="8">
        <v>709</v>
      </c>
      <c r="J53" s="8">
        <v>716</v>
      </c>
      <c r="K53" s="8">
        <v>1293</v>
      </c>
      <c r="L53" s="8">
        <v>1160</v>
      </c>
      <c r="M53" s="8">
        <v>1203</v>
      </c>
      <c r="N53" s="8">
        <v>1181</v>
      </c>
      <c r="O53" s="8" t="str">
        <f ca="1">VLOOKUP(A53,[1]Projection!A:D,4,0)</f>
        <v>Ethical</v>
      </c>
      <c r="P53" s="8" t="str">
        <f ca="1">VLOOKUP(A53,[1]Projection!A:E,5,0)</f>
        <v>DKT WCG</v>
      </c>
      <c r="Q53" s="183" cm="1">
        <f t="array" aca="1" ref="Q53" ca="1">AVERAGE(IF([1]Projection!$A$4:$A$74='Gestao de estoque'!A53,[1]Projection!$BL$4:$BX$74))</f>
        <v>641.76923076923072</v>
      </c>
      <c r="R53" s="14">
        <f ca="1">VLOOKUP(A53,[1]Projection!A:BA,35,0)</f>
        <v>1412</v>
      </c>
      <c r="S53" s="14">
        <f ca="1">VLOOKUP('Gestao de estoque'!A53,[1]Projection!A:FN,170,0)</f>
        <v>6000</v>
      </c>
      <c r="T53" s="14">
        <f t="shared" ca="1" si="0"/>
        <v>7412</v>
      </c>
      <c r="U53" s="8">
        <f t="shared" ca="1" si="15"/>
        <v>12</v>
      </c>
      <c r="V53" s="8">
        <f ca="1">VLOOKUP(A53,[1]Projection!A:I,9,0)</f>
        <v>212</v>
      </c>
      <c r="W53" s="8">
        <f t="shared" ca="1" si="2"/>
        <v>7</v>
      </c>
      <c r="X53" s="8">
        <v>3</v>
      </c>
      <c r="Y53" s="8">
        <f t="shared" ca="1" si="3"/>
        <v>10</v>
      </c>
      <c r="Z53" s="14">
        <f t="shared" ca="1" si="16"/>
        <v>6418</v>
      </c>
      <c r="AA53" s="184">
        <f t="shared" ca="1" si="17"/>
        <v>-994</v>
      </c>
      <c r="AB53" s="26" t="str">
        <f t="shared" ca="1" si="18"/>
        <v>NORMAL</v>
      </c>
      <c r="AC53" s="14">
        <f ca="1">VLOOKUP(A53,[1]Projection!A:V,22,0)</f>
        <v>1000</v>
      </c>
      <c r="AD53" s="185">
        <f t="shared" ca="1" si="19"/>
        <v>-1</v>
      </c>
      <c r="AE53" s="28">
        <f ca="1">VLOOKUP(A53,[1]Projection!A:FO,171,0)</f>
        <v>1000</v>
      </c>
      <c r="AF53" s="28">
        <f t="shared" ca="1" si="8"/>
        <v>1</v>
      </c>
      <c r="AG53" s="186">
        <f t="shared" ca="1" si="20"/>
        <v>-2</v>
      </c>
    </row>
    <row r="54" spans="1:33" x14ac:dyDescent="0.25">
      <c r="A54" s="26" t="s">
        <v>45</v>
      </c>
      <c r="B54" s="26" t="s">
        <v>440</v>
      </c>
      <c r="C54" s="8">
        <v>1833</v>
      </c>
      <c r="D54" s="8">
        <v>694</v>
      </c>
      <c r="E54" s="8">
        <v>1676</v>
      </c>
      <c r="F54" s="8">
        <v>1157</v>
      </c>
      <c r="G54" s="8">
        <v>1301</v>
      </c>
      <c r="H54" s="8">
        <v>1380</v>
      </c>
      <c r="I54" s="8">
        <v>1042</v>
      </c>
      <c r="J54" s="8">
        <v>543</v>
      </c>
      <c r="K54" s="8">
        <v>992</v>
      </c>
      <c r="L54" s="8">
        <v>1154</v>
      </c>
      <c r="M54" s="8">
        <v>1170</v>
      </c>
      <c r="N54" s="8">
        <v>989</v>
      </c>
      <c r="O54" s="8" t="str">
        <f ca="1">VLOOKUP(A54,[1]Projection!A:D,4,0)</f>
        <v>Ethical</v>
      </c>
      <c r="P54" s="8" t="str">
        <f ca="1">VLOOKUP(A54,[1]Projection!A:E,5,0)</f>
        <v>DKT WCG</v>
      </c>
      <c r="Q54" s="183" cm="1">
        <f t="array" aca="1" ref="Q54" ca="1">AVERAGE(IF([1]Projection!$A$4:$A$74='Gestao de estoque'!A54,[1]Projection!$BL$4:$BX$74))</f>
        <v>593.15384615384619</v>
      </c>
      <c r="R54" s="14">
        <f ca="1">VLOOKUP(A54,[1]Projection!A:BA,35,0)</f>
        <v>1429</v>
      </c>
      <c r="S54" s="14">
        <f ca="1">VLOOKUP('Gestao de estoque'!A54,[1]Projection!A:FN,170,0)</f>
        <v>7000</v>
      </c>
      <c r="T54" s="14">
        <f t="shared" ca="1" si="0"/>
        <v>8429</v>
      </c>
      <c r="U54" s="8">
        <f t="shared" ca="1" si="15"/>
        <v>14</v>
      </c>
      <c r="V54" s="8">
        <f ca="1">VLOOKUP(A54,[1]Projection!A:I,9,0)</f>
        <v>212</v>
      </c>
      <c r="W54" s="8">
        <f t="shared" ca="1" si="2"/>
        <v>7</v>
      </c>
      <c r="X54" s="8">
        <v>3</v>
      </c>
      <c r="Y54" s="8">
        <f t="shared" ca="1" si="3"/>
        <v>10</v>
      </c>
      <c r="Z54" s="14">
        <f t="shared" ca="1" si="16"/>
        <v>5932</v>
      </c>
      <c r="AA54" s="184">
        <f t="shared" ca="1" si="17"/>
        <v>-2497</v>
      </c>
      <c r="AB54" s="26" t="str">
        <f t="shared" ca="1" si="18"/>
        <v>NORMAL</v>
      </c>
      <c r="AC54" s="14">
        <f ca="1">VLOOKUP(A54,[1]Projection!A:V,22,0)</f>
        <v>1000</v>
      </c>
      <c r="AD54" s="185">
        <f t="shared" ca="1" si="19"/>
        <v>-2</v>
      </c>
      <c r="AE54" s="28">
        <f ca="1">VLOOKUP(A54,[1]Projection!A:FO,171,0)</f>
        <v>0</v>
      </c>
      <c r="AF54" s="28">
        <f t="shared" ca="1" si="8"/>
        <v>0</v>
      </c>
      <c r="AG54" s="186">
        <f t="shared" ca="1" si="20"/>
        <v>-2</v>
      </c>
    </row>
    <row r="55" spans="1:33" x14ac:dyDescent="0.25">
      <c r="A55" s="26" t="s">
        <v>37</v>
      </c>
      <c r="B55" s="26" t="s">
        <v>441</v>
      </c>
      <c r="C55" s="8">
        <v>2715</v>
      </c>
      <c r="D55" s="8">
        <v>1497</v>
      </c>
      <c r="E55" s="8">
        <v>2396</v>
      </c>
      <c r="F55" s="8">
        <v>1864</v>
      </c>
      <c r="G55" s="8">
        <v>2608</v>
      </c>
      <c r="H55" s="8">
        <v>2539</v>
      </c>
      <c r="I55" s="8">
        <v>934</v>
      </c>
      <c r="J55" s="8">
        <v>981</v>
      </c>
      <c r="K55" s="8">
        <v>1652</v>
      </c>
      <c r="L55" s="8">
        <v>2172</v>
      </c>
      <c r="M55" s="8">
        <v>1501</v>
      </c>
      <c r="N55" s="8">
        <v>1728</v>
      </c>
      <c r="O55" s="8" t="str">
        <f ca="1">VLOOKUP(A55,[1]Projection!A:D,4,0)</f>
        <v>Ethical</v>
      </c>
      <c r="P55" s="8" t="str">
        <f ca="1">VLOOKUP(A55,[1]Projection!A:E,5,0)</f>
        <v>DKT WCG</v>
      </c>
      <c r="Q55" s="183" cm="1">
        <f t="array" aca="1" ref="Q55" ca="1">AVERAGE(IF([1]Projection!$A$4:$A$74='Gestao de estoque'!A55,[1]Projection!$BL$4:$BX$74))</f>
        <v>1096.4615384615386</v>
      </c>
      <c r="R55" s="14">
        <f ca="1">VLOOKUP(A55,[1]Projection!A:BA,35,0)</f>
        <v>2572</v>
      </c>
      <c r="S55" s="14">
        <f ca="1">VLOOKUP('Gestao de estoque'!A55,[1]Projection!A:FN,170,0)</f>
        <v>11000</v>
      </c>
      <c r="T55" s="14">
        <f t="shared" ca="1" si="0"/>
        <v>13572</v>
      </c>
      <c r="U55" s="8">
        <f t="shared" ca="1" si="15"/>
        <v>12</v>
      </c>
      <c r="V55" s="8">
        <f ca="1">VLOOKUP(A55,[1]Projection!A:I,9,0)</f>
        <v>212</v>
      </c>
      <c r="W55" s="8">
        <f t="shared" ca="1" si="2"/>
        <v>7</v>
      </c>
      <c r="X55" s="8">
        <v>3</v>
      </c>
      <c r="Y55" s="8">
        <f t="shared" ca="1" si="3"/>
        <v>10</v>
      </c>
      <c r="Z55" s="14">
        <f t="shared" ca="1" si="16"/>
        <v>10965</v>
      </c>
      <c r="AA55" s="184">
        <f t="shared" ca="1" si="17"/>
        <v>-2607</v>
      </c>
      <c r="AB55" s="26" t="str">
        <f t="shared" ca="1" si="18"/>
        <v>NORMAL</v>
      </c>
      <c r="AC55" s="14">
        <f ca="1">VLOOKUP(A55,[1]Projection!A:V,22,0)</f>
        <v>1000</v>
      </c>
      <c r="AD55" s="185">
        <f t="shared" ca="1" si="19"/>
        <v>-3</v>
      </c>
      <c r="AE55" s="28">
        <f ca="1">VLOOKUP(A55,[1]Projection!A:FO,171,0)</f>
        <v>1000</v>
      </c>
      <c r="AF55" s="28">
        <f t="shared" ca="1" si="8"/>
        <v>1</v>
      </c>
      <c r="AG55" s="186">
        <f t="shared" ca="1" si="20"/>
        <v>-4</v>
      </c>
    </row>
    <row r="56" spans="1:33" x14ac:dyDescent="0.25">
      <c r="A56" s="26" t="s">
        <v>39</v>
      </c>
      <c r="B56" s="26" t="s">
        <v>442</v>
      </c>
      <c r="C56" s="8">
        <v>2349</v>
      </c>
      <c r="D56" s="8">
        <v>1223</v>
      </c>
      <c r="E56" s="8">
        <v>2370</v>
      </c>
      <c r="F56" s="8">
        <v>1694</v>
      </c>
      <c r="G56" s="8">
        <v>2199</v>
      </c>
      <c r="H56" s="8">
        <v>1990</v>
      </c>
      <c r="I56" s="8">
        <v>1068</v>
      </c>
      <c r="J56" s="8">
        <v>1068</v>
      </c>
      <c r="K56" s="8">
        <v>1836</v>
      </c>
      <c r="L56" s="8">
        <v>1675</v>
      </c>
      <c r="M56" s="8">
        <v>1490</v>
      </c>
      <c r="N56" s="8">
        <v>1483</v>
      </c>
      <c r="O56" s="8" t="str">
        <f ca="1">VLOOKUP(A56,[1]Projection!A:D,4,0)</f>
        <v>Ethical</v>
      </c>
      <c r="P56" s="8" t="str">
        <f ca="1">VLOOKUP(A56,[1]Projection!A:E,5,0)</f>
        <v>DKT WCG</v>
      </c>
      <c r="Q56" s="183" cm="1">
        <f t="array" aca="1" ref="Q56" ca="1">AVERAGE(IF([1]Projection!$A$4:$A$74='Gestao de estoque'!A56,[1]Projection!$BL$4:$BX$74))</f>
        <v>1010.4615384615385</v>
      </c>
      <c r="R56" s="14">
        <f ca="1">VLOOKUP(A56,[1]Projection!A:BA,35,0)</f>
        <v>1703</v>
      </c>
      <c r="S56" s="14">
        <f ca="1">VLOOKUP('Gestao de estoque'!A56,[1]Projection!A:FN,170,0)</f>
        <v>11045</v>
      </c>
      <c r="T56" s="14">
        <f t="shared" ca="1" si="0"/>
        <v>12748</v>
      </c>
      <c r="U56" s="8">
        <f t="shared" ca="1" si="15"/>
        <v>13</v>
      </c>
      <c r="V56" s="8">
        <f ca="1">VLOOKUP(A56,[1]Projection!A:I,9,0)</f>
        <v>212</v>
      </c>
      <c r="W56" s="8">
        <f t="shared" ca="1" si="2"/>
        <v>7</v>
      </c>
      <c r="X56" s="8">
        <v>3</v>
      </c>
      <c r="Y56" s="8">
        <f t="shared" ca="1" si="3"/>
        <v>10</v>
      </c>
      <c r="Z56" s="14">
        <f t="shared" ca="1" si="16"/>
        <v>10105</v>
      </c>
      <c r="AA56" s="184">
        <f t="shared" ca="1" si="17"/>
        <v>-2643</v>
      </c>
      <c r="AB56" s="26" t="str">
        <f t="shared" ca="1" si="18"/>
        <v>NORMAL</v>
      </c>
      <c r="AC56" s="14">
        <f ca="1">VLOOKUP(A56,[1]Projection!A:V,22,0)</f>
        <v>1000</v>
      </c>
      <c r="AD56" s="185">
        <f t="shared" ca="1" si="19"/>
        <v>-3</v>
      </c>
      <c r="AE56" s="28">
        <f ca="1">VLOOKUP(A56,[1]Projection!A:FO,171,0)</f>
        <v>1000</v>
      </c>
      <c r="AF56" s="28">
        <f t="shared" ca="1" si="8"/>
        <v>1</v>
      </c>
      <c r="AG56" s="186">
        <f t="shared" ca="1" si="20"/>
        <v>-4</v>
      </c>
    </row>
    <row r="57" spans="1:33" x14ac:dyDescent="0.25">
      <c r="A57" s="26" t="s">
        <v>41</v>
      </c>
      <c r="B57" s="26" t="s">
        <v>443</v>
      </c>
      <c r="C57" s="8">
        <v>1494</v>
      </c>
      <c r="D57" s="8">
        <v>875</v>
      </c>
      <c r="E57" s="8">
        <v>1713</v>
      </c>
      <c r="F57" s="8">
        <v>1118</v>
      </c>
      <c r="G57" s="8">
        <v>1742</v>
      </c>
      <c r="H57" s="8">
        <v>1662</v>
      </c>
      <c r="I57" s="8">
        <v>313</v>
      </c>
      <c r="J57" s="8">
        <v>654</v>
      </c>
      <c r="K57" s="8">
        <v>1326</v>
      </c>
      <c r="L57" s="8">
        <v>1080</v>
      </c>
      <c r="M57" s="8">
        <v>1093</v>
      </c>
      <c r="N57" s="8">
        <v>951</v>
      </c>
      <c r="O57" s="8" t="str">
        <f ca="1">VLOOKUP(A57,[1]Projection!A:D,4,0)</f>
        <v>Ethical</v>
      </c>
      <c r="P57" s="8" t="str">
        <f ca="1">VLOOKUP(A57,[1]Projection!A:E,5,0)</f>
        <v>DKT WCG</v>
      </c>
      <c r="Q57" s="183" cm="1">
        <f t="array" aca="1" ref="Q57" ca="1">AVERAGE(IF([1]Projection!$A$4:$A$74='Gestao de estoque'!A57,[1]Projection!$BL$4:$BX$74))</f>
        <v>676.38461538461536</v>
      </c>
      <c r="R57" s="14">
        <f ca="1">VLOOKUP(A57,[1]Projection!A:BA,35,0)</f>
        <v>3327</v>
      </c>
      <c r="S57" s="14">
        <f ca="1">VLOOKUP('Gestao de estoque'!A57,[1]Projection!A:FN,170,0)</f>
        <v>5000</v>
      </c>
      <c r="T57" s="14">
        <f t="shared" ca="1" si="0"/>
        <v>8327</v>
      </c>
      <c r="U57" s="8">
        <f t="shared" ca="1" si="15"/>
        <v>12</v>
      </c>
      <c r="V57" s="8">
        <f ca="1">VLOOKUP(A57,[1]Projection!A:I,9,0)</f>
        <v>212</v>
      </c>
      <c r="W57" s="8">
        <f t="shared" ca="1" si="2"/>
        <v>7</v>
      </c>
      <c r="X57" s="8">
        <v>3</v>
      </c>
      <c r="Y57" s="8">
        <f t="shared" ca="1" si="3"/>
        <v>10</v>
      </c>
      <c r="Z57" s="14">
        <f t="shared" ca="1" si="16"/>
        <v>6764</v>
      </c>
      <c r="AA57" s="184">
        <f t="shared" ca="1" si="17"/>
        <v>-1563</v>
      </c>
      <c r="AB57" s="26" t="str">
        <f t="shared" ca="1" si="18"/>
        <v>NORMAL</v>
      </c>
      <c r="AC57" s="14">
        <f ca="1">VLOOKUP(A57,[1]Projection!A:V,22,0)</f>
        <v>1000</v>
      </c>
      <c r="AD57" s="185">
        <f t="shared" ca="1" si="19"/>
        <v>-2</v>
      </c>
      <c r="AE57" s="28">
        <f ca="1">VLOOKUP(A57,[1]Projection!A:FO,171,0)</f>
        <v>1000</v>
      </c>
      <c r="AF57" s="28">
        <f t="shared" ca="1" si="8"/>
        <v>1</v>
      </c>
      <c r="AG57" s="186">
        <f t="shared" ca="1" si="20"/>
        <v>-3</v>
      </c>
    </row>
    <row r="58" spans="1:33" x14ac:dyDescent="0.25">
      <c r="A58" s="26" t="s">
        <v>47</v>
      </c>
      <c r="B58" s="26" t="s">
        <v>436</v>
      </c>
      <c r="C58" s="8">
        <v>1106</v>
      </c>
      <c r="D58" s="8">
        <v>586</v>
      </c>
      <c r="E58" s="8">
        <v>1251</v>
      </c>
      <c r="F58" s="8">
        <v>848</v>
      </c>
      <c r="G58" s="8">
        <v>1303</v>
      </c>
      <c r="H58" s="8">
        <v>1431</v>
      </c>
      <c r="I58" s="8">
        <v>593</v>
      </c>
      <c r="J58" s="8">
        <v>586</v>
      </c>
      <c r="K58" s="8">
        <v>899</v>
      </c>
      <c r="L58" s="8">
        <v>891</v>
      </c>
      <c r="M58" s="8">
        <v>1110</v>
      </c>
      <c r="N58" s="8">
        <v>887</v>
      </c>
      <c r="O58" s="8" t="str">
        <f ca="1">VLOOKUP(A58,[1]Projection!A:D,4,0)</f>
        <v>Ethical</v>
      </c>
      <c r="P58" s="8" t="str">
        <f ca="1">VLOOKUP(A58,[1]Projection!A:E,5,0)</f>
        <v>DKT WCG</v>
      </c>
      <c r="Q58" s="183" cm="1">
        <f t="array" aca="1" ref="Q58" ca="1">AVERAGE(IF([1]Projection!$A$4:$A$74='Gestao de estoque'!A58,[1]Projection!$BL$4:$BX$74))</f>
        <v>592.30769230769226</v>
      </c>
      <c r="R58" s="14">
        <f ca="1">VLOOKUP(A58,[1]Projection!A:BA,35,0)</f>
        <v>1577</v>
      </c>
      <c r="S58" s="14">
        <f ca="1">VLOOKUP('Gestao de estoque'!A58,[1]Projection!A:FN,170,0)</f>
        <v>6000</v>
      </c>
      <c r="T58" s="14">
        <f t="shared" ca="1" si="0"/>
        <v>7577</v>
      </c>
      <c r="U58" s="8">
        <f t="shared" ca="1" si="15"/>
        <v>13</v>
      </c>
      <c r="V58" s="8">
        <f ca="1">VLOOKUP(A58,[1]Projection!A:I,9,0)</f>
        <v>212</v>
      </c>
      <c r="W58" s="8">
        <f t="shared" ca="1" si="2"/>
        <v>7</v>
      </c>
      <c r="X58" s="8">
        <v>3</v>
      </c>
      <c r="Y58" s="8">
        <f t="shared" ca="1" si="3"/>
        <v>10</v>
      </c>
      <c r="Z58" s="14">
        <f t="shared" ca="1" si="16"/>
        <v>5923</v>
      </c>
      <c r="AA58" s="184">
        <f t="shared" ca="1" si="17"/>
        <v>-1654</v>
      </c>
      <c r="AB58" s="26" t="str">
        <f t="shared" ca="1" si="18"/>
        <v>NORMAL</v>
      </c>
      <c r="AC58" s="14">
        <f ca="1">VLOOKUP(A58,[1]Projection!A:V,22,0)</f>
        <v>1000</v>
      </c>
      <c r="AD58" s="185">
        <f t="shared" ca="1" si="19"/>
        <v>-2</v>
      </c>
      <c r="AE58" s="28">
        <f ca="1">VLOOKUP(A58,[1]Projection!A:FO,171,0)</f>
        <v>0</v>
      </c>
      <c r="AF58" s="28">
        <f t="shared" ca="1" si="8"/>
        <v>0</v>
      </c>
      <c r="AG58" s="186">
        <f t="shared" ca="1" si="20"/>
        <v>-2</v>
      </c>
    </row>
    <row r="59" spans="1:33" x14ac:dyDescent="0.25">
      <c r="A59" s="26" t="s">
        <v>51</v>
      </c>
      <c r="B59" s="26" t="s">
        <v>437</v>
      </c>
      <c r="C59" s="8">
        <v>915</v>
      </c>
      <c r="D59" s="8">
        <v>354</v>
      </c>
      <c r="E59" s="8">
        <v>969</v>
      </c>
      <c r="F59" s="8">
        <v>400</v>
      </c>
      <c r="G59" s="8">
        <v>765</v>
      </c>
      <c r="H59" s="8">
        <v>755</v>
      </c>
      <c r="I59" s="8">
        <v>532</v>
      </c>
      <c r="J59" s="8">
        <v>416</v>
      </c>
      <c r="K59" s="8">
        <v>944</v>
      </c>
      <c r="L59" s="8">
        <v>504</v>
      </c>
      <c r="M59" s="8">
        <v>621</v>
      </c>
      <c r="N59" s="8">
        <v>752</v>
      </c>
      <c r="O59" s="8" t="str">
        <f ca="1">VLOOKUP(A59,[1]Projection!A:D,4,0)</f>
        <v>Ethical</v>
      </c>
      <c r="P59" s="8" t="str">
        <f ca="1">VLOOKUP(A59,[1]Projection!A:E,5,0)</f>
        <v>DKT WCG</v>
      </c>
      <c r="Q59" s="183" cm="1">
        <f t="array" aca="1" ref="Q59" ca="1">AVERAGE(IF([1]Projection!$A$4:$A$74='Gestao de estoque'!A59,[1]Projection!$BL$4:$BX$74))</f>
        <v>373.07692307692309</v>
      </c>
      <c r="R59" s="14">
        <f ca="1">VLOOKUP(A59,[1]Projection!A:BA,35,0)</f>
        <v>2617</v>
      </c>
      <c r="S59" s="14">
        <f ca="1">VLOOKUP('Gestao de estoque'!A59,[1]Projection!A:FN,170,0)</f>
        <v>4000</v>
      </c>
      <c r="T59" s="14">
        <f t="shared" ca="1" si="0"/>
        <v>6617</v>
      </c>
      <c r="U59" s="8">
        <f t="shared" ca="1" si="15"/>
        <v>18</v>
      </c>
      <c r="V59" s="8">
        <f ca="1">VLOOKUP(A59,[1]Projection!A:I,9,0)</f>
        <v>212</v>
      </c>
      <c r="W59" s="8">
        <f t="shared" ca="1" si="2"/>
        <v>7</v>
      </c>
      <c r="X59" s="8">
        <v>3</v>
      </c>
      <c r="Y59" s="8">
        <f t="shared" ca="1" si="3"/>
        <v>10</v>
      </c>
      <c r="Z59" s="14">
        <f t="shared" ca="1" si="16"/>
        <v>3731</v>
      </c>
      <c r="AA59" s="184">
        <f t="shared" ca="1" si="17"/>
        <v>-2886</v>
      </c>
      <c r="AB59" s="26" t="str">
        <f t="shared" ca="1" si="18"/>
        <v>OVERSTOCKED</v>
      </c>
      <c r="AC59" s="14">
        <f ca="1">VLOOKUP(A59,[1]Projection!A:V,22,0)</f>
        <v>1000</v>
      </c>
      <c r="AD59" s="185">
        <f t="shared" ca="1" si="19"/>
        <v>-3</v>
      </c>
      <c r="AE59" s="28">
        <f ca="1">VLOOKUP(A59,[1]Projection!A:FO,171,0)</f>
        <v>0</v>
      </c>
      <c r="AF59" s="187">
        <f t="shared" ca="1" si="8"/>
        <v>0</v>
      </c>
      <c r="AG59" s="186">
        <f t="shared" ca="1" si="20"/>
        <v>-3</v>
      </c>
    </row>
    <row r="60" spans="1:33" x14ac:dyDescent="0.25">
      <c r="A60" s="26" t="s">
        <v>31</v>
      </c>
      <c r="B60" s="26" t="s">
        <v>340</v>
      </c>
      <c r="C60" s="8">
        <v>534</v>
      </c>
      <c r="D60" s="8">
        <v>403</v>
      </c>
      <c r="E60" s="8">
        <v>666</v>
      </c>
      <c r="F60" s="8">
        <v>515</v>
      </c>
      <c r="G60" s="8">
        <v>726</v>
      </c>
      <c r="H60" s="8">
        <v>596</v>
      </c>
      <c r="I60" s="8">
        <v>372</v>
      </c>
      <c r="J60" s="8">
        <v>381</v>
      </c>
      <c r="K60" s="8">
        <v>513</v>
      </c>
      <c r="L60" s="8">
        <v>903</v>
      </c>
      <c r="M60" s="8">
        <v>533</v>
      </c>
      <c r="N60" s="8">
        <v>350</v>
      </c>
      <c r="O60" s="8" t="str">
        <f ca="1">VLOOKUP(A60,[1]Projection!A:D,4,0)</f>
        <v>Ethical</v>
      </c>
      <c r="P60" s="8" t="str">
        <f ca="1">VLOOKUP(A60,[1]Projection!A:E,5,0)</f>
        <v>DKT WCG</v>
      </c>
      <c r="Q60" s="183" cm="1">
        <f t="array" aca="1" ref="Q60" ca="1">AVERAGE(IF([1]Projection!$A$4:$A$74='Gestao de estoque'!A60,[1]Projection!$BL$4:$BX$74))</f>
        <v>298.07692307692309</v>
      </c>
      <c r="R60" s="14">
        <f ca="1">VLOOKUP(A60,[1]Projection!A:BA,35,0)</f>
        <v>83</v>
      </c>
      <c r="S60" s="14">
        <f ca="1">VLOOKUP('Gestao de estoque'!A60,[1]Projection!A:FN,170,0)</f>
        <v>3000</v>
      </c>
      <c r="T60" s="14">
        <f t="shared" ca="1" si="0"/>
        <v>3083</v>
      </c>
      <c r="U60" s="8">
        <f t="shared" ca="1" si="15"/>
        <v>10</v>
      </c>
      <c r="V60" s="8">
        <f ca="1">VLOOKUP(A60,[1]Projection!A:I,9,0)</f>
        <v>212</v>
      </c>
      <c r="W60" s="8">
        <f t="shared" ca="1" si="2"/>
        <v>7</v>
      </c>
      <c r="X60" s="8">
        <v>3</v>
      </c>
      <c r="Y60" s="8">
        <f t="shared" ca="1" si="3"/>
        <v>10</v>
      </c>
      <c r="Z60" s="14">
        <f t="shared" ca="1" si="16"/>
        <v>2981</v>
      </c>
      <c r="AA60" s="184">
        <f t="shared" ca="1" si="17"/>
        <v>-102</v>
      </c>
      <c r="AB60" s="26" t="str">
        <f t="shared" ca="1" si="18"/>
        <v>NORMAL</v>
      </c>
      <c r="AC60" s="14">
        <f ca="1">VLOOKUP(A60,[1]Projection!A:V,22,0)</f>
        <v>1000</v>
      </c>
      <c r="AD60" s="185">
        <f t="shared" ca="1" si="19"/>
        <v>0</v>
      </c>
      <c r="AE60" s="28">
        <f ca="1">VLOOKUP(A60,[1]Projection!A:FO,171,0)</f>
        <v>1000</v>
      </c>
      <c r="AF60" s="28">
        <f t="shared" ca="1" si="8"/>
        <v>1</v>
      </c>
      <c r="AG60" s="186">
        <f t="shared" ca="1" si="20"/>
        <v>-1</v>
      </c>
    </row>
    <row r="61" spans="1:33" x14ac:dyDescent="0.25">
      <c r="A61" s="26" t="s">
        <v>53</v>
      </c>
      <c r="B61" s="26" t="s">
        <v>332</v>
      </c>
      <c r="C61" s="8">
        <v>807</v>
      </c>
      <c r="D61" s="8">
        <v>774</v>
      </c>
      <c r="E61" s="8">
        <v>1254</v>
      </c>
      <c r="F61" s="8">
        <v>585</v>
      </c>
      <c r="G61" s="8">
        <v>889</v>
      </c>
      <c r="H61" s="8">
        <v>954</v>
      </c>
      <c r="I61" s="8">
        <v>524</v>
      </c>
      <c r="J61" s="8">
        <v>589</v>
      </c>
      <c r="K61" s="8">
        <v>642</v>
      </c>
      <c r="L61" s="8">
        <v>1668</v>
      </c>
      <c r="M61" s="8">
        <v>1444</v>
      </c>
      <c r="N61" s="8">
        <v>1398</v>
      </c>
      <c r="O61" s="8" t="str">
        <f ca="1">VLOOKUP(A61,[1]Projection!A:D,4,0)</f>
        <v>Ethical</v>
      </c>
      <c r="P61" s="8" t="str">
        <f ca="1">VLOOKUP(A61,[1]Projection!A:E,5,0)</f>
        <v>Pregna</v>
      </c>
      <c r="Q61" s="183" cm="1">
        <f t="array" aca="1" ref="Q61" ca="1">AVERAGE(IF([1]Projection!$A$4:$A$74='Gestao de estoque'!A61,[1]Projection!$BL$4:$BX$74))</f>
        <v>492</v>
      </c>
      <c r="R61" s="14">
        <f ca="1">VLOOKUP(A61,[1]Projection!A:BA,35,0)</f>
        <v>5108</v>
      </c>
      <c r="S61" s="14">
        <f ca="1">VLOOKUP('Gestao de estoque'!A61,[1]Projection!A:FN,170,0)</f>
        <v>10000</v>
      </c>
      <c r="T61" s="14">
        <f t="shared" ca="1" si="0"/>
        <v>15108</v>
      </c>
      <c r="U61" s="8">
        <f t="shared" ca="1" si="15"/>
        <v>31</v>
      </c>
      <c r="V61" s="8">
        <f ca="1">VLOOKUP(A61,[1]Projection!A:I,9,0)</f>
        <v>162</v>
      </c>
      <c r="W61" s="8">
        <f t="shared" ca="1" si="2"/>
        <v>5</v>
      </c>
      <c r="X61" s="8">
        <v>3</v>
      </c>
      <c r="Y61" s="8">
        <f t="shared" ca="1" si="3"/>
        <v>8</v>
      </c>
      <c r="Z61" s="14">
        <f t="shared" ca="1" si="16"/>
        <v>3936</v>
      </c>
      <c r="AA61" s="184">
        <f t="shared" ca="1" si="17"/>
        <v>-11172</v>
      </c>
      <c r="AB61" s="26" t="str">
        <f t="shared" ca="1" si="18"/>
        <v>OVERSTOCKED</v>
      </c>
      <c r="AC61" s="14">
        <f ca="1">VLOOKUP(A61,[1]Projection!A:V,22,0)</f>
        <v>10000</v>
      </c>
      <c r="AD61" s="185">
        <f t="shared" ca="1" si="19"/>
        <v>-1</v>
      </c>
      <c r="AE61" s="28">
        <f ca="1">VLOOKUP(A61,[1]Projection!A:FO,171,0)</f>
        <v>0</v>
      </c>
      <c r="AF61" s="187">
        <f t="shared" ca="1" si="8"/>
        <v>0</v>
      </c>
      <c r="AG61" s="186">
        <f t="shared" ca="1" si="20"/>
        <v>-1</v>
      </c>
    </row>
    <row r="62" spans="1:33" x14ac:dyDescent="0.25">
      <c r="A62" s="26" t="s">
        <v>57</v>
      </c>
      <c r="B62" s="26" t="s">
        <v>331</v>
      </c>
      <c r="C62" s="8">
        <v>632</v>
      </c>
      <c r="D62" s="8">
        <v>475</v>
      </c>
      <c r="E62" s="8">
        <v>616</v>
      </c>
      <c r="F62" s="8">
        <v>412</v>
      </c>
      <c r="G62" s="8">
        <v>756</v>
      </c>
      <c r="H62" s="8">
        <v>838</v>
      </c>
      <c r="I62" s="8">
        <v>473</v>
      </c>
      <c r="J62" s="8">
        <v>269</v>
      </c>
      <c r="K62" s="8">
        <v>323</v>
      </c>
      <c r="L62" s="8">
        <v>778</v>
      </c>
      <c r="M62" s="8">
        <v>937</v>
      </c>
      <c r="N62" s="8">
        <v>443</v>
      </c>
      <c r="O62" s="8" t="str">
        <f ca="1">VLOOKUP(A62,[1]Projection!A:D,4,0)</f>
        <v>Ethical</v>
      </c>
      <c r="P62" s="8" t="str">
        <f ca="1">VLOOKUP(A62,[1]Projection!A:E,5,0)</f>
        <v>Pregna</v>
      </c>
      <c r="Q62" s="183" cm="1">
        <f t="array" aca="1" ref="Q62" ca="1">AVERAGE(IF([1]Projection!$A$4:$A$74='Gestao de estoque'!A62,[1]Projection!$BL$4:$BX$74))</f>
        <v>339.15384615384613</v>
      </c>
      <c r="R62" s="14">
        <f ca="1">VLOOKUP(A62,[1]Projection!A:BA,35,0)</f>
        <v>7735</v>
      </c>
      <c r="S62" s="14">
        <f ca="1">VLOOKUP('Gestao de estoque'!A62,[1]Projection!A:FN,170,0)</f>
        <v>0</v>
      </c>
      <c r="T62" s="14">
        <f t="shared" ca="1" si="0"/>
        <v>7735</v>
      </c>
      <c r="U62" s="8">
        <f t="shared" ca="1" si="15"/>
        <v>23</v>
      </c>
      <c r="V62" s="8">
        <f ca="1">VLOOKUP(A62,[1]Projection!A:I,9,0)</f>
        <v>162</v>
      </c>
      <c r="W62" s="8">
        <f t="shared" ca="1" si="2"/>
        <v>5</v>
      </c>
      <c r="X62" s="8">
        <v>2</v>
      </c>
      <c r="Y62" s="8">
        <f t="shared" ca="1" si="3"/>
        <v>7</v>
      </c>
      <c r="Z62" s="14">
        <f t="shared" ca="1" si="16"/>
        <v>2374</v>
      </c>
      <c r="AA62" s="184">
        <f t="shared" ca="1" si="17"/>
        <v>-5361</v>
      </c>
      <c r="AB62" s="26" t="str">
        <f t="shared" ca="1" si="18"/>
        <v>OVERSTOCKED</v>
      </c>
      <c r="AC62" s="14">
        <f ca="1">VLOOKUP(A62,[1]Projection!A:V,22,0)</f>
        <v>10000</v>
      </c>
      <c r="AD62" s="185">
        <f t="shared" ca="1" si="19"/>
        <v>-1</v>
      </c>
      <c r="AE62" s="28">
        <f ca="1">VLOOKUP(A62,[1]Projection!A:FO,171,0)</f>
        <v>0</v>
      </c>
      <c r="AF62" s="187">
        <f t="shared" ca="1" si="8"/>
        <v>0</v>
      </c>
      <c r="AG62" s="186">
        <f t="shared" ca="1" si="20"/>
        <v>-1</v>
      </c>
    </row>
    <row r="63" spans="1:33" x14ac:dyDescent="0.25">
      <c r="A63" s="26" t="s">
        <v>21</v>
      </c>
      <c r="B63" s="26" t="s">
        <v>338</v>
      </c>
      <c r="C63" s="8">
        <v>4634</v>
      </c>
      <c r="D63" s="8">
        <v>3344</v>
      </c>
      <c r="E63" s="8">
        <v>6021</v>
      </c>
      <c r="F63" s="8">
        <v>2931</v>
      </c>
      <c r="G63" s="8">
        <v>6257</v>
      </c>
      <c r="H63" s="8">
        <v>5772</v>
      </c>
      <c r="I63" s="8">
        <v>2438</v>
      </c>
      <c r="J63" s="8">
        <v>2417</v>
      </c>
      <c r="K63" s="8">
        <v>6676</v>
      </c>
      <c r="L63" s="8">
        <v>2720</v>
      </c>
      <c r="M63" s="8">
        <v>5461</v>
      </c>
      <c r="N63" s="8">
        <v>5087</v>
      </c>
      <c r="O63" s="8" t="str">
        <f ca="1">VLOOKUP(A63,[1]Projection!A:D,4,0)</f>
        <v>Ethical</v>
      </c>
      <c r="P63" s="8" t="str">
        <f ca="1">VLOOKUP(A63,[1]Projection!A:E,5,0)</f>
        <v>Pregna</v>
      </c>
      <c r="Q63" s="183" cm="1">
        <f t="array" aca="1" ref="Q63" ca="1">AVERAGE(IF([1]Projection!$A$4:$A$74='Gestao de estoque'!A63,[1]Projection!$BL$4:$BX$74))</f>
        <v>2525.3846153846152</v>
      </c>
      <c r="R63" s="14">
        <f ca="1">VLOOKUP(A63,[1]Projection!A:BA,35,0)</f>
        <v>10482</v>
      </c>
      <c r="S63" s="14">
        <f ca="1">VLOOKUP('Gestao de estoque'!A63,[1]Projection!A:FN,170,0)</f>
        <v>24800</v>
      </c>
      <c r="T63" s="14">
        <f t="shared" ca="1" si="0"/>
        <v>35282</v>
      </c>
      <c r="U63" s="8">
        <f t="shared" ca="1" si="15"/>
        <v>14</v>
      </c>
      <c r="V63" s="8">
        <f ca="1">VLOOKUP(A63,[1]Projection!A:I,9,0)</f>
        <v>162</v>
      </c>
      <c r="W63" s="8">
        <f t="shared" ca="1" si="2"/>
        <v>5</v>
      </c>
      <c r="X63" s="8">
        <v>3</v>
      </c>
      <c r="Y63" s="8">
        <f t="shared" ca="1" si="3"/>
        <v>8</v>
      </c>
      <c r="Z63" s="14">
        <f t="shared" ca="1" si="16"/>
        <v>20203</v>
      </c>
      <c r="AA63" s="184">
        <f t="shared" ca="1" si="17"/>
        <v>-15079</v>
      </c>
      <c r="AB63" s="26" t="str">
        <f t="shared" ca="1" si="18"/>
        <v>OVERSTOCKED</v>
      </c>
      <c r="AC63" s="14">
        <f ca="1">VLOOKUP(A63,[1]Projection!A:V,22,0)</f>
        <v>5000</v>
      </c>
      <c r="AD63" s="185">
        <f t="shared" ca="1" si="19"/>
        <v>-3</v>
      </c>
      <c r="AE63" s="28">
        <f ca="1">VLOOKUP(A63,[1]Projection!A:FO,171,0)</f>
        <v>0</v>
      </c>
      <c r="AF63" s="187">
        <f t="shared" ca="1" si="8"/>
        <v>0</v>
      </c>
      <c r="AG63" s="186">
        <f t="shared" ca="1" si="20"/>
        <v>-3</v>
      </c>
    </row>
    <row r="64" spans="1:33" x14ac:dyDescent="0.25">
      <c r="A64" s="26" t="s">
        <v>29</v>
      </c>
      <c r="B64" s="26" t="s">
        <v>329</v>
      </c>
      <c r="C64" s="8">
        <v>7723</v>
      </c>
      <c r="D64" s="8">
        <v>4536</v>
      </c>
      <c r="E64" s="8">
        <v>10089</v>
      </c>
      <c r="F64" s="8">
        <v>7609</v>
      </c>
      <c r="G64" s="8">
        <v>10168</v>
      </c>
      <c r="H64" s="8">
        <v>9768</v>
      </c>
      <c r="I64" s="8">
        <v>5483</v>
      </c>
      <c r="J64" s="8">
        <v>6128</v>
      </c>
      <c r="K64" s="8">
        <v>9716</v>
      </c>
      <c r="L64" s="8">
        <v>9553</v>
      </c>
      <c r="M64" s="8">
        <v>12308</v>
      </c>
      <c r="N64" s="8">
        <v>8063</v>
      </c>
      <c r="O64" s="8" t="str">
        <f ca="1">VLOOKUP(A64,[1]Projection!A:D,4,0)</f>
        <v>Ethical</v>
      </c>
      <c r="P64" s="8" t="str">
        <f ca="1">VLOOKUP(A64,[1]Projection!A:E,5,0)</f>
        <v>Pregna</v>
      </c>
      <c r="Q64" s="183" cm="1">
        <f t="array" aca="1" ref="Q64" ca="1">AVERAGE(IF([1]Projection!$A$4:$A$74='Gestao de estoque'!A64,[1]Projection!$BL$4:$BX$74))</f>
        <v>5187</v>
      </c>
      <c r="R64" s="14">
        <f ca="1">VLOOKUP(A64,[1]Projection!A:BA,35,0)</f>
        <v>12562</v>
      </c>
      <c r="S64" s="14">
        <f ca="1">VLOOKUP('Gestao de estoque'!A64,[1]Projection!A:FN,170,0)</f>
        <v>54500</v>
      </c>
      <c r="T64" s="14">
        <f t="shared" ca="1" si="0"/>
        <v>67062</v>
      </c>
      <c r="U64" s="8">
        <f t="shared" ca="1" si="15"/>
        <v>13</v>
      </c>
      <c r="V64" s="8">
        <f ca="1">VLOOKUP(A64,[1]Projection!A:I,9,0)</f>
        <v>162</v>
      </c>
      <c r="W64" s="8">
        <f t="shared" ca="1" si="2"/>
        <v>5</v>
      </c>
      <c r="X64" s="8">
        <v>3</v>
      </c>
      <c r="Y64" s="8">
        <f t="shared" ca="1" si="3"/>
        <v>8</v>
      </c>
      <c r="Z64" s="14">
        <f t="shared" ca="1" si="16"/>
        <v>41496</v>
      </c>
      <c r="AA64" s="184">
        <f t="shared" ca="1" si="17"/>
        <v>-25566</v>
      </c>
      <c r="AB64" s="26" t="str">
        <f t="shared" ca="1" si="18"/>
        <v>OVERSTOCKED</v>
      </c>
      <c r="AC64" s="14">
        <f ca="1">VLOOKUP(A64,[1]Projection!A:V,22,0)</f>
        <v>15000</v>
      </c>
      <c r="AD64" s="185">
        <f t="shared" ca="1" si="19"/>
        <v>-2</v>
      </c>
      <c r="AE64" s="28">
        <f ca="1">VLOOKUP(A64,[1]Projection!A:FO,171,0)</f>
        <v>0</v>
      </c>
      <c r="AF64" s="187">
        <f t="shared" ca="1" si="8"/>
        <v>0</v>
      </c>
      <c r="AG64" s="186">
        <f t="shared" ca="1" si="20"/>
        <v>-2</v>
      </c>
    </row>
    <row r="65" spans="1:33" x14ac:dyDescent="0.25">
      <c r="A65" s="26" t="s">
        <v>25</v>
      </c>
      <c r="B65" s="26" t="s">
        <v>339</v>
      </c>
      <c r="C65" s="8">
        <v>1515</v>
      </c>
      <c r="D65" s="8">
        <v>2147</v>
      </c>
      <c r="E65" s="8">
        <v>2840</v>
      </c>
      <c r="F65" s="8">
        <v>1937</v>
      </c>
      <c r="G65" s="8">
        <v>2714</v>
      </c>
      <c r="H65" s="8">
        <v>2620</v>
      </c>
      <c r="I65" s="8">
        <v>1272</v>
      </c>
      <c r="J65" s="8">
        <v>1215</v>
      </c>
      <c r="K65" s="8">
        <v>3063</v>
      </c>
      <c r="L65" s="8">
        <v>2442</v>
      </c>
      <c r="M65" s="8">
        <v>2473</v>
      </c>
      <c r="N65" s="8">
        <v>2344</v>
      </c>
      <c r="O65" s="8" t="str">
        <f ca="1">VLOOKUP(A65,[1]Projection!A:D,4,0)</f>
        <v>Ethical</v>
      </c>
      <c r="P65" s="8" t="str">
        <f ca="1">VLOOKUP(A65,[1]Projection!A:E,5,0)</f>
        <v>Pregna</v>
      </c>
      <c r="Q65" s="183" cm="1">
        <f t="array" aca="1" ref="Q65" ca="1">AVERAGE(IF([1]Projection!$A$4:$A$74='Gestao de estoque'!A65,[1]Projection!$BL$4:$BX$74))</f>
        <v>1296</v>
      </c>
      <c r="R65" s="14">
        <f ca="1">VLOOKUP(A65,[1]Projection!A:BA,35,0)</f>
        <v>6434</v>
      </c>
      <c r="S65" s="14">
        <f ca="1">VLOOKUP('Gestao de estoque'!A65,[1]Projection!A:FN,170,0)</f>
        <v>10000</v>
      </c>
      <c r="T65" s="14">
        <f t="shared" ca="1" si="0"/>
        <v>16434</v>
      </c>
      <c r="U65" s="8">
        <f t="shared" ca="1" si="15"/>
        <v>13</v>
      </c>
      <c r="V65" s="8">
        <f ca="1">VLOOKUP(A65,[1]Projection!A:I,9,0)</f>
        <v>162</v>
      </c>
      <c r="W65" s="8">
        <f t="shared" ca="1" si="2"/>
        <v>5</v>
      </c>
      <c r="X65" s="8">
        <v>3</v>
      </c>
      <c r="Y65" s="8">
        <f t="shared" ca="1" si="3"/>
        <v>8</v>
      </c>
      <c r="Z65" s="14">
        <f t="shared" ca="1" si="16"/>
        <v>10368</v>
      </c>
      <c r="AA65" s="184">
        <f t="shared" ca="1" si="17"/>
        <v>-6066</v>
      </c>
      <c r="AB65" s="26" t="str">
        <f t="shared" ca="1" si="18"/>
        <v>OVERSTOCKED</v>
      </c>
      <c r="AC65" s="14">
        <f ca="1">VLOOKUP(A65,[1]Projection!A:V,22,0)</f>
        <v>5000</v>
      </c>
      <c r="AD65" s="185">
        <f t="shared" ca="1" si="19"/>
        <v>-1</v>
      </c>
      <c r="AE65" s="28">
        <f ca="1">VLOOKUP(A65,[1]Projection!A:FO,171,0)</f>
        <v>0</v>
      </c>
      <c r="AF65" s="187">
        <f t="shared" ca="1" si="8"/>
        <v>0</v>
      </c>
      <c r="AG65" s="186">
        <f t="shared" ca="1" si="20"/>
        <v>-1</v>
      </c>
    </row>
    <row r="66" spans="1:33" x14ac:dyDescent="0.25">
      <c r="A66" s="26" t="s">
        <v>59</v>
      </c>
      <c r="B66" s="26" t="s">
        <v>334</v>
      </c>
      <c r="C66" s="8">
        <v>117</v>
      </c>
      <c r="D66" s="8">
        <v>241</v>
      </c>
      <c r="E66" s="8">
        <v>467</v>
      </c>
      <c r="F66" s="8">
        <v>230</v>
      </c>
      <c r="G66" s="8">
        <v>134</v>
      </c>
      <c r="H66" s="8">
        <v>144</v>
      </c>
      <c r="I66" s="8">
        <v>150</v>
      </c>
      <c r="J66" s="8">
        <v>214</v>
      </c>
      <c r="K66" s="8">
        <v>324</v>
      </c>
      <c r="L66" s="8">
        <v>406</v>
      </c>
      <c r="M66" s="8">
        <v>427</v>
      </c>
      <c r="N66" s="8">
        <v>465</v>
      </c>
      <c r="O66" s="8" t="str">
        <f ca="1">VLOOKUP(A66,[1]Projection!A:D,4,0)</f>
        <v>Ethical</v>
      </c>
      <c r="P66" s="8" t="str">
        <f ca="1">VLOOKUP(A66,[1]Projection!A:E,5,0)</f>
        <v>Pregna</v>
      </c>
      <c r="Q66" s="183" cm="1">
        <f t="array" aca="1" ref="Q66" ca="1">AVERAGE(IF([1]Projection!$A$4:$A$74='Gestao de estoque'!A66,[1]Projection!$BL$4:$BX$74))</f>
        <v>175.92307692307693</v>
      </c>
      <c r="R66" s="14">
        <f ca="1">VLOOKUP(A66,[1]Projection!A:BA,35,0)</f>
        <v>8945</v>
      </c>
      <c r="S66" s="14">
        <f ca="1">VLOOKUP('Gestao de estoque'!A66,[1]Projection!A:FN,170,0)</f>
        <v>0</v>
      </c>
      <c r="T66" s="14">
        <f t="shared" ca="1" si="0"/>
        <v>8945</v>
      </c>
      <c r="U66" s="8">
        <f t="shared" ca="1" si="15"/>
        <v>51</v>
      </c>
      <c r="V66" s="8">
        <f ca="1">VLOOKUP(A66,[1]Projection!A:I,9,0)</f>
        <v>162</v>
      </c>
      <c r="W66" s="8">
        <f t="shared" ca="1" si="2"/>
        <v>5</v>
      </c>
      <c r="X66" s="8">
        <v>2</v>
      </c>
      <c r="Y66" s="8">
        <f t="shared" ca="1" si="3"/>
        <v>7</v>
      </c>
      <c r="Z66" s="14">
        <f t="shared" ca="1" si="16"/>
        <v>1231</v>
      </c>
      <c r="AA66" s="184">
        <f t="shared" ca="1" si="17"/>
        <v>-7714</v>
      </c>
      <c r="AB66" s="26" t="str">
        <f t="shared" ca="1" si="18"/>
        <v>OVERSTOCKED</v>
      </c>
      <c r="AC66" s="14">
        <f ca="1">VLOOKUP(A66,[1]Projection!A:V,22,0)</f>
        <v>10000</v>
      </c>
      <c r="AD66" s="185">
        <f t="shared" ca="1" si="19"/>
        <v>-1</v>
      </c>
      <c r="AE66" s="28">
        <f ca="1">VLOOKUP(A66,[1]Projection!A:FO,171,0)</f>
        <v>0</v>
      </c>
      <c r="AF66" s="187">
        <f t="shared" ca="1" si="8"/>
        <v>0</v>
      </c>
      <c r="AG66" s="186">
        <f t="shared" ca="1" si="20"/>
        <v>-1</v>
      </c>
    </row>
    <row r="67" spans="1:33" x14ac:dyDescent="0.25">
      <c r="A67" s="26" t="s">
        <v>55</v>
      </c>
      <c r="B67" s="26" t="s">
        <v>333</v>
      </c>
      <c r="C67" s="8">
        <v>107</v>
      </c>
      <c r="D67" s="8">
        <v>328</v>
      </c>
      <c r="E67" s="8">
        <v>792</v>
      </c>
      <c r="F67" s="8">
        <v>445</v>
      </c>
      <c r="G67" s="8">
        <v>360</v>
      </c>
      <c r="H67" s="8">
        <v>480</v>
      </c>
      <c r="I67" s="8">
        <v>150</v>
      </c>
      <c r="J67" s="8">
        <v>235</v>
      </c>
      <c r="K67" s="8">
        <v>559</v>
      </c>
      <c r="L67" s="8">
        <v>580</v>
      </c>
      <c r="M67" s="8">
        <v>556</v>
      </c>
      <c r="N67" s="8">
        <v>575</v>
      </c>
      <c r="O67" s="8" t="str">
        <f ca="1">VLOOKUP(A67,[1]Projection!A:D,4,0)</f>
        <v>Ethical</v>
      </c>
      <c r="P67" s="8" t="str">
        <f ca="1">VLOOKUP(A67,[1]Projection!A:E,5,0)</f>
        <v>Pregna</v>
      </c>
      <c r="Q67" s="183" cm="1">
        <f t="array" aca="1" ref="Q67" ca="1">AVERAGE(IF([1]Projection!$A$4:$A$74='Gestao de estoque'!A67,[1]Projection!$BL$4:$BX$74))</f>
        <v>262.15384615384613</v>
      </c>
      <c r="R67" s="14">
        <f ca="1">VLOOKUP(A67,[1]Projection!A:BA,35,0)</f>
        <v>8844</v>
      </c>
      <c r="S67" s="14">
        <f ca="1">VLOOKUP('Gestao de estoque'!A67,[1]Projection!A:FN,170,0)</f>
        <v>0</v>
      </c>
      <c r="T67" s="14">
        <f t="shared" ca="1" si="0"/>
        <v>8844</v>
      </c>
      <c r="U67" s="8">
        <f t="shared" ca="1" si="15"/>
        <v>34</v>
      </c>
      <c r="V67" s="8">
        <f ca="1">VLOOKUP(A67,[1]Projection!A:I,9,0)</f>
        <v>162</v>
      </c>
      <c r="W67" s="8">
        <f t="shared" ca="1" si="2"/>
        <v>5</v>
      </c>
      <c r="X67" s="8">
        <v>2</v>
      </c>
      <c r="Y67" s="8">
        <f t="shared" ca="1" si="3"/>
        <v>7</v>
      </c>
      <c r="Z67" s="14">
        <f t="shared" ca="1" si="16"/>
        <v>1835</v>
      </c>
      <c r="AA67" s="184">
        <f t="shared" ca="1" si="17"/>
        <v>-7009</v>
      </c>
      <c r="AB67" s="26" t="str">
        <f t="shared" ca="1" si="18"/>
        <v>OVERSTOCKED</v>
      </c>
      <c r="AC67" s="14">
        <f ca="1">VLOOKUP(A67,[1]Projection!A:V,22,0)</f>
        <v>10000</v>
      </c>
      <c r="AD67" s="185">
        <f t="shared" ca="1" si="19"/>
        <v>-1</v>
      </c>
      <c r="AE67" s="28">
        <f ca="1">VLOOKUP(A67,[1]Projection!A:FO,171,0)</f>
        <v>0</v>
      </c>
      <c r="AF67" s="187">
        <f t="shared" ca="1" si="8"/>
        <v>0</v>
      </c>
      <c r="AG67" s="186">
        <f t="shared" ca="1" si="20"/>
        <v>-1</v>
      </c>
    </row>
    <row r="68" spans="1:33" x14ac:dyDescent="0.25">
      <c r="A68" s="26" t="s">
        <v>33</v>
      </c>
      <c r="B68" s="26" t="s">
        <v>335</v>
      </c>
      <c r="C68" s="8">
        <v>8985</v>
      </c>
      <c r="D68" s="8">
        <v>5310</v>
      </c>
      <c r="E68" s="8">
        <v>13908</v>
      </c>
      <c r="F68" s="8">
        <v>2228</v>
      </c>
      <c r="G68" s="8">
        <v>9272</v>
      </c>
      <c r="H68" s="8">
        <v>10000</v>
      </c>
      <c r="I68" s="8">
        <v>7200</v>
      </c>
      <c r="J68" s="8">
        <v>7200</v>
      </c>
      <c r="K68" s="8">
        <v>7640</v>
      </c>
      <c r="L68" s="8">
        <v>10482</v>
      </c>
      <c r="M68" s="8">
        <v>15526</v>
      </c>
      <c r="N68" s="8">
        <v>9515</v>
      </c>
      <c r="O68" s="8" t="str">
        <f ca="1">VLOOKUP(A68,[1]Projection!A:D,4,0)</f>
        <v>Ethical</v>
      </c>
      <c r="P68" s="8" t="str">
        <f ca="1">VLOOKUP(A68,[1]Projection!A:E,5,0)</f>
        <v>Pregna</v>
      </c>
      <c r="Q68" s="183" cm="1">
        <f t="array" aca="1" ref="Q68" ca="1">AVERAGE(IF([1]Projection!$A$4:$A$74='Gestao de estoque'!A68,[1]Projection!$BL$4:$BX$74))</f>
        <v>5384.6153846153848</v>
      </c>
      <c r="R68" s="14">
        <f ca="1">VLOOKUP(A68,[1]Projection!A:BA,35,0)</f>
        <v>47780</v>
      </c>
      <c r="S68" s="14">
        <f ca="1">VLOOKUP('Gestao de estoque'!A68,[1]Projection!A:FN,170,0)</f>
        <v>30000</v>
      </c>
      <c r="T68" s="14">
        <f t="shared" ca="1" si="0"/>
        <v>77780</v>
      </c>
      <c r="U68" s="8">
        <f t="shared" ca="1" si="15"/>
        <v>14</v>
      </c>
      <c r="V68" s="8">
        <f ca="1">VLOOKUP(A68,[1]Projection!A:I,9,0)</f>
        <v>162</v>
      </c>
      <c r="W68" s="8">
        <f t="shared" ca="1" si="2"/>
        <v>5</v>
      </c>
      <c r="X68" s="8">
        <v>3</v>
      </c>
      <c r="Y68" s="8">
        <f t="shared" ca="1" si="3"/>
        <v>8</v>
      </c>
      <c r="Z68" s="14">
        <f t="shared" ca="1" si="16"/>
        <v>43077</v>
      </c>
      <c r="AA68" s="184">
        <f t="shared" ca="1" si="17"/>
        <v>-34703</v>
      </c>
      <c r="AB68" s="26" t="str">
        <f t="shared" ca="1" si="18"/>
        <v>OVERSTOCKED</v>
      </c>
      <c r="AC68" s="14">
        <f ca="1">VLOOKUP(A68,[1]Projection!A:V,22,0)</f>
        <v>10000</v>
      </c>
      <c r="AD68" s="185">
        <f t="shared" ca="1" si="19"/>
        <v>-3</v>
      </c>
      <c r="AE68" s="28">
        <f ca="1">VLOOKUP(A68,[1]Projection!A:FO,171,0)</f>
        <v>0</v>
      </c>
      <c r="AF68" s="187">
        <f t="shared" ca="1" si="8"/>
        <v>0</v>
      </c>
      <c r="AG68" s="186">
        <f t="shared" ca="1" si="20"/>
        <v>-3</v>
      </c>
    </row>
    <row r="69" spans="1:33" x14ac:dyDescent="0.25">
      <c r="A69" t="s">
        <v>525</v>
      </c>
      <c r="C69" s="163">
        <v>271674</v>
      </c>
      <c r="D69" s="163">
        <v>311105</v>
      </c>
      <c r="E69" s="163">
        <v>784974.1</v>
      </c>
      <c r="F69" s="163">
        <v>655056.4</v>
      </c>
      <c r="G69" s="163">
        <v>585862.90082666662</v>
      </c>
      <c r="H69" s="163">
        <v>358985.26891749998</v>
      </c>
      <c r="I69" s="163">
        <v>219204.61002000002</v>
      </c>
      <c r="J69" s="163">
        <v>220560.41897999996</v>
      </c>
      <c r="K69" s="163">
        <v>368757.41037999996</v>
      </c>
      <c r="L69" s="163">
        <v>342665.24600000004</v>
      </c>
      <c r="M69" s="163">
        <v>349746.2</v>
      </c>
      <c r="N69" s="163">
        <v>362920</v>
      </c>
      <c r="O69" s="163"/>
      <c r="P69" s="8"/>
      <c r="U69" s="163"/>
      <c r="V69" s="8"/>
      <c r="AA69" s="189"/>
    </row>
    <row r="76" spans="1:33" x14ac:dyDescent="0.25">
      <c r="A76" s="190" t="s">
        <v>1</v>
      </c>
    </row>
    <row r="77" spans="1:33" x14ac:dyDescent="0.25">
      <c r="A77" s="190" t="s">
        <v>526</v>
      </c>
      <c r="B77" s="190">
        <f ca="1">COUNTIFS($AB$4:$AB$68,A77,O4:O68,A76)</f>
        <v>0</v>
      </c>
    </row>
    <row r="78" spans="1:33" x14ac:dyDescent="0.25">
      <c r="A78" s="190" t="s">
        <v>527</v>
      </c>
      <c r="B78" s="190">
        <f ca="1">COUNTIFS($AB$4:$AB$68,A78,O4:O68,A76)</f>
        <v>1</v>
      </c>
    </row>
    <row r="79" spans="1:33" x14ac:dyDescent="0.25">
      <c r="A79" s="190" t="s">
        <v>528</v>
      </c>
      <c r="B79" s="190">
        <f ca="1">COUNTIFS($AB$4:$AB$68,A79,O4:O68,A76)</f>
        <v>8</v>
      </c>
    </row>
    <row r="80" spans="1:33" x14ac:dyDescent="0.25">
      <c r="A80" s="190" t="s">
        <v>529</v>
      </c>
      <c r="B80" s="190">
        <f ca="1">COUNTIFS($AB$4:$AB$68,A80,O4:O68,A76)</f>
        <v>11</v>
      </c>
    </row>
    <row r="83" spans="1:18" x14ac:dyDescent="0.25">
      <c r="A83" s="190" t="s">
        <v>0</v>
      </c>
    </row>
    <row r="84" spans="1:18" x14ac:dyDescent="0.25">
      <c r="A84" s="190" t="s">
        <v>526</v>
      </c>
      <c r="B84" s="190">
        <f ca="1">COUNTIFS($AB$4:$AB$68,A84,O4:O68,A83)</f>
        <v>0</v>
      </c>
    </row>
    <row r="85" spans="1:18" x14ac:dyDescent="0.25">
      <c r="A85" s="190" t="s">
        <v>527</v>
      </c>
      <c r="B85" s="190">
        <f ca="1">COUNTIFS($AB$4:$AB$68,A85,O4:O68,A83)</f>
        <v>17</v>
      </c>
    </row>
    <row r="86" spans="1:18" x14ac:dyDescent="0.25">
      <c r="A86" s="190" t="s">
        <v>528</v>
      </c>
      <c r="B86" s="190">
        <f ca="1">COUNTIFS($AB$4:$AB$68,A86,O4:O68,A83)</f>
        <v>21</v>
      </c>
    </row>
    <row r="87" spans="1:18" x14ac:dyDescent="0.25">
      <c r="A87" s="190" t="s">
        <v>529</v>
      </c>
      <c r="B87" s="190">
        <f ca="1">COUNTIFS($AB$4:$AB$68,A87,O4:O68,A83)</f>
        <v>3</v>
      </c>
    </row>
    <row r="90" spans="1:18" ht="24" x14ac:dyDescent="0.4">
      <c r="A90" s="191" t="s">
        <v>530</v>
      </c>
      <c r="B90" s="191"/>
    </row>
    <row r="91" spans="1:18" ht="21" x14ac:dyDescent="0.35">
      <c r="A91" s="42" t="s">
        <v>508</v>
      </c>
      <c r="B91" s="192" t="s">
        <v>561</v>
      </c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</row>
    <row r="92" spans="1:18" ht="21" x14ac:dyDescent="0.35">
      <c r="A92" s="42" t="s">
        <v>509</v>
      </c>
      <c r="B92" s="192" t="s">
        <v>560</v>
      </c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</row>
    <row r="93" spans="1:18" ht="21" x14ac:dyDescent="0.35">
      <c r="A93" s="42" t="s">
        <v>510</v>
      </c>
      <c r="B93" s="192" t="s">
        <v>531</v>
      </c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</row>
    <row r="94" spans="1:18" ht="21" x14ac:dyDescent="0.35">
      <c r="A94" s="42" t="s">
        <v>511</v>
      </c>
      <c r="B94" s="25" t="s">
        <v>532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1:18" ht="21" x14ac:dyDescent="0.35">
      <c r="A95" s="42" t="s">
        <v>512</v>
      </c>
      <c r="B95" s="25" t="s">
        <v>533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1:18" ht="21" x14ac:dyDescent="0.35">
      <c r="A96" s="42" t="s">
        <v>514</v>
      </c>
      <c r="B96" s="192" t="s">
        <v>534</v>
      </c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</row>
    <row r="97" spans="1:18" ht="21" x14ac:dyDescent="0.35">
      <c r="A97" s="42" t="s">
        <v>515</v>
      </c>
      <c r="B97" s="192" t="s">
        <v>535</v>
      </c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</row>
    <row r="98" spans="1:18" ht="21" x14ac:dyDescent="0.35">
      <c r="A98" s="42"/>
      <c r="B98" s="194" t="s">
        <v>536</v>
      </c>
      <c r="C98" s="194" t="s">
        <v>485</v>
      </c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</row>
    <row r="99" spans="1:18" ht="21" x14ac:dyDescent="0.35">
      <c r="A99" s="42"/>
      <c r="B99" s="194" t="s">
        <v>537</v>
      </c>
      <c r="C99" s="194" t="s">
        <v>486</v>
      </c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</row>
    <row r="100" spans="1:18" ht="21" x14ac:dyDescent="0.35">
      <c r="A100" s="42"/>
      <c r="B100" s="194" t="s">
        <v>538</v>
      </c>
      <c r="C100" s="194" t="s">
        <v>487</v>
      </c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</row>
    <row r="101" spans="1:18" ht="21" x14ac:dyDescent="0.35">
      <c r="A101" s="42"/>
      <c r="B101" s="194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</row>
    <row r="102" spans="1:18" ht="21" x14ac:dyDescent="0.35">
      <c r="A102" s="42" t="s">
        <v>539</v>
      </c>
      <c r="B102" s="194" t="s">
        <v>540</v>
      </c>
    </row>
    <row r="103" spans="1:18" ht="21" x14ac:dyDescent="0.35">
      <c r="A103" s="42" t="s">
        <v>516</v>
      </c>
      <c r="B103" s="194" t="s">
        <v>541</v>
      </c>
      <c r="O103" s="193" t="s">
        <v>543</v>
      </c>
      <c r="P103" s="24"/>
      <c r="Q103" s="24"/>
      <c r="R103" s="24"/>
    </row>
    <row r="104" spans="1:18" ht="21" x14ac:dyDescent="0.35">
      <c r="A104" s="42" t="s">
        <v>517</v>
      </c>
      <c r="B104" s="194" t="s">
        <v>542</v>
      </c>
    </row>
    <row r="105" spans="1:18" ht="21" x14ac:dyDescent="0.35">
      <c r="A105" s="42" t="s">
        <v>518</v>
      </c>
      <c r="B105" s="194" t="s">
        <v>544</v>
      </c>
    </row>
    <row r="106" spans="1:18" ht="21" x14ac:dyDescent="0.35">
      <c r="A106" s="42"/>
      <c r="B106" s="194" t="s">
        <v>545</v>
      </c>
    </row>
    <row r="107" spans="1:18" ht="21" x14ac:dyDescent="0.35">
      <c r="A107" s="42"/>
      <c r="B107" s="194" t="s">
        <v>546</v>
      </c>
    </row>
    <row r="108" spans="1:18" ht="21" x14ac:dyDescent="0.35">
      <c r="A108" s="42"/>
      <c r="B108" s="194" t="s">
        <v>547</v>
      </c>
    </row>
    <row r="109" spans="1:18" ht="21" x14ac:dyDescent="0.35">
      <c r="A109" s="42" t="s">
        <v>520</v>
      </c>
      <c r="B109" s="194" t="s">
        <v>548</v>
      </c>
    </row>
    <row r="110" spans="1:18" ht="21" x14ac:dyDescent="0.35">
      <c r="A110" s="42" t="s">
        <v>522</v>
      </c>
      <c r="B110" s="194" t="s">
        <v>549</v>
      </c>
      <c r="P110" s="196" t="s">
        <v>559</v>
      </c>
      <c r="Q110" s="161"/>
    </row>
    <row r="111" spans="1:18" ht="21" x14ac:dyDescent="0.35">
      <c r="A111" s="42" t="s">
        <v>523</v>
      </c>
      <c r="B111" s="194" t="s">
        <v>550</v>
      </c>
    </row>
    <row r="114" spans="1:18" ht="24" x14ac:dyDescent="0.4">
      <c r="A114" s="191" t="s">
        <v>551</v>
      </c>
      <c r="B114" s="191"/>
    </row>
    <row r="116" spans="1:18" ht="21" x14ac:dyDescent="0.35">
      <c r="A116" s="42" t="s">
        <v>554</v>
      </c>
      <c r="B116" s="195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</row>
    <row r="117" spans="1:18" ht="18.75" x14ac:dyDescent="0.3">
      <c r="A117" s="194" t="s">
        <v>555</v>
      </c>
    </row>
    <row r="118" spans="1:18" ht="18.75" x14ac:dyDescent="0.3">
      <c r="A118" s="194"/>
    </row>
    <row r="119" spans="1:18" ht="21" x14ac:dyDescent="0.35">
      <c r="A119" s="42" t="s">
        <v>553</v>
      </c>
    </row>
    <row r="120" spans="1:18" ht="18.75" x14ac:dyDescent="0.3">
      <c r="A120" s="194" t="s">
        <v>556</v>
      </c>
    </row>
    <row r="121" spans="1:18" ht="18.75" x14ac:dyDescent="0.3">
      <c r="A121" s="194" t="s">
        <v>558</v>
      </c>
    </row>
    <row r="123" spans="1:18" ht="21" x14ac:dyDescent="0.35">
      <c r="A123" s="42" t="s">
        <v>552</v>
      </c>
    </row>
    <row r="124" spans="1:18" ht="18.75" x14ac:dyDescent="0.3">
      <c r="A124" s="194" t="s">
        <v>557</v>
      </c>
    </row>
  </sheetData>
  <autoFilter ref="A4:AG72" xr:uid="{21DCA383-9B73-4E35-8777-D7B7675F54C3}"/>
  <mergeCells count="9">
    <mergeCell ref="B96:R96"/>
    <mergeCell ref="B97:R97"/>
    <mergeCell ref="A114:B114"/>
    <mergeCell ref="A90:B90"/>
    <mergeCell ref="B91:R91"/>
    <mergeCell ref="B92:R92"/>
    <mergeCell ref="B93:R93"/>
    <mergeCell ref="B94:R94"/>
    <mergeCell ref="B95:R95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A2E-9BBB-417A-B167-012F30C2FFD1}">
  <dimension ref="A1:HS129"/>
  <sheetViews>
    <sheetView showGridLines="0" tabSelected="1" zoomScale="60" zoomScaleNormal="60" workbookViewId="0">
      <pane xSplit="2" ySplit="4" topLeftCell="CE5" activePane="bottomRight" state="frozen"/>
      <selection pane="topRight" activeCell="C1" sqref="C1"/>
      <selection pane="bottomLeft" activeCell="A5" sqref="A5"/>
      <selection pane="bottomRight" activeCell="GL91" sqref="CF91:GL94"/>
    </sheetView>
  </sheetViews>
  <sheetFormatPr defaultColWidth="8.85546875" defaultRowHeight="15" outlineLevelCol="2" x14ac:dyDescent="0.25"/>
  <cols>
    <col min="1" max="1" width="19.85546875" style="58" bestFit="1" customWidth="1"/>
    <col min="2" max="2" width="63.7109375" style="157" bestFit="1" customWidth="1"/>
    <col min="3" max="3" width="72.85546875" style="157" customWidth="1" outlineLevel="1"/>
    <col min="4" max="4" width="11.85546875" style="58" customWidth="1" outlineLevel="1"/>
    <col min="5" max="5" width="20" style="157" customWidth="1"/>
    <col min="6" max="6" width="18.7109375" style="157" customWidth="1"/>
    <col min="7" max="7" width="20.85546875" style="58" customWidth="1"/>
    <col min="8" max="8" width="20.7109375" style="58" customWidth="1"/>
    <col min="9" max="15" width="13.140625" style="58" customWidth="1"/>
    <col min="16" max="16" width="13" style="58" customWidth="1"/>
    <col min="17" max="17" width="10.5703125" style="58" customWidth="1"/>
    <col min="18" max="18" width="11.140625" style="58" customWidth="1"/>
    <col min="19" max="19" width="11.7109375" style="58" customWidth="1"/>
    <col min="20" max="20" width="18.85546875" style="158" bestFit="1" customWidth="1"/>
    <col min="21" max="21" width="15.5703125" style="58" bestFit="1" customWidth="1"/>
    <col min="22" max="22" width="10.140625" style="58" customWidth="1"/>
    <col min="23" max="24" width="10.140625" style="58" hidden="1" customWidth="1"/>
    <col min="25" max="25" width="19.42578125" style="58" bestFit="1" customWidth="1"/>
    <col min="26" max="26" width="18.5703125" style="58" hidden="1" customWidth="1"/>
    <col min="27" max="27" width="15.85546875" style="58" hidden="1" customWidth="1"/>
    <col min="28" max="28" width="15.28515625" style="58" hidden="1" customWidth="1"/>
    <col min="29" max="29" width="17" style="58" hidden="1" customWidth="1"/>
    <col min="30" max="30" width="18.7109375" style="58" hidden="1" customWidth="1"/>
    <col min="31" max="31" width="17" style="58" hidden="1" customWidth="1"/>
    <col min="32" max="32" width="17.42578125" hidden="1" customWidth="1"/>
    <col min="33" max="33" width="18.28515625" style="58" hidden="1" customWidth="1"/>
    <col min="34" max="34" width="18" style="58" hidden="1" customWidth="1"/>
    <col min="35" max="35" width="21.42578125" style="58" customWidth="1"/>
    <col min="36" max="36" width="26.5703125" style="58" bestFit="1" customWidth="1"/>
    <col min="37" max="52" width="21.42578125" style="58" customWidth="1"/>
    <col min="53" max="53" width="19" style="58" customWidth="1"/>
    <col min="54" max="54" width="9.42578125" style="58" customWidth="1"/>
    <col min="55" max="55" width="15.42578125" customWidth="1"/>
    <col min="56" max="56" width="13.85546875" style="58" customWidth="1"/>
    <col min="57" max="57" width="16.42578125" style="58" customWidth="1"/>
    <col min="58" max="58" width="15.5703125" style="58" customWidth="1"/>
    <col min="59" max="60" width="15.85546875" style="58" customWidth="1"/>
    <col min="61" max="61" width="15.85546875" style="157" customWidth="1"/>
    <col min="62" max="65" width="15.85546875" style="58" customWidth="1"/>
    <col min="66" max="66" width="15.85546875" style="58" customWidth="1" outlineLevel="1"/>
    <col min="67" max="67" width="15.85546875" customWidth="1"/>
    <col min="68" max="80" width="15.85546875" style="58" customWidth="1" outlineLevel="1"/>
    <col min="81" max="81" width="13" style="58" customWidth="1" outlineLevel="1"/>
    <col min="82" max="82" width="14.140625" style="58" customWidth="1" outlineLevel="1"/>
    <col min="83" max="83" width="13" style="58" customWidth="1" outlineLevel="1"/>
    <col min="84" max="84" width="12.28515625" style="58" bestFit="1" customWidth="1" outlineLevel="1"/>
    <col min="85" max="85" width="14.140625" style="58" hidden="1" customWidth="1" outlineLevel="1"/>
    <col min="86" max="86" width="19.140625" hidden="1" customWidth="1"/>
    <col min="87" max="87" width="19.140625" style="58" hidden="1" customWidth="1" outlineLevel="1"/>
    <col min="88" max="88" width="19.140625" hidden="1" customWidth="1" collapsed="1"/>
    <col min="89" max="92" width="19.140625" hidden="1" customWidth="1" outlineLevel="1"/>
    <col min="93" max="93" width="19.140625" customWidth="1" outlineLevel="1"/>
    <col min="94" max="94" width="18.140625" customWidth="1" outlineLevel="1"/>
    <col min="95" max="95" width="19.140625" customWidth="1" outlineLevel="1"/>
    <col min="96" max="96" width="20.42578125" customWidth="1" outlineLevel="1"/>
    <col min="97" max="97" width="19.140625" customWidth="1"/>
    <col min="98" max="98" width="19.140625" customWidth="1" outlineLevel="1"/>
    <col min="99" max="99" width="19.42578125" customWidth="1" outlineLevel="1"/>
    <col min="100" max="102" width="19.140625" customWidth="1" outlineLevel="1"/>
    <col min="103" max="103" width="18.85546875" customWidth="1" outlineLevel="1"/>
    <col min="104" max="107" width="19.140625" customWidth="1" outlineLevel="1"/>
    <col min="108" max="108" width="21" customWidth="1" outlineLevel="1"/>
    <col min="109" max="111" width="19.140625" customWidth="1" outlineLevel="1"/>
    <col min="112" max="112" width="19.42578125" customWidth="1" outlineLevel="1"/>
    <col min="113" max="113" width="16.7109375" customWidth="1" outlineLevel="1"/>
    <col min="114" max="114" width="21.7109375" customWidth="1" outlineLevel="1"/>
    <col min="115" max="115" width="23.85546875" customWidth="1" outlineLevel="1"/>
    <col min="116" max="116" width="24.140625" customWidth="1" outlineLevel="1"/>
    <col min="117" max="117" width="24.28515625" customWidth="1" outlineLevel="1"/>
    <col min="118" max="118" width="24.85546875" customWidth="1" outlineLevel="1"/>
    <col min="119" max="119" width="22" customWidth="1" outlineLevel="1"/>
    <col min="120" max="120" width="22.140625" customWidth="1" outlineLevel="1"/>
    <col min="121" max="121" width="23.85546875" customWidth="1" outlineLevel="1"/>
    <col min="122" max="122" width="23.42578125" customWidth="1" outlineLevel="1"/>
    <col min="123" max="123" width="24.5703125" customWidth="1" outlineLevel="1"/>
    <col min="124" max="124" width="25.28515625" customWidth="1" outlineLevel="1"/>
    <col min="125" max="125" width="23.5703125" customWidth="1" outlineLevel="1"/>
    <col min="126" max="126" width="22.85546875" customWidth="1" outlineLevel="1"/>
    <col min="127" max="133" width="25.140625" customWidth="1" outlineLevel="1"/>
    <col min="134" max="134" width="22.5703125" customWidth="1" outlineLevel="1"/>
    <col min="135" max="135" width="22.7109375" customWidth="1" outlineLevel="1"/>
    <col min="136" max="136" width="21.28515625" customWidth="1" outlineLevel="1"/>
    <col min="137" max="137" width="22.140625" customWidth="1" outlineLevel="1"/>
    <col min="138" max="138" width="22.28515625" customWidth="1" outlineLevel="1"/>
    <col min="139" max="139" width="22.5703125" customWidth="1" outlineLevel="1"/>
    <col min="140" max="141" width="8.85546875" customWidth="1" outlineLevel="1"/>
    <col min="142" max="143" width="15.28515625" customWidth="1" outlineLevel="1"/>
    <col min="144" max="144" width="20.5703125" customWidth="1" outlineLevel="1"/>
    <col min="145" max="145" width="21.28515625" customWidth="1"/>
    <col min="146" max="146" width="20.5703125" customWidth="1"/>
    <col min="147" max="147" width="21.28515625" customWidth="1"/>
    <col min="148" max="150" width="20.5703125" customWidth="1"/>
    <col min="151" max="151" width="21.28515625" customWidth="1"/>
    <col min="152" max="152" width="20.5703125" customWidth="1"/>
    <col min="153" max="153" width="21.28515625" customWidth="1"/>
    <col min="154" max="154" width="20.5703125" customWidth="1"/>
    <col min="155" max="156" width="21.28515625" customWidth="1"/>
    <col min="157" max="163" width="21.28515625" customWidth="1" outlineLevel="2"/>
    <col min="164" max="169" width="15.28515625" customWidth="1" outlineLevel="2"/>
    <col min="170" max="170" width="11.7109375" customWidth="1"/>
    <col min="171" max="171" width="13.5703125" customWidth="1"/>
    <col min="172" max="173" width="11" hidden="1" customWidth="1"/>
    <col min="174" max="174" width="12" hidden="1" customWidth="1"/>
    <col min="175" max="180" width="11" hidden="1" customWidth="1"/>
    <col min="181" max="185" width="11" customWidth="1"/>
    <col min="186" max="186" width="12.5703125" customWidth="1"/>
    <col min="187" max="190" width="11" customWidth="1"/>
    <col min="191" max="191" width="11.5703125" customWidth="1"/>
    <col min="192" max="192" width="11.7109375" customWidth="1"/>
    <col min="193" max="193" width="11.42578125" customWidth="1"/>
    <col min="194" max="194" width="11.28515625" customWidth="1"/>
    <col min="195" max="195" width="13.140625" customWidth="1"/>
    <col min="196" max="196" width="11.7109375" customWidth="1"/>
    <col min="197" max="197" width="12.42578125" customWidth="1"/>
    <col min="198" max="198" width="12.140625" customWidth="1"/>
    <col min="199" max="199" width="12.28515625" customWidth="1"/>
    <col min="201" max="201" width="19.140625" bestFit="1" customWidth="1"/>
    <col min="202" max="202" width="16.28515625" customWidth="1"/>
    <col min="203" max="203" width="16.7109375" customWidth="1"/>
    <col min="204" max="204" width="17" bestFit="1" customWidth="1"/>
    <col min="205" max="205" width="18.28515625" customWidth="1"/>
    <col min="206" max="206" width="20.140625" bestFit="1" customWidth="1"/>
    <col min="207" max="207" width="19.42578125" bestFit="1" customWidth="1"/>
    <col min="208" max="208" width="18.5703125" bestFit="1" customWidth="1"/>
    <col min="209" max="209" width="17.5703125" bestFit="1" customWidth="1"/>
    <col min="210" max="210" width="17" bestFit="1" customWidth="1"/>
    <col min="211" max="211" width="17.5703125" bestFit="1" customWidth="1"/>
    <col min="212" max="212" width="17" bestFit="1" customWidth="1"/>
    <col min="213" max="213" width="18.5703125" customWidth="1"/>
    <col min="214" max="214" width="19.42578125" bestFit="1" customWidth="1"/>
    <col min="215" max="215" width="16.7109375" bestFit="1" customWidth="1"/>
    <col min="216" max="216" width="19.85546875" bestFit="1" customWidth="1"/>
    <col min="217" max="217" width="15.42578125" hidden="1" customWidth="1"/>
    <col min="218" max="218" width="16.28515625" hidden="1" customWidth="1"/>
    <col min="219" max="220" width="16" hidden="1" customWidth="1"/>
    <col min="221" max="221" width="17.5703125" hidden="1" customWidth="1"/>
    <col min="222" max="222" width="17" hidden="1" customWidth="1"/>
    <col min="223" max="223" width="17.5703125" hidden="1" customWidth="1"/>
    <col min="224" max="224" width="17" hidden="1" customWidth="1"/>
    <col min="225" max="225" width="15.7109375" hidden="1" customWidth="1"/>
    <col min="226" max="226" width="23.7109375" bestFit="1" customWidth="1"/>
    <col min="227" max="227" width="18.7109375" bestFit="1" customWidth="1"/>
  </cols>
  <sheetData>
    <row r="1" spans="1:227" ht="16.5" thickTop="1" thickBot="1" x14ac:dyDescent="0.3">
      <c r="A1" s="52"/>
      <c r="B1" s="53"/>
      <c r="C1" s="53"/>
      <c r="D1" s="52"/>
      <c r="E1" s="53"/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  <c r="Q1" s="55" t="s">
        <v>133</v>
      </c>
      <c r="R1" s="54"/>
      <c r="S1" s="54"/>
      <c r="T1" s="56"/>
      <c r="U1" s="55" t="s">
        <v>133</v>
      </c>
      <c r="V1" s="54"/>
      <c r="W1" s="54"/>
      <c r="X1" s="54"/>
      <c r="Y1" s="54"/>
      <c r="Z1" s="54"/>
      <c r="AA1" s="54"/>
      <c r="AB1" s="57">
        <f t="shared" ref="AB1:BA1" ca="1" si="0">SUBTOTAL(9,AB5:AB74)</f>
        <v>100140</v>
      </c>
      <c r="AC1" s="57">
        <f t="shared" ca="1" si="0"/>
        <v>51301</v>
      </c>
      <c r="AD1" s="57">
        <f t="shared" ca="1" si="0"/>
        <v>68725</v>
      </c>
      <c r="AE1" s="57">
        <f t="shared" ca="1" si="0"/>
        <v>111299</v>
      </c>
      <c r="AF1" s="57">
        <f t="shared" ca="1" si="0"/>
        <v>110742</v>
      </c>
      <c r="AG1" s="57">
        <f t="shared" ca="1" si="0"/>
        <v>417759</v>
      </c>
      <c r="AH1" s="57">
        <f t="shared" ca="1" si="0"/>
        <v>90964</v>
      </c>
      <c r="AI1" s="57">
        <f t="shared" ca="1" si="0"/>
        <v>175069</v>
      </c>
      <c r="AJ1" s="57">
        <f t="shared" ca="1" si="0"/>
        <v>207200.15030000001</v>
      </c>
      <c r="AK1" s="57">
        <f t="shared" ca="1" si="0"/>
        <v>228174.85295999996</v>
      </c>
      <c r="AL1" s="57">
        <f t="shared" ca="1" si="0"/>
        <v>300704.70397999999</v>
      </c>
      <c r="AM1" s="57">
        <f t="shared" ca="1" si="0"/>
        <v>324485.26859999995</v>
      </c>
      <c r="AN1" s="57">
        <f t="shared" ca="1" si="0"/>
        <v>327278.12559999997</v>
      </c>
      <c r="AO1" s="57">
        <f t="shared" ca="1" si="0"/>
        <v>712708.12559999991</v>
      </c>
      <c r="AP1" s="57">
        <f t="shared" ca="1" si="0"/>
        <v>329355.12559999997</v>
      </c>
      <c r="AQ1" s="57">
        <f t="shared" ca="1" si="0"/>
        <v>1012293.1255999999</v>
      </c>
      <c r="AR1" s="57">
        <f t="shared" ca="1" si="0"/>
        <v>1962027.1255999999</v>
      </c>
      <c r="AS1" s="57">
        <f t="shared" ca="1" si="0"/>
        <v>1772579.1255999999</v>
      </c>
      <c r="AT1" s="57">
        <f t="shared" ca="1" si="0"/>
        <v>2010408.1255999999</v>
      </c>
      <c r="AU1" s="57">
        <f t="shared" ca="1" si="0"/>
        <v>1590905.1255999999</v>
      </c>
      <c r="AV1" s="57">
        <f t="shared" ca="1" si="0"/>
        <v>1295122.1255999999</v>
      </c>
      <c r="AW1" s="57">
        <f t="shared" ca="1" si="0"/>
        <v>1295122.1255999999</v>
      </c>
      <c r="AX1" s="57">
        <f t="shared" ca="1" si="0"/>
        <v>1295122.1255999999</v>
      </c>
      <c r="AY1" s="57">
        <f t="shared" ca="1" si="0"/>
        <v>1295122.1255999999</v>
      </c>
      <c r="AZ1" s="57">
        <f t="shared" ca="1" si="0"/>
        <v>1295122.1255999999</v>
      </c>
      <c r="BA1" s="57">
        <f t="shared" ca="1" si="0"/>
        <v>1295122.1255999999</v>
      </c>
      <c r="BC1" s="54"/>
      <c r="BD1" s="54"/>
      <c r="BE1" s="57">
        <f t="shared" ref="BE1:CD1" ca="1" si="1">SUBTOTAL(9,BE5:BE74)</f>
        <v>104382.375</v>
      </c>
      <c r="BF1" s="57">
        <f t="shared" ca="1" si="1"/>
        <v>104682.375</v>
      </c>
      <c r="BG1" s="57">
        <f t="shared" ca="1" si="1"/>
        <v>71095.996862500004</v>
      </c>
      <c r="BH1" s="57">
        <f t="shared" ca="1" si="1"/>
        <v>87079.195000000007</v>
      </c>
      <c r="BI1" s="59">
        <f t="shared" ca="1" si="1"/>
        <v>171106.05547999998</v>
      </c>
      <c r="BJ1" s="57">
        <f t="shared" ca="1" si="1"/>
        <v>136531.95107999997</v>
      </c>
      <c r="BK1" s="57">
        <f t="shared" ca="1" si="1"/>
        <v>113802.83706000001</v>
      </c>
      <c r="BL1" s="57">
        <f t="shared" ca="1" si="1"/>
        <v>167460.47638000001</v>
      </c>
      <c r="BM1" s="57">
        <f t="shared" ca="1" si="1"/>
        <v>171078.62502000001</v>
      </c>
      <c r="BN1" s="57">
        <f t="shared" ca="1" si="1"/>
        <v>174925.14898</v>
      </c>
      <c r="BO1" s="57">
        <f t="shared" ca="1" si="1"/>
        <v>170279.43537999998</v>
      </c>
      <c r="BP1" s="57">
        <f t="shared" ca="1" si="1"/>
        <v>447407.14299999998</v>
      </c>
      <c r="BQ1" s="57">
        <f t="shared" ca="1" si="1"/>
        <v>176410</v>
      </c>
      <c r="BR1" s="57">
        <f t="shared" ca="1" si="1"/>
        <v>447533</v>
      </c>
      <c r="BS1" s="57">
        <f t="shared" ca="1" si="1"/>
        <v>148002</v>
      </c>
      <c r="BT1" s="57">
        <f t="shared" ca="1" si="1"/>
        <v>147726</v>
      </c>
      <c r="BU1" s="57">
        <f t="shared" ca="1" si="1"/>
        <v>724448</v>
      </c>
      <c r="BV1" s="57">
        <f t="shared" ca="1" si="1"/>
        <v>282171</v>
      </c>
      <c r="BW1" s="57">
        <f t="shared" ca="1" si="1"/>
        <v>419503</v>
      </c>
      <c r="BX1" s="57">
        <f t="shared" ca="1" si="1"/>
        <v>295783</v>
      </c>
      <c r="BY1" s="57">
        <f t="shared" ca="1" si="1"/>
        <v>0</v>
      </c>
      <c r="BZ1" s="57">
        <f t="shared" ca="1" si="1"/>
        <v>0</v>
      </c>
      <c r="CA1" s="57">
        <f t="shared" ca="1" si="1"/>
        <v>0</v>
      </c>
      <c r="CB1" s="57">
        <f t="shared" ca="1" si="1"/>
        <v>0</v>
      </c>
      <c r="CC1" s="57">
        <f t="shared" ca="1" si="1"/>
        <v>0</v>
      </c>
      <c r="CD1" s="57">
        <f t="shared" ca="1" si="1"/>
        <v>0</v>
      </c>
      <c r="CE1" s="55" t="s">
        <v>133</v>
      </c>
      <c r="CG1" s="54"/>
      <c r="CH1" s="57">
        <f t="shared" ref="CH1:DG1" ca="1" si="2">SUBTOTAL(9,CH5:CH74)</f>
        <v>0</v>
      </c>
      <c r="CI1" s="57">
        <f t="shared" ca="1" si="2"/>
        <v>0</v>
      </c>
      <c r="CJ1" s="57">
        <f t="shared" ca="1" si="2"/>
        <v>0</v>
      </c>
      <c r="CK1" s="57">
        <f t="shared" ca="1" si="2"/>
        <v>0</v>
      </c>
      <c r="CL1" s="57">
        <f t="shared" ca="1" si="2"/>
        <v>0</v>
      </c>
      <c r="CM1" s="57">
        <f t="shared" ca="1" si="2"/>
        <v>0</v>
      </c>
      <c r="CN1" s="57">
        <f t="shared" ca="1" si="2"/>
        <v>0</v>
      </c>
      <c r="CO1" s="57">
        <f t="shared" ca="1" si="2"/>
        <v>197820</v>
      </c>
      <c r="CP1" s="57">
        <f t="shared" ca="1" si="2"/>
        <v>189160</v>
      </c>
      <c r="CQ1" s="57">
        <f t="shared" ca="1" si="2"/>
        <v>142540</v>
      </c>
      <c r="CR1" s="57">
        <f t="shared" ca="1" si="2"/>
        <v>74060</v>
      </c>
      <c r="CS1" s="57">
        <f t="shared" ca="1" si="2"/>
        <v>450200</v>
      </c>
      <c r="CT1" s="57">
        <f t="shared" ca="1" si="2"/>
        <v>561840</v>
      </c>
      <c r="CU1" s="57">
        <f t="shared" ca="1" si="2"/>
        <v>64180</v>
      </c>
      <c r="CV1" s="57">
        <f t="shared" ca="1" si="2"/>
        <v>830940</v>
      </c>
      <c r="CW1" s="57">
        <f t="shared" ca="1" si="2"/>
        <v>1097460</v>
      </c>
      <c r="CX1" s="57">
        <f t="shared" ca="1" si="2"/>
        <v>535000</v>
      </c>
      <c r="CY1" s="57">
        <f t="shared" ca="1" si="2"/>
        <v>520000</v>
      </c>
      <c r="CZ1" s="57">
        <f t="shared" ca="1" si="2"/>
        <v>0</v>
      </c>
      <c r="DA1" s="57">
        <f t="shared" ca="1" si="2"/>
        <v>0</v>
      </c>
      <c r="DB1" s="57">
        <f t="shared" ca="1" si="2"/>
        <v>0</v>
      </c>
      <c r="DC1" s="57">
        <f t="shared" ca="1" si="2"/>
        <v>0</v>
      </c>
      <c r="DD1" s="57">
        <f t="shared" ca="1" si="2"/>
        <v>0</v>
      </c>
      <c r="DE1" s="57">
        <f t="shared" ca="1" si="2"/>
        <v>0</v>
      </c>
      <c r="DF1" s="57">
        <f t="shared" ca="1" si="2"/>
        <v>0</v>
      </c>
      <c r="DG1" s="57">
        <f t="shared" ca="1" si="2"/>
        <v>0</v>
      </c>
      <c r="DJ1" s="60">
        <f t="shared" ref="DJ1:EI1" ca="1" si="3">SUBTOTAL(9,DJ5:DJ74)</f>
        <v>3394517.23</v>
      </c>
      <c r="DK1" s="60">
        <f t="shared" ca="1" si="3"/>
        <v>2945391.71</v>
      </c>
      <c r="DL1" s="60">
        <f t="shared" ca="1" si="3"/>
        <v>2496091.9599999995</v>
      </c>
      <c r="DM1" s="60">
        <f t="shared" ca="1" si="3"/>
        <v>3257769.9800000004</v>
      </c>
      <c r="DN1" s="60">
        <f t="shared" ca="1" si="3"/>
        <v>4277049.0799999991</v>
      </c>
      <c r="DO1" s="60">
        <f t="shared" ca="1" si="3"/>
        <v>3563488.42</v>
      </c>
      <c r="DP1" s="60">
        <f t="shared" ca="1" si="3"/>
        <v>4114643.81</v>
      </c>
      <c r="DQ1" s="60">
        <f t="shared" ca="1" si="3"/>
        <v>8449603.5</v>
      </c>
      <c r="DR1" s="60">
        <f t="shared" ca="1" si="3"/>
        <v>9778382.0793994013</v>
      </c>
      <c r="DS1" s="60">
        <f t="shared" ca="1" si="3"/>
        <v>11141787.8409204</v>
      </c>
      <c r="DT1" s="60">
        <f t="shared" ca="1" si="3"/>
        <v>16038214.475484801</v>
      </c>
      <c r="DU1" s="60">
        <f t="shared" ca="1" si="3"/>
        <v>17432228.228655197</v>
      </c>
      <c r="DV1" s="60">
        <f t="shared" ca="1" si="3"/>
        <v>17320543.930665199</v>
      </c>
      <c r="DW1" s="60">
        <f t="shared" ca="1" si="3"/>
        <v>18043429.980665199</v>
      </c>
      <c r="DX1" s="60">
        <f t="shared" ca="1" si="3"/>
        <v>17679789.2106652</v>
      </c>
      <c r="DY1" s="60">
        <f t="shared" ca="1" si="3"/>
        <v>18823672.990665201</v>
      </c>
      <c r="DZ1" s="60">
        <f t="shared" ca="1" si="3"/>
        <v>20916545.050665196</v>
      </c>
      <c r="EA1" s="60">
        <f t="shared" ca="1" si="3"/>
        <v>17218981.520665199</v>
      </c>
      <c r="EB1" s="60">
        <f t="shared" ca="1" si="3"/>
        <v>15352948.980665198</v>
      </c>
      <c r="EC1" s="60">
        <f t="shared" ca="1" si="3"/>
        <v>11221647.3606652</v>
      </c>
      <c r="ED1" s="60">
        <f t="shared" ca="1" si="3"/>
        <v>7535161.9406652004</v>
      </c>
      <c r="EE1" s="60">
        <f t="shared" ca="1" si="3"/>
        <v>7535161.9406652004</v>
      </c>
      <c r="EF1" s="60">
        <f t="shared" ca="1" si="3"/>
        <v>7535161.9406652004</v>
      </c>
      <c r="EG1" s="60">
        <f t="shared" ca="1" si="3"/>
        <v>7535161.9406652004</v>
      </c>
      <c r="EH1" s="60">
        <f t="shared" ca="1" si="3"/>
        <v>7535161.9406652004</v>
      </c>
      <c r="EI1" s="60">
        <f t="shared" ca="1" si="3"/>
        <v>7535161.9406652004</v>
      </c>
      <c r="EN1" s="60">
        <f t="shared" ref="EN1:FM1" ca="1" si="4">SUBTOTAL(9,EN5:EN74)</f>
        <v>2927938.2137500001</v>
      </c>
      <c r="EO1" s="60">
        <f t="shared" ca="1" si="4"/>
        <v>2934694.2137500001</v>
      </c>
      <c r="EP1" s="60">
        <f t="shared" ca="1" si="4"/>
        <v>1980956.4004587249</v>
      </c>
      <c r="EQ1" s="60">
        <f t="shared" ca="1" si="4"/>
        <v>3593086.4315506001</v>
      </c>
      <c r="ER1" s="60">
        <f t="shared" ca="1" si="4"/>
        <v>4906868.5035681985</v>
      </c>
      <c r="ES1" s="60">
        <f t="shared" ca="1" si="4"/>
        <v>5200873.4082444003</v>
      </c>
      <c r="ET1" s="60">
        <f t="shared" ca="1" si="4"/>
        <v>3418745.785834</v>
      </c>
      <c r="EU1" s="60">
        <f t="shared" ca="1" si="4"/>
        <v>3583224.2450982002</v>
      </c>
      <c r="EV1" s="60">
        <f t="shared" ca="1" si="4"/>
        <v>3155210.5042966004</v>
      </c>
      <c r="EW1" s="60">
        <f t="shared" ca="1" si="4"/>
        <v>3384749.5154355997</v>
      </c>
      <c r="EX1" s="60">
        <f t="shared" ca="1" si="4"/>
        <v>3144122.8468296006</v>
      </c>
      <c r="EY1" s="60">
        <f t="shared" ca="1" si="4"/>
        <v>4087332.2979899999</v>
      </c>
      <c r="EZ1" s="60">
        <f t="shared" ca="1" si="4"/>
        <v>3438573.35</v>
      </c>
      <c r="FA1" s="60">
        <f t="shared" ca="1" si="4"/>
        <v>4057340.57</v>
      </c>
      <c r="FB1" s="60">
        <f t="shared" ca="1" si="4"/>
        <v>3483546.62</v>
      </c>
      <c r="FC1" s="60">
        <f t="shared" ca="1" si="4"/>
        <v>3520721.54</v>
      </c>
      <c r="FD1" s="60">
        <f t="shared" ca="1" si="4"/>
        <v>5584153.5299999993</v>
      </c>
      <c r="FE1" s="60">
        <f t="shared" ca="1" si="4"/>
        <v>2932032.54</v>
      </c>
      <c r="FF1" s="60">
        <f t="shared" ca="1" si="4"/>
        <v>4131301.62</v>
      </c>
      <c r="FG1" s="60">
        <f t="shared" ca="1" si="4"/>
        <v>3686485.42</v>
      </c>
      <c r="FH1" s="60">
        <f t="shared" ca="1" si="4"/>
        <v>0</v>
      </c>
      <c r="FI1" s="60">
        <f t="shared" ca="1" si="4"/>
        <v>0</v>
      </c>
      <c r="FJ1" s="60">
        <f t="shared" ca="1" si="4"/>
        <v>0</v>
      </c>
      <c r="FK1" s="60">
        <f t="shared" ca="1" si="4"/>
        <v>0</v>
      </c>
      <c r="FL1" s="60">
        <f t="shared" ca="1" si="4"/>
        <v>0</v>
      </c>
      <c r="FM1" s="60">
        <f t="shared" ca="1" si="4"/>
        <v>0</v>
      </c>
      <c r="FR1" s="61">
        <f t="shared" ref="FR1:GQ1" ca="1" si="5">DJ1/AVERAGE(EN1:EP1)*30</f>
        <v>38.949842655062703</v>
      </c>
      <c r="FS1" s="61">
        <f t="shared" ca="1" si="5"/>
        <v>31.154477153823432</v>
      </c>
      <c r="FT1" s="61">
        <f t="shared" ca="1" si="5"/>
        <v>21.434040343174157</v>
      </c>
      <c r="FU1" s="61">
        <f t="shared" ca="1" si="5"/>
        <v>21.400114712190256</v>
      </c>
      <c r="FV1" s="61">
        <f t="shared" ca="1" si="5"/>
        <v>28.457824810425297</v>
      </c>
      <c r="FW1" s="61">
        <f t="shared" ca="1" si="5"/>
        <v>26.281903836475056</v>
      </c>
      <c r="FX1" s="61">
        <f t="shared" ca="1" si="5"/>
        <v>36.458733958267509</v>
      </c>
      <c r="FY1" s="61">
        <f t="shared" ca="1" si="5"/>
        <v>75.121058266416995</v>
      </c>
      <c r="FZ1" s="61">
        <f t="shared" ca="1" si="5"/>
        <v>90.87637923717989</v>
      </c>
      <c r="GA1" s="61">
        <f t="shared" ca="1" si="5"/>
        <v>94.455687109816026</v>
      </c>
      <c r="GB1" s="61">
        <f t="shared" ca="1" si="5"/>
        <v>135.27979831491879</v>
      </c>
      <c r="GC1" s="61">
        <f t="shared" ca="1" si="5"/>
        <v>135.4456696381279</v>
      </c>
      <c r="GD1" s="61">
        <f t="shared" ca="1" si="5"/>
        <v>141.97864713668963</v>
      </c>
      <c r="GE1" s="61">
        <f t="shared" ca="1" si="5"/>
        <v>146.80583429566559</v>
      </c>
      <c r="GF1" s="61">
        <f t="shared" ca="1" si="5"/>
        <v>126.40035964348664</v>
      </c>
      <c r="GG1" s="61">
        <f t="shared" ca="1" si="5"/>
        <v>140.74466831932992</v>
      </c>
      <c r="GH1" s="61">
        <f t="shared" ca="1" si="5"/>
        <v>148.84292443694542</v>
      </c>
      <c r="GI1" s="61">
        <f t="shared" ca="1" si="5"/>
        <v>144.16133455328819</v>
      </c>
      <c r="GJ1" s="61">
        <f ca="1">EB1/AVERAGE(FF1:FH1)*30</f>
        <v>176.74636072714867</v>
      </c>
      <c r="GK1" s="61">
        <f t="shared" ca="1" si="5"/>
        <v>273.95965191688401</v>
      </c>
      <c r="GL1" s="61" t="e">
        <f t="shared" ca="1" si="5"/>
        <v>#DIV/0!</v>
      </c>
      <c r="GM1" s="61" t="e">
        <f t="shared" ca="1" si="5"/>
        <v>#DIV/0!</v>
      </c>
      <c r="GN1" s="61" t="e">
        <f t="shared" ca="1" si="5"/>
        <v>#DIV/0!</v>
      </c>
      <c r="GO1" s="61" t="e">
        <f t="shared" ca="1" si="5"/>
        <v>#DIV/0!</v>
      </c>
      <c r="GP1" s="61" t="e">
        <f t="shared" ca="1" si="5"/>
        <v>#DIV/0!</v>
      </c>
      <c r="GQ1" s="61" t="e">
        <f t="shared" ca="1" si="5"/>
        <v>#DIV/0!</v>
      </c>
      <c r="GT1" s="62">
        <f t="shared" ref="GT1:HQ1" ca="1" si="6">SUBTOTAL(9,GT5:GT74)</f>
        <v>5260520.0193444118</v>
      </c>
      <c r="GU1" s="62">
        <f t="shared" ca="1" si="6"/>
        <v>9703430.2731999122</v>
      </c>
      <c r="GV1" s="62">
        <f t="shared" ca="1" si="6"/>
        <v>12984474.433943123</v>
      </c>
      <c r="GW1" s="62">
        <f t="shared" ca="1" si="6"/>
        <v>13085225.662496999</v>
      </c>
      <c r="GX1" s="62">
        <f t="shared" ca="1" si="6"/>
        <v>9431374.1303420141</v>
      </c>
      <c r="GY1" s="62">
        <f t="shared" ca="1" si="6"/>
        <v>9921654.8022933323</v>
      </c>
      <c r="GZ1" s="62">
        <f t="shared" ca="1" si="6"/>
        <v>8564861.8455887884</v>
      </c>
      <c r="HA1" s="62">
        <f t="shared" ca="1" si="6"/>
        <v>8921337.0076986756</v>
      </c>
      <c r="HB1" s="62">
        <f t="shared" ca="1" si="6"/>
        <v>8474766.8320751619</v>
      </c>
      <c r="HC1" s="62">
        <f t="shared" ca="1" si="6"/>
        <v>10227861.748050056</v>
      </c>
      <c r="HD1" s="62">
        <f t="shared" ca="1" si="6"/>
        <v>9414374.2914890796</v>
      </c>
      <c r="HE1" s="62">
        <f t="shared" ca="1" si="6"/>
        <v>10123160.537549993</v>
      </c>
      <c r="HF1" s="62">
        <f t="shared" ca="1" si="6"/>
        <v>9789986.1432546247</v>
      </c>
      <c r="HG1" s="62">
        <f t="shared" ca="1" si="6"/>
        <v>9799032.3530621044</v>
      </c>
      <c r="HH1" s="62">
        <f t="shared" ca="1" si="6"/>
        <v>13477978.710632527</v>
      </c>
      <c r="HI1" s="62">
        <f t="shared" ca="1" si="6"/>
        <v>7022575.3653431898</v>
      </c>
      <c r="HJ1" s="62">
        <f t="shared" ca="1" si="6"/>
        <v>9879482.9086585473</v>
      </c>
      <c r="HK1" s="62">
        <f t="shared" ca="1" si="6"/>
        <v>9304920.9063226581</v>
      </c>
      <c r="HL1" s="62">
        <f t="shared" ca="1" si="6"/>
        <v>0</v>
      </c>
      <c r="HM1" s="62">
        <f t="shared" ca="1" si="6"/>
        <v>0</v>
      </c>
      <c r="HN1" s="62">
        <f t="shared" ca="1" si="6"/>
        <v>0</v>
      </c>
      <c r="HO1" s="62">
        <f t="shared" ca="1" si="6"/>
        <v>0</v>
      </c>
      <c r="HP1" s="62">
        <f t="shared" ca="1" si="6"/>
        <v>0</v>
      </c>
      <c r="HQ1" s="62">
        <f t="shared" ca="1" si="6"/>
        <v>0</v>
      </c>
      <c r="HR1" s="63">
        <f ca="1">SUM(GT1:HE1)</f>
        <v>116113041.58407155</v>
      </c>
      <c r="HS1" s="62">
        <f ca="1">SUBTOTAL(9,HS5:HS74)</f>
        <v>7139627.484158393</v>
      </c>
    </row>
    <row r="2" spans="1:227" ht="21" customHeight="1" x14ac:dyDescent="0.25">
      <c r="B2" s="53"/>
      <c r="C2" s="53"/>
      <c r="D2" s="53"/>
      <c r="E2" s="53"/>
      <c r="F2" s="53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2" t="s">
        <v>134</v>
      </c>
      <c r="CG2" s="54">
        <v>2024</v>
      </c>
      <c r="CH2" s="54">
        <v>2024</v>
      </c>
      <c r="CI2" s="54">
        <v>2024</v>
      </c>
      <c r="CJ2" s="54">
        <f ca="1">CI2+1</f>
        <v>2025</v>
      </c>
      <c r="CK2" s="54">
        <f ca="1">CJ2</f>
        <v>2025</v>
      </c>
      <c r="CL2" s="54">
        <f t="shared" ref="CL2:CU2" ca="1" si="7">CK2</f>
        <v>2025</v>
      </c>
      <c r="CM2" s="54">
        <f t="shared" ca="1" si="7"/>
        <v>2025</v>
      </c>
      <c r="CN2" s="54">
        <f t="shared" ca="1" si="7"/>
        <v>2025</v>
      </c>
      <c r="CO2" s="54">
        <f t="shared" ca="1" si="7"/>
        <v>2025</v>
      </c>
      <c r="CP2" s="54">
        <f t="shared" ca="1" si="7"/>
        <v>2025</v>
      </c>
      <c r="CQ2" s="54">
        <f t="shared" ca="1" si="7"/>
        <v>2025</v>
      </c>
      <c r="CR2" s="54">
        <f t="shared" ca="1" si="7"/>
        <v>2025</v>
      </c>
      <c r="CS2" s="54">
        <f t="shared" ca="1" si="7"/>
        <v>2025</v>
      </c>
      <c r="CT2" s="54">
        <f t="shared" ca="1" si="7"/>
        <v>2025</v>
      </c>
      <c r="CU2" s="54">
        <f t="shared" ca="1" si="7"/>
        <v>2025</v>
      </c>
      <c r="CV2" s="54">
        <v>2026</v>
      </c>
      <c r="CW2" s="54">
        <v>2026</v>
      </c>
      <c r="CX2" s="54">
        <v>2026</v>
      </c>
      <c r="CY2" s="54">
        <v>2026</v>
      </c>
      <c r="CZ2" s="54">
        <v>2026</v>
      </c>
      <c r="DA2" s="54">
        <v>2026</v>
      </c>
      <c r="DB2" s="54">
        <v>2026</v>
      </c>
      <c r="DC2" s="54">
        <v>2026</v>
      </c>
      <c r="DD2" s="54">
        <v>2026</v>
      </c>
      <c r="DE2" s="54">
        <v>2026</v>
      </c>
      <c r="DF2" s="54">
        <v>2026</v>
      </c>
      <c r="DG2" s="54">
        <v>2026</v>
      </c>
    </row>
    <row r="3" spans="1:227" ht="16.5" customHeight="1" thickBot="1" x14ac:dyDescent="0.3">
      <c r="B3" s="53"/>
      <c r="C3" s="53"/>
      <c r="D3" s="53"/>
      <c r="E3" s="53"/>
      <c r="F3" s="53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2" t="s">
        <v>135</v>
      </c>
      <c r="CG3" s="54">
        <v>10</v>
      </c>
      <c r="CH3" s="54">
        <f ca="1">CG3+1</f>
        <v>11</v>
      </c>
      <c r="CI3" s="54">
        <f ca="1">CH3+1</f>
        <v>12</v>
      </c>
      <c r="CJ3" s="54">
        <v>1</v>
      </c>
      <c r="CK3" s="54">
        <f ca="1">CJ3+1</f>
        <v>2</v>
      </c>
      <c r="CL3" s="54">
        <f t="shared" ref="CL3:CU3" ca="1" si="8">CK3+1</f>
        <v>3</v>
      </c>
      <c r="CM3" s="54">
        <f t="shared" ca="1" si="8"/>
        <v>4</v>
      </c>
      <c r="CN3" s="54">
        <f t="shared" ca="1" si="8"/>
        <v>5</v>
      </c>
      <c r="CO3" s="54">
        <f t="shared" ca="1" si="8"/>
        <v>6</v>
      </c>
      <c r="CP3" s="54">
        <f t="shared" ca="1" si="8"/>
        <v>7</v>
      </c>
      <c r="CQ3" s="54">
        <f t="shared" ca="1" si="8"/>
        <v>8</v>
      </c>
      <c r="CR3" s="54">
        <f t="shared" ca="1" si="8"/>
        <v>9</v>
      </c>
      <c r="CS3" s="54">
        <f t="shared" ca="1" si="8"/>
        <v>10</v>
      </c>
      <c r="CT3" s="54">
        <f t="shared" ca="1" si="8"/>
        <v>11</v>
      </c>
      <c r="CU3" s="54">
        <f t="shared" ca="1" si="8"/>
        <v>12</v>
      </c>
      <c r="CV3" s="54">
        <v>1</v>
      </c>
      <c r="CW3" s="54">
        <v>2</v>
      </c>
      <c r="CX3" s="54">
        <v>3</v>
      </c>
      <c r="CY3" s="54">
        <v>4</v>
      </c>
      <c r="CZ3" s="54">
        <v>5</v>
      </c>
      <c r="DA3" s="54">
        <v>6</v>
      </c>
      <c r="DB3" s="54">
        <v>7</v>
      </c>
      <c r="DC3" s="54">
        <v>8</v>
      </c>
      <c r="DD3" s="54">
        <v>9</v>
      </c>
      <c r="DE3" s="54">
        <v>10</v>
      </c>
      <c r="DF3" s="54">
        <v>11</v>
      </c>
      <c r="DG3" s="54">
        <v>12</v>
      </c>
    </row>
    <row r="4" spans="1:227" ht="67.5" customHeight="1" thickBot="1" x14ac:dyDescent="0.3">
      <c r="A4" s="64" t="s">
        <v>136</v>
      </c>
      <c r="B4" s="64" t="s">
        <v>137</v>
      </c>
      <c r="C4" s="64" t="s">
        <v>138</v>
      </c>
      <c r="D4" s="64" t="s">
        <v>139</v>
      </c>
      <c r="E4" s="64" t="s">
        <v>140</v>
      </c>
      <c r="F4" s="64" t="s">
        <v>141</v>
      </c>
      <c r="G4" s="64" t="s">
        <v>142</v>
      </c>
      <c r="H4" s="64" t="s">
        <v>143</v>
      </c>
      <c r="I4" s="64" t="s">
        <v>144</v>
      </c>
      <c r="J4" s="64" t="s">
        <v>145</v>
      </c>
      <c r="K4" s="64" t="s">
        <v>146</v>
      </c>
      <c r="L4" s="64" t="s">
        <v>147</v>
      </c>
      <c r="M4" s="64" t="s">
        <v>148</v>
      </c>
      <c r="N4" s="64" t="s">
        <v>149</v>
      </c>
      <c r="O4" s="64" t="s">
        <v>150</v>
      </c>
      <c r="P4" s="64" t="s">
        <v>151</v>
      </c>
      <c r="Q4" s="64" t="s">
        <v>152</v>
      </c>
      <c r="R4" s="64" t="s">
        <v>153</v>
      </c>
      <c r="S4" s="65" t="s">
        <v>154</v>
      </c>
      <c r="T4" s="66" t="s">
        <v>155</v>
      </c>
      <c r="U4" s="67" t="s">
        <v>156</v>
      </c>
      <c r="V4" s="64" t="s">
        <v>157</v>
      </c>
      <c r="W4" s="64" t="s">
        <v>158</v>
      </c>
      <c r="X4" s="64" t="s">
        <v>159</v>
      </c>
      <c r="Y4" s="64" t="s">
        <v>160</v>
      </c>
      <c r="Z4" s="64" t="s">
        <v>161</v>
      </c>
      <c r="AA4" s="64" t="s">
        <v>162</v>
      </c>
      <c r="AB4" s="64" t="s">
        <v>163</v>
      </c>
      <c r="AC4" s="64" t="s">
        <v>164</v>
      </c>
      <c r="AD4" s="64" t="s">
        <v>165</v>
      </c>
      <c r="AE4" s="64" t="s">
        <v>166</v>
      </c>
      <c r="AF4" s="64" t="s">
        <v>167</v>
      </c>
      <c r="AG4" s="64" t="s">
        <v>168</v>
      </c>
      <c r="AH4" s="64" t="s">
        <v>169</v>
      </c>
      <c r="AI4" s="64" t="s">
        <v>170</v>
      </c>
      <c r="AJ4" s="64" t="s">
        <v>171</v>
      </c>
      <c r="AK4" s="64" t="s">
        <v>172</v>
      </c>
      <c r="AL4" s="64" t="s">
        <v>173</v>
      </c>
      <c r="AM4" s="64" t="s">
        <v>174</v>
      </c>
      <c r="AN4" s="64" t="s">
        <v>175</v>
      </c>
      <c r="AO4" s="64" t="s">
        <v>176</v>
      </c>
      <c r="AP4" s="64" t="s">
        <v>177</v>
      </c>
      <c r="AQ4" s="64" t="s">
        <v>178</v>
      </c>
      <c r="AR4" s="64" t="s">
        <v>179</v>
      </c>
      <c r="AS4" s="64" t="s">
        <v>180</v>
      </c>
      <c r="AT4" s="64" t="s">
        <v>181</v>
      </c>
      <c r="AU4" s="64" t="s">
        <v>182</v>
      </c>
      <c r="AV4" s="64" t="s">
        <v>183</v>
      </c>
      <c r="AW4" s="64" t="s">
        <v>184</v>
      </c>
      <c r="AX4" s="64" t="s">
        <v>185</v>
      </c>
      <c r="AY4" s="64" t="s">
        <v>186</v>
      </c>
      <c r="AZ4" s="64" t="s">
        <v>187</v>
      </c>
      <c r="BA4" s="64" t="s">
        <v>188</v>
      </c>
      <c r="BC4" s="64" t="s">
        <v>189</v>
      </c>
      <c r="BD4" s="64" t="s">
        <v>190</v>
      </c>
      <c r="BE4" s="64" t="s">
        <v>191</v>
      </c>
      <c r="BF4" s="64" t="s">
        <v>192</v>
      </c>
      <c r="BG4" s="64" t="s">
        <v>193</v>
      </c>
      <c r="BH4" s="64" t="s">
        <v>194</v>
      </c>
      <c r="BI4" s="64" t="s">
        <v>195</v>
      </c>
      <c r="BJ4" s="64" t="s">
        <v>196</v>
      </c>
      <c r="BK4" s="64" t="s">
        <v>197</v>
      </c>
      <c r="BL4" s="64" t="s">
        <v>198</v>
      </c>
      <c r="BM4" s="64" t="s">
        <v>199</v>
      </c>
      <c r="BN4" s="64" t="s">
        <v>200</v>
      </c>
      <c r="BO4" s="64" t="s">
        <v>201</v>
      </c>
      <c r="BP4" s="64" t="s">
        <v>202</v>
      </c>
      <c r="BQ4" s="64" t="s">
        <v>203</v>
      </c>
      <c r="BR4" s="64" t="s">
        <v>204</v>
      </c>
      <c r="BS4" s="64" t="s">
        <v>205</v>
      </c>
      <c r="BT4" s="64" t="s">
        <v>206</v>
      </c>
      <c r="BU4" s="64" t="s">
        <v>207</v>
      </c>
      <c r="BV4" s="64" t="s">
        <v>208</v>
      </c>
      <c r="BW4" s="64" t="s">
        <v>209</v>
      </c>
      <c r="BX4" s="64" t="s">
        <v>210</v>
      </c>
      <c r="BY4" s="64" t="s">
        <v>211</v>
      </c>
      <c r="BZ4" s="64" t="s">
        <v>212</v>
      </c>
      <c r="CA4" s="64" t="s">
        <v>213</v>
      </c>
      <c r="CB4" s="64" t="s">
        <v>214</v>
      </c>
      <c r="CC4" s="64" t="s">
        <v>215</v>
      </c>
      <c r="CD4" s="64" t="s">
        <v>216</v>
      </c>
      <c r="CE4" s="64" t="s">
        <v>217</v>
      </c>
      <c r="CG4" s="64" t="s">
        <v>218</v>
      </c>
      <c r="CH4" s="64" t="s">
        <v>219</v>
      </c>
      <c r="CI4" s="64" t="s">
        <v>220</v>
      </c>
      <c r="CJ4" s="64" t="s">
        <v>221</v>
      </c>
      <c r="CK4" s="64" t="s">
        <v>222</v>
      </c>
      <c r="CL4" s="64" t="s">
        <v>223</v>
      </c>
      <c r="CM4" s="64" t="s">
        <v>224</v>
      </c>
      <c r="CN4" s="64" t="s">
        <v>225</v>
      </c>
      <c r="CO4" s="64" t="s">
        <v>226</v>
      </c>
      <c r="CP4" s="64" t="s">
        <v>227</v>
      </c>
      <c r="CQ4" s="64" t="s">
        <v>228</v>
      </c>
      <c r="CR4" s="64" t="s">
        <v>229</v>
      </c>
      <c r="CS4" s="64" t="s">
        <v>230</v>
      </c>
      <c r="CT4" s="64" t="s">
        <v>231</v>
      </c>
      <c r="CU4" s="64" t="s">
        <v>232</v>
      </c>
      <c r="CV4" s="68" t="s">
        <v>233</v>
      </c>
      <c r="CW4" s="64" t="s">
        <v>234</v>
      </c>
      <c r="CX4" s="64" t="s">
        <v>235</v>
      </c>
      <c r="CY4" s="64" t="s">
        <v>236</v>
      </c>
      <c r="CZ4" s="64" t="s">
        <v>237</v>
      </c>
      <c r="DA4" s="64" t="s">
        <v>238</v>
      </c>
      <c r="DB4" s="64" t="s">
        <v>239</v>
      </c>
      <c r="DC4" s="64" t="s">
        <v>240</v>
      </c>
      <c r="DD4" s="64" t="s">
        <v>241</v>
      </c>
      <c r="DE4" s="64" t="s">
        <v>242</v>
      </c>
      <c r="DF4" s="64" t="s">
        <v>243</v>
      </c>
      <c r="DG4" s="64" t="s">
        <v>244</v>
      </c>
      <c r="DI4" s="69" t="s">
        <v>245</v>
      </c>
      <c r="DJ4" s="64" t="s">
        <v>246</v>
      </c>
      <c r="DK4" s="64" t="s">
        <v>247</v>
      </c>
      <c r="DL4" s="64" t="s">
        <v>248</v>
      </c>
      <c r="DM4" s="64" t="s">
        <v>249</v>
      </c>
      <c r="DN4" s="64" t="s">
        <v>250</v>
      </c>
      <c r="DO4" s="64" t="s">
        <v>251</v>
      </c>
      <c r="DP4" s="64" t="s">
        <v>252</v>
      </c>
      <c r="DQ4" s="64" t="s">
        <v>253</v>
      </c>
      <c r="DR4" s="64" t="s">
        <v>254</v>
      </c>
      <c r="DS4" s="64" t="s">
        <v>255</v>
      </c>
      <c r="DT4" s="64" t="s">
        <v>256</v>
      </c>
      <c r="DU4" s="64" t="s">
        <v>257</v>
      </c>
      <c r="DV4" s="64" t="s">
        <v>258</v>
      </c>
      <c r="DW4" s="64" t="s">
        <v>259</v>
      </c>
      <c r="DX4" s="64" t="s">
        <v>260</v>
      </c>
      <c r="DY4" s="64" t="s">
        <v>261</v>
      </c>
      <c r="DZ4" s="64" t="s">
        <v>262</v>
      </c>
      <c r="EA4" s="64" t="s">
        <v>263</v>
      </c>
      <c r="EB4" s="64" t="s">
        <v>264</v>
      </c>
      <c r="EC4" s="64" t="s">
        <v>265</v>
      </c>
      <c r="ED4" s="64" t="s">
        <v>266</v>
      </c>
      <c r="EE4" s="64" t="s">
        <v>267</v>
      </c>
      <c r="EF4" s="64" t="s">
        <v>268</v>
      </c>
      <c r="EG4" s="64" t="s">
        <v>269</v>
      </c>
      <c r="EH4" s="64" t="s">
        <v>270</v>
      </c>
      <c r="EI4" s="64" t="s">
        <v>271</v>
      </c>
      <c r="EL4" s="64" t="s">
        <v>272</v>
      </c>
      <c r="EM4" s="64" t="s">
        <v>273</v>
      </c>
      <c r="EN4" s="64" t="s">
        <v>274</v>
      </c>
      <c r="EO4" s="64" t="s">
        <v>275</v>
      </c>
      <c r="EP4" s="64" t="s">
        <v>276</v>
      </c>
      <c r="EQ4" s="64" t="s">
        <v>277</v>
      </c>
      <c r="ER4" s="64" t="s">
        <v>278</v>
      </c>
      <c r="ES4" s="64" t="s">
        <v>279</v>
      </c>
      <c r="ET4" s="64" t="s">
        <v>280</v>
      </c>
      <c r="EU4" s="64" t="s">
        <v>281</v>
      </c>
      <c r="EV4" s="64" t="s">
        <v>282</v>
      </c>
      <c r="EW4" s="64" t="s">
        <v>283</v>
      </c>
      <c r="EX4" s="64" t="s">
        <v>284</v>
      </c>
      <c r="EY4" s="64" t="s">
        <v>285</v>
      </c>
      <c r="EZ4" s="64" t="s">
        <v>286</v>
      </c>
      <c r="FA4" s="64" t="s">
        <v>287</v>
      </c>
      <c r="FB4" s="64" t="s">
        <v>288</v>
      </c>
      <c r="FC4" s="64" t="s">
        <v>289</v>
      </c>
      <c r="FD4" s="64" t="s">
        <v>290</v>
      </c>
      <c r="FE4" s="64" t="s">
        <v>291</v>
      </c>
      <c r="FF4" s="64" t="s">
        <v>292</v>
      </c>
      <c r="FG4" s="64" t="s">
        <v>293</v>
      </c>
      <c r="FH4" s="64" t="s">
        <v>294</v>
      </c>
      <c r="FI4" s="64" t="s">
        <v>295</v>
      </c>
      <c r="FJ4" s="64" t="s">
        <v>296</v>
      </c>
      <c r="FK4" s="64" t="s">
        <v>297</v>
      </c>
      <c r="FL4" s="64" t="s">
        <v>298</v>
      </c>
      <c r="FM4" s="64" t="s">
        <v>299</v>
      </c>
      <c r="FP4" s="70" t="s">
        <v>300</v>
      </c>
      <c r="FQ4" s="70" t="s">
        <v>301</v>
      </c>
      <c r="FR4" s="70" t="s">
        <v>302</v>
      </c>
      <c r="FS4" s="70" t="s">
        <v>303</v>
      </c>
      <c r="FT4" s="70" t="s">
        <v>304</v>
      </c>
      <c r="FU4" s="70" t="s">
        <v>305</v>
      </c>
      <c r="FV4" s="70" t="s">
        <v>306</v>
      </c>
      <c r="FW4" s="70" t="s">
        <v>307</v>
      </c>
      <c r="FX4" s="70" t="s">
        <v>308</v>
      </c>
      <c r="FY4" s="70" t="s">
        <v>309</v>
      </c>
      <c r="FZ4" s="70" t="s">
        <v>310</v>
      </c>
      <c r="GA4" s="70" t="s">
        <v>311</v>
      </c>
      <c r="GB4" s="70" t="s">
        <v>312</v>
      </c>
      <c r="GC4" s="70" t="s">
        <v>313</v>
      </c>
      <c r="GD4" s="70" t="s">
        <v>314</v>
      </c>
      <c r="GE4" s="70" t="s">
        <v>315</v>
      </c>
      <c r="GF4" s="70" t="s">
        <v>316</v>
      </c>
      <c r="GG4" s="70" t="s">
        <v>317</v>
      </c>
      <c r="GH4" s="70" t="s">
        <v>318</v>
      </c>
      <c r="GI4" s="70" t="s">
        <v>319</v>
      </c>
      <c r="GJ4" s="70" t="s">
        <v>320</v>
      </c>
      <c r="GK4" s="70" t="s">
        <v>321</v>
      </c>
      <c r="GL4" s="70" t="s">
        <v>322</v>
      </c>
      <c r="GM4" s="70" t="s">
        <v>323</v>
      </c>
      <c r="GN4" s="70" t="s">
        <v>324</v>
      </c>
      <c r="GO4" s="70" t="s">
        <v>325</v>
      </c>
      <c r="GP4" s="70" t="s">
        <v>326</v>
      </c>
      <c r="GQ4" s="70" t="s">
        <v>327</v>
      </c>
      <c r="GS4" s="71" t="s">
        <v>328</v>
      </c>
      <c r="GT4" s="72">
        <v>45658</v>
      </c>
      <c r="GU4" s="72">
        <v>45689</v>
      </c>
      <c r="GV4" s="72">
        <v>45717</v>
      </c>
      <c r="GW4" s="72">
        <v>45748</v>
      </c>
      <c r="GX4" s="72">
        <v>45778</v>
      </c>
      <c r="GY4" s="72">
        <v>45809</v>
      </c>
      <c r="GZ4" s="72">
        <v>45839</v>
      </c>
      <c r="HA4" s="72">
        <v>45870</v>
      </c>
      <c r="HB4" s="72">
        <v>45901</v>
      </c>
      <c r="HC4" s="72">
        <v>45931</v>
      </c>
      <c r="HD4" s="72">
        <v>45962</v>
      </c>
      <c r="HE4" s="72">
        <v>45992</v>
      </c>
      <c r="HF4" s="72">
        <v>46023</v>
      </c>
      <c r="HG4" s="72">
        <v>46054</v>
      </c>
      <c r="HH4" s="72">
        <v>46082</v>
      </c>
      <c r="HI4" s="72">
        <v>46113</v>
      </c>
      <c r="HJ4" s="72">
        <v>46143</v>
      </c>
      <c r="HK4" s="72">
        <v>46174</v>
      </c>
      <c r="HL4" s="72">
        <v>46204</v>
      </c>
      <c r="HM4" s="72">
        <v>46235</v>
      </c>
      <c r="HN4" s="72">
        <v>46266</v>
      </c>
      <c r="HO4" s="72">
        <v>46296</v>
      </c>
      <c r="HP4" s="72">
        <v>46327</v>
      </c>
      <c r="HQ4" s="72">
        <v>46357</v>
      </c>
    </row>
    <row r="5" spans="1:227" ht="19.5" customHeight="1" thickTop="1" thickBot="1" x14ac:dyDescent="0.3">
      <c r="A5" s="16" t="s">
        <v>29</v>
      </c>
      <c r="B5" s="73" t="s">
        <v>329</v>
      </c>
      <c r="C5" s="73" t="s">
        <v>329</v>
      </c>
      <c r="D5" s="74" t="s">
        <v>1</v>
      </c>
      <c r="E5" s="74" t="s">
        <v>330</v>
      </c>
      <c r="F5" s="73"/>
      <c r="G5" s="75">
        <v>87</v>
      </c>
      <c r="H5" s="75">
        <v>60</v>
      </c>
      <c r="I5" s="75">
        <f ca="1">G5+H5</f>
        <v>147</v>
      </c>
      <c r="J5" s="76">
        <f ca="1">[1]Parameters!$C$3+G5</f>
        <v>45918</v>
      </c>
      <c r="K5" s="77">
        <f ca="1">MONTH(J5)</f>
        <v>9</v>
      </c>
      <c r="L5" s="77">
        <f ca="1">YEAR(J5)</f>
        <v>2025</v>
      </c>
      <c r="M5" s="76">
        <f ca="1">[1]Parameters!$C$3+I5</f>
        <v>45978</v>
      </c>
      <c r="N5" s="77">
        <f ca="1">MONTH(M5)</f>
        <v>11</v>
      </c>
      <c r="O5" s="77">
        <f ca="1">YEAR(M5)</f>
        <v>2025</v>
      </c>
      <c r="P5" s="78">
        <v>0.95</v>
      </c>
      <c r="Q5" s="79" t="str">
        <f ca="1">VLOOKUP(A5,[1]ABC!N:T,7,0)</f>
        <v>B</v>
      </c>
      <c r="R5" s="80">
        <f t="shared" ref="R5:R51" ca="1" si="9">IFERROR($AA5*$S5/(SUM(EM5:EO5)/90),0)</f>
        <v>28.77662092804022</v>
      </c>
      <c r="S5" s="81">
        <v>6.9</v>
      </c>
      <c r="T5" s="82">
        <f t="shared" ref="T5:T68" ca="1" si="10">ROUND((FLOOR(NORMINV(P5,0,1)*SQRT(I5/30)*CE5,1))/100,0)*100</f>
        <v>3800</v>
      </c>
      <c r="U5" s="83">
        <f ca="1">IF((ROUND(AVERAGE(BL5:BX5)*2/100,0)*100)&lt;T5,T5,ROUND(AVERAGE(BL5:BX5)*2/100,0)*100)</f>
        <v>10400</v>
      </c>
      <c r="V5" s="80">
        <v>15000</v>
      </c>
      <c r="W5" s="80">
        <f ca="1">IF(U5&gt;=V5,(ROUND(U5/V5,0))*V5,V5)</f>
        <v>15000</v>
      </c>
      <c r="X5" s="80"/>
      <c r="Y5" s="84">
        <v>0.9</v>
      </c>
      <c r="Z5" s="85">
        <v>3588</v>
      </c>
      <c r="AA5" s="85">
        <v>3318</v>
      </c>
      <c r="AB5" s="85">
        <v>6180</v>
      </c>
      <c r="AC5" s="85">
        <v>1923</v>
      </c>
      <c r="AD5" s="85">
        <v>2885</v>
      </c>
      <c r="AE5" s="85">
        <v>1321</v>
      </c>
      <c r="AF5" s="85">
        <v>4821</v>
      </c>
      <c r="AG5" s="85">
        <v>4409</v>
      </c>
      <c r="AH5" s="85">
        <v>2437</v>
      </c>
      <c r="AI5" s="75">
        <v>12562</v>
      </c>
      <c r="AJ5" s="75">
        <f t="shared" ref="AJ5:AY20" ca="1" si="11">IF(AI5+CO5-BL5&lt;0,0,AI5+CO5-BL5)</f>
        <v>21794</v>
      </c>
      <c r="AK5" s="75">
        <f t="shared" ca="1" si="11"/>
        <v>46311</v>
      </c>
      <c r="AL5" s="75">
        <f t="shared" ca="1" si="11"/>
        <v>40183</v>
      </c>
      <c r="AM5" s="75">
        <f t="shared" ca="1" si="11"/>
        <v>44055</v>
      </c>
      <c r="AN5" s="75">
        <f t="shared" ca="1" si="11"/>
        <v>37820</v>
      </c>
      <c r="AO5" s="75">
        <f t="shared" ca="1" si="11"/>
        <v>31692</v>
      </c>
      <c r="AP5" s="75">
        <f t="shared" ca="1" si="11"/>
        <v>25552</v>
      </c>
      <c r="AQ5" s="75">
        <f t="shared" ca="1" si="11"/>
        <v>20714</v>
      </c>
      <c r="AR5" s="75">
        <f t="shared" ca="1" si="11"/>
        <v>17499</v>
      </c>
      <c r="AS5" s="75">
        <f t="shared" ca="1" si="11"/>
        <v>12231</v>
      </c>
      <c r="AT5" s="75">
        <f t="shared" ca="1" si="11"/>
        <v>9031</v>
      </c>
      <c r="AU5" s="75">
        <f t="shared" ca="1" si="11"/>
        <v>4131</v>
      </c>
      <c r="AV5" s="75">
        <f t="shared" ca="1" si="11"/>
        <v>0</v>
      </c>
      <c r="AW5" s="75">
        <f t="shared" ca="1" si="11"/>
        <v>0</v>
      </c>
      <c r="AX5" s="75">
        <f t="shared" ca="1" si="11"/>
        <v>0</v>
      </c>
      <c r="AY5" s="75">
        <f t="shared" ca="1" si="11"/>
        <v>0</v>
      </c>
      <c r="AZ5" s="75">
        <f t="shared" ref="AZ5:BA68" ca="1" si="12">IF(AY5+DE5-CB5&lt;0,0,AY5+DE5-CB5)</f>
        <v>0</v>
      </c>
      <c r="BA5" s="75">
        <f t="shared" ca="1" si="12"/>
        <v>0</v>
      </c>
      <c r="BB5" s="166"/>
      <c r="BC5" s="86">
        <v>3588</v>
      </c>
      <c r="BD5" s="86">
        <v>3165</v>
      </c>
      <c r="BE5" s="86">
        <v>3100</v>
      </c>
      <c r="BF5" s="86">
        <v>3500</v>
      </c>
      <c r="BG5" s="86">
        <v>1935</v>
      </c>
      <c r="BH5" s="86">
        <v>4515</v>
      </c>
      <c r="BI5" s="86">
        <v>4838</v>
      </c>
      <c r="BJ5" s="86">
        <v>4515</v>
      </c>
      <c r="BK5" s="86">
        <v>5268</v>
      </c>
      <c r="BL5" s="86">
        <v>5268</v>
      </c>
      <c r="BM5" s="86">
        <v>5483</v>
      </c>
      <c r="BN5" s="86">
        <v>6128</v>
      </c>
      <c r="BO5" s="86">
        <v>6128</v>
      </c>
      <c r="BP5" s="86">
        <v>6235</v>
      </c>
      <c r="BQ5" s="86">
        <v>6128</v>
      </c>
      <c r="BR5" s="86">
        <v>6140</v>
      </c>
      <c r="BS5" s="86">
        <v>4838</v>
      </c>
      <c r="BT5" s="86">
        <v>3215</v>
      </c>
      <c r="BU5" s="86">
        <v>5268</v>
      </c>
      <c r="BV5" s="86">
        <v>3200</v>
      </c>
      <c r="BW5" s="86">
        <v>4900</v>
      </c>
      <c r="BX5" s="86">
        <v>4500</v>
      </c>
      <c r="BY5" s="86">
        <v>0</v>
      </c>
      <c r="BZ5" s="86">
        <v>0</v>
      </c>
      <c r="CA5" s="86">
        <v>0</v>
      </c>
      <c r="CB5" s="86">
        <v>0</v>
      </c>
      <c r="CC5" s="86">
        <v>0</v>
      </c>
      <c r="CD5" s="86">
        <v>0</v>
      </c>
      <c r="CE5" s="86">
        <f ca="1">STDEV(BL5:BX5)</f>
        <v>1051.8549488086906</v>
      </c>
      <c r="CF5" s="87"/>
      <c r="CG5" s="86">
        <v>0</v>
      </c>
      <c r="CH5" s="86">
        <v>0</v>
      </c>
      <c r="CI5" s="86">
        <v>0</v>
      </c>
      <c r="CJ5" s="86">
        <v>0</v>
      </c>
      <c r="CK5" s="86">
        <v>0</v>
      </c>
      <c r="CL5" s="86">
        <v>0</v>
      </c>
      <c r="CM5" s="86">
        <v>0</v>
      </c>
      <c r="CN5" s="86">
        <v>0</v>
      </c>
      <c r="CO5" s="88">
        <v>14500</v>
      </c>
      <c r="CP5" s="88">
        <v>30000</v>
      </c>
      <c r="CQ5" s="86">
        <v>0</v>
      </c>
      <c r="CR5" s="86">
        <v>10000</v>
      </c>
      <c r="CS5" s="89">
        <v>0</v>
      </c>
      <c r="CT5" s="90">
        <v>0</v>
      </c>
      <c r="CU5" s="90">
        <v>0</v>
      </c>
      <c r="CV5" s="90">
        <v>0</v>
      </c>
      <c r="CW5" s="90">
        <v>0</v>
      </c>
      <c r="CX5" s="90">
        <v>0</v>
      </c>
      <c r="CY5" s="90">
        <v>0</v>
      </c>
      <c r="CZ5" s="90">
        <v>0</v>
      </c>
      <c r="DA5" s="90">
        <v>0</v>
      </c>
      <c r="DB5" s="90">
        <v>0</v>
      </c>
      <c r="DC5" s="90">
        <v>0</v>
      </c>
      <c r="DD5" s="90">
        <v>0</v>
      </c>
      <c r="DE5" s="90">
        <v>0</v>
      </c>
      <c r="DF5" s="90">
        <v>0</v>
      </c>
      <c r="DG5" s="86">
        <v>0</v>
      </c>
      <c r="DI5" s="91">
        <f ca="1">VLOOKUP(A5,'[2]2-Relatório'!$A:$J,9,0)</f>
        <v>7.54</v>
      </c>
      <c r="DJ5" s="92">
        <f ca="1">AB5*$DI5</f>
        <v>46597.2</v>
      </c>
      <c r="DK5" s="92">
        <f ca="1">AC5*$DI5</f>
        <v>14499.42</v>
      </c>
      <c r="DL5" s="92">
        <f ca="1">AD5*$DI5</f>
        <v>21752.9</v>
      </c>
      <c r="DM5" s="92">
        <f ca="1">AE5*$DI5</f>
        <v>9960.34</v>
      </c>
      <c r="DN5" s="92">
        <f ca="1">AF5*$DI5</f>
        <v>36350.340000000004</v>
      </c>
      <c r="DO5" s="92">
        <f t="shared" ref="DO5:EI17" ca="1" si="13">AG5*$DI5</f>
        <v>33243.86</v>
      </c>
      <c r="DP5" s="92">
        <f t="shared" ca="1" si="13"/>
        <v>18374.98</v>
      </c>
      <c r="DQ5" s="92">
        <f t="shared" ca="1" si="13"/>
        <v>94717.48</v>
      </c>
      <c r="DR5" s="92">
        <f t="shared" ca="1" si="13"/>
        <v>164326.76</v>
      </c>
      <c r="DS5" s="92">
        <f t="shared" ca="1" si="13"/>
        <v>349184.94</v>
      </c>
      <c r="DT5" s="92">
        <f t="shared" ca="1" si="13"/>
        <v>302979.82</v>
      </c>
      <c r="DU5" s="92">
        <f t="shared" ca="1" si="13"/>
        <v>332174.7</v>
      </c>
      <c r="DV5" s="92">
        <f t="shared" ca="1" si="13"/>
        <v>285162.8</v>
      </c>
      <c r="DW5" s="92">
        <f t="shared" ca="1" si="13"/>
        <v>238957.68</v>
      </c>
      <c r="DX5" s="92">
        <f t="shared" ca="1" si="13"/>
        <v>192662.08</v>
      </c>
      <c r="DY5" s="92">
        <f t="shared" ca="1" si="13"/>
        <v>156183.56</v>
      </c>
      <c r="DZ5" s="92">
        <f t="shared" ca="1" si="13"/>
        <v>131942.46</v>
      </c>
      <c r="EA5" s="92">
        <f t="shared" ca="1" si="13"/>
        <v>92221.74</v>
      </c>
      <c r="EB5" s="92">
        <f t="shared" ca="1" si="13"/>
        <v>68093.740000000005</v>
      </c>
      <c r="EC5" s="92">
        <f t="shared" ca="1" si="13"/>
        <v>31147.74</v>
      </c>
      <c r="ED5" s="92">
        <f t="shared" ca="1" si="13"/>
        <v>0</v>
      </c>
      <c r="EE5" s="92">
        <f t="shared" ca="1" si="13"/>
        <v>0</v>
      </c>
      <c r="EF5" s="92">
        <f t="shared" ca="1" si="13"/>
        <v>0</v>
      </c>
      <c r="EG5" s="92">
        <f t="shared" ca="1" si="13"/>
        <v>0</v>
      </c>
      <c r="EH5" s="92">
        <f t="shared" ca="1" si="13"/>
        <v>0</v>
      </c>
      <c r="EI5" s="92">
        <f t="shared" ca="1" si="13"/>
        <v>0</v>
      </c>
      <c r="EL5" s="93">
        <f t="shared" ref="EL5:EM20" ca="1" si="14">$S5*BC5</f>
        <v>24757.200000000001</v>
      </c>
      <c r="EM5" s="93">
        <f t="shared" ca="1" si="14"/>
        <v>21838.5</v>
      </c>
      <c r="EN5" s="92">
        <f ca="1">$DI5*BE5</f>
        <v>23374</v>
      </c>
      <c r="EO5" s="92">
        <f ca="1">$DI5*BF5</f>
        <v>26390</v>
      </c>
      <c r="EP5" s="92">
        <f ca="1">$DI5*BG5</f>
        <v>14589.9</v>
      </c>
      <c r="EQ5" s="92">
        <f ca="1">$DI5*BH5</f>
        <v>34043.1</v>
      </c>
      <c r="ER5" s="92">
        <f ca="1">$DI5*BI5</f>
        <v>36478.519999999997</v>
      </c>
      <c r="ES5" s="92">
        <f t="shared" ref="ES5:FH20" ca="1" si="15">$DI5*BJ5</f>
        <v>34043.1</v>
      </c>
      <c r="ET5" s="92">
        <f t="shared" ca="1" si="15"/>
        <v>39720.720000000001</v>
      </c>
      <c r="EU5" s="92">
        <f t="shared" ca="1" si="15"/>
        <v>39720.720000000001</v>
      </c>
      <c r="EV5" s="92">
        <f t="shared" ca="1" si="15"/>
        <v>41341.82</v>
      </c>
      <c r="EW5" s="92">
        <f t="shared" ca="1" si="15"/>
        <v>46205.120000000003</v>
      </c>
      <c r="EX5" s="92">
        <f t="shared" ca="1" si="15"/>
        <v>46205.120000000003</v>
      </c>
      <c r="EY5" s="92">
        <f t="shared" ca="1" si="15"/>
        <v>47011.9</v>
      </c>
      <c r="EZ5" s="92">
        <f t="shared" ca="1" si="15"/>
        <v>46205.120000000003</v>
      </c>
      <c r="FA5" s="92">
        <f t="shared" ca="1" si="15"/>
        <v>46295.6</v>
      </c>
      <c r="FB5" s="92">
        <f t="shared" ca="1" si="15"/>
        <v>36478.519999999997</v>
      </c>
      <c r="FC5" s="92">
        <f t="shared" ca="1" si="15"/>
        <v>24241.1</v>
      </c>
      <c r="FD5" s="92">
        <f t="shared" ca="1" si="15"/>
        <v>39720.720000000001</v>
      </c>
      <c r="FE5" s="92">
        <f t="shared" ca="1" si="15"/>
        <v>24128</v>
      </c>
      <c r="FF5" s="92">
        <f t="shared" ca="1" si="15"/>
        <v>36946</v>
      </c>
      <c r="FG5" s="92">
        <f t="shared" ca="1" si="15"/>
        <v>33930</v>
      </c>
      <c r="FH5" s="92">
        <f t="shared" ca="1" si="15"/>
        <v>0</v>
      </c>
      <c r="FI5" s="92">
        <f t="shared" ref="FI5:FM20" ca="1" si="16">$DI5*BZ5</f>
        <v>0</v>
      </c>
      <c r="FJ5" s="92">
        <f t="shared" ca="1" si="16"/>
        <v>0</v>
      </c>
      <c r="FK5" s="92">
        <f t="shared" ca="1" si="16"/>
        <v>0</v>
      </c>
      <c r="FL5" s="92">
        <f t="shared" ca="1" si="16"/>
        <v>0</v>
      </c>
      <c r="FM5" s="92">
        <f t="shared" ca="1" si="16"/>
        <v>0</v>
      </c>
      <c r="FN5" s="94">
        <f ca="1">SUM(CN5:CT5)</f>
        <v>54500</v>
      </c>
      <c r="FO5" s="94">
        <f ca="1">SUM(CU5:DA5)</f>
        <v>0</v>
      </c>
      <c r="FP5" s="95">
        <f t="shared" ref="FP5:FQ20" ca="1" si="17">IFERROR(Z5/BC5*30,0)</f>
        <v>30</v>
      </c>
      <c r="FQ5" s="95">
        <f t="shared" ca="1" si="17"/>
        <v>31.450236966824644</v>
      </c>
      <c r="FR5" s="95">
        <f t="shared" ref="FR5:GQ14" ca="1" si="18">IFERROR((DJ5/EN5)*30,0)</f>
        <v>59.806451612903224</v>
      </c>
      <c r="FS5" s="95">
        <f t="shared" ca="1" si="18"/>
        <v>16.482857142857142</v>
      </c>
      <c r="FT5" s="95">
        <f t="shared" ca="1" si="18"/>
        <v>44.728682170542641</v>
      </c>
      <c r="FU5" s="95">
        <f t="shared" ca="1" si="18"/>
        <v>8.777408637873755</v>
      </c>
      <c r="FV5" s="95">
        <f t="shared" ca="1" si="18"/>
        <v>29.894584539065736</v>
      </c>
      <c r="FW5" s="95">
        <f t="shared" ca="1" si="18"/>
        <v>29.295681063122927</v>
      </c>
      <c r="FX5" s="95">
        <f t="shared" ca="1" si="18"/>
        <v>13.878132118451024</v>
      </c>
      <c r="FY5" s="95">
        <f t="shared" ca="1" si="18"/>
        <v>71.537585421412302</v>
      </c>
      <c r="FZ5" s="95">
        <f t="shared" ca="1" si="18"/>
        <v>119.24493890206092</v>
      </c>
      <c r="GA5" s="95">
        <f t="shared" ca="1" si="18"/>
        <v>226.71834203655351</v>
      </c>
      <c r="GB5" s="95">
        <f t="shared" ca="1" si="18"/>
        <v>196.71834203655351</v>
      </c>
      <c r="GC5" s="95">
        <f t="shared" ca="1" si="18"/>
        <v>211.97273456295108</v>
      </c>
      <c r="GD5" s="95">
        <f t="shared" ca="1" si="18"/>
        <v>185.15013054830285</v>
      </c>
      <c r="GE5" s="95">
        <f t="shared" ca="1" si="18"/>
        <v>154.84690553745929</v>
      </c>
      <c r="GF5" s="95">
        <f t="shared" ca="1" si="18"/>
        <v>158.44563869367508</v>
      </c>
      <c r="GG5" s="95">
        <f t="shared" ca="1" si="18"/>
        <v>193.2877138413686</v>
      </c>
      <c r="GH5" s="95">
        <f t="shared" ca="1" si="18"/>
        <v>99.652619589977206</v>
      </c>
      <c r="GI5" s="95">
        <f t="shared" ca="1" si="18"/>
        <v>114.66562500000001</v>
      </c>
      <c r="GJ5" s="95">
        <f t="shared" ca="1" si="18"/>
        <v>55.291836734693888</v>
      </c>
      <c r="GK5" s="95">
        <f t="shared" ca="1" si="18"/>
        <v>27.540000000000003</v>
      </c>
      <c r="GL5" s="95">
        <f t="shared" ca="1" si="18"/>
        <v>0</v>
      </c>
      <c r="GM5" s="95">
        <f t="shared" ca="1" si="18"/>
        <v>0</v>
      </c>
      <c r="GN5" s="95">
        <f t="shared" ca="1" si="18"/>
        <v>0</v>
      </c>
      <c r="GO5" s="95">
        <f t="shared" ca="1" si="18"/>
        <v>0</v>
      </c>
      <c r="GP5" s="95">
        <f t="shared" ca="1" si="18"/>
        <v>0</v>
      </c>
      <c r="GQ5" s="95">
        <f t="shared" ca="1" si="18"/>
        <v>0</v>
      </c>
      <c r="GS5" s="7">
        <v>51.241608010000014</v>
      </c>
      <c r="GT5" s="96">
        <f t="shared" ref="GT5:HI9" ca="1" si="19">($GS5*BG5)-(($GS5*BG5)*7%)</f>
        <v>92211.83569439553</v>
      </c>
      <c r="GU5" s="96">
        <f t="shared" ca="1" si="19"/>
        <v>215160.94995358956</v>
      </c>
      <c r="GV5" s="96">
        <f t="shared" ca="1" si="19"/>
        <v>230553.41658371346</v>
      </c>
      <c r="GW5" s="96">
        <f t="shared" ca="1" si="19"/>
        <v>215160.94995358956</v>
      </c>
      <c r="GX5" s="96">
        <f t="shared" ca="1" si="19"/>
        <v>251044.93562691248</v>
      </c>
      <c r="GY5" s="96">
        <f t="shared" ca="1" si="19"/>
        <v>251044.93562691248</v>
      </c>
      <c r="GZ5" s="96">
        <f t="shared" ca="1" si="19"/>
        <v>261290.69514851196</v>
      </c>
      <c r="HA5" s="96">
        <f t="shared" ca="1" si="19"/>
        <v>292027.97371331049</v>
      </c>
      <c r="HB5" s="96">
        <f t="shared" ca="1" si="19"/>
        <v>292027.97371331049</v>
      </c>
      <c r="HC5" s="96">
        <f t="shared" ca="1" si="19"/>
        <v>297127.02612638555</v>
      </c>
      <c r="HD5" s="96">
        <f t="shared" ca="1" si="19"/>
        <v>292027.97371331049</v>
      </c>
      <c r="HE5" s="96">
        <f t="shared" ca="1" si="19"/>
        <v>292599.83005870209</v>
      </c>
      <c r="HF5" s="96">
        <f t="shared" ca="1" si="19"/>
        <v>230553.41658371346</v>
      </c>
      <c r="HG5" s="96">
        <f t="shared" ca="1" si="19"/>
        <v>153209.84586949955</v>
      </c>
      <c r="HH5" s="96">
        <f t="shared" ca="1" si="19"/>
        <v>251044.93562691248</v>
      </c>
      <c r="HI5" s="96">
        <f t="shared" ca="1" si="19"/>
        <v>152495.02543776005</v>
      </c>
      <c r="HJ5" s="96">
        <f t="shared" ref="HD5:HQ9" ca="1" si="20">($GS5*BW5)-(($GS5*BW5)*7%)</f>
        <v>233508.00770157008</v>
      </c>
      <c r="HK5" s="96">
        <f t="shared" ca="1" si="20"/>
        <v>214446.12952185006</v>
      </c>
      <c r="HL5" s="96">
        <f t="shared" ca="1" si="20"/>
        <v>0</v>
      </c>
      <c r="HM5" s="96">
        <f t="shared" ca="1" si="20"/>
        <v>0</v>
      </c>
      <c r="HN5" s="96">
        <f t="shared" ca="1" si="20"/>
        <v>0</v>
      </c>
      <c r="HO5" s="96">
        <f t="shared" ca="1" si="20"/>
        <v>0</v>
      </c>
      <c r="HP5" s="96">
        <f t="shared" ca="1" si="20"/>
        <v>0</v>
      </c>
      <c r="HQ5" s="96">
        <f t="shared" ca="1" si="20"/>
        <v>0</v>
      </c>
      <c r="HS5" s="97">
        <f t="shared" ref="HS5:HS68" ca="1" si="21">$GS5*AD5</f>
        <v>147832.03910885003</v>
      </c>
    </row>
    <row r="6" spans="1:227" ht="17.25" thickTop="1" thickBot="1" x14ac:dyDescent="0.3">
      <c r="A6" s="16" t="s">
        <v>57</v>
      </c>
      <c r="B6" s="73" t="s">
        <v>331</v>
      </c>
      <c r="C6" s="73" t="s">
        <v>331</v>
      </c>
      <c r="D6" s="74" t="s">
        <v>1</v>
      </c>
      <c r="E6" s="74" t="s">
        <v>330</v>
      </c>
      <c r="F6" s="73"/>
      <c r="G6" s="75">
        <v>87</v>
      </c>
      <c r="H6" s="75">
        <v>60</v>
      </c>
      <c r="I6" s="75">
        <f t="shared" ref="I6:I12" ca="1" si="22">G6+H6</f>
        <v>147</v>
      </c>
      <c r="J6" s="76">
        <f ca="1">[1]Parameters!$C$3+G6</f>
        <v>45918</v>
      </c>
      <c r="K6" s="77">
        <f t="shared" ref="K6:K52" ca="1" si="23">MONTH(J6)</f>
        <v>9</v>
      </c>
      <c r="L6" s="77">
        <f t="shared" ref="L6:L52" ca="1" si="24">YEAR(J6)</f>
        <v>2025</v>
      </c>
      <c r="M6" s="76">
        <f ca="1">[1]Parameters!$C$3+I6</f>
        <v>45978</v>
      </c>
      <c r="N6" s="77">
        <f t="shared" ref="N6:N69" ca="1" si="25">MONTH(M6)</f>
        <v>11</v>
      </c>
      <c r="O6" s="77">
        <f t="shared" ref="O6:O69" ca="1" si="26">YEAR(M6)</f>
        <v>2025</v>
      </c>
      <c r="P6" s="78">
        <v>0.9</v>
      </c>
      <c r="Q6" s="79" t="str">
        <f ca="1">VLOOKUP(A6,[1]ABC!N:T,7,0)</f>
        <v>C</v>
      </c>
      <c r="R6" s="80">
        <f t="shared" ca="1" si="9"/>
        <v>40.918319390920203</v>
      </c>
      <c r="S6" s="81">
        <v>6.91</v>
      </c>
      <c r="T6" s="82">
        <f t="shared" ca="1" si="10"/>
        <v>300</v>
      </c>
      <c r="U6" s="83">
        <f ca="1">IF((ROUND(AVERAGE(BI6:BR6)/10,0)*10)&lt;T6,T6,ROUND(AVERAGE(BI6:BR6)/10,0)*10)</f>
        <v>350</v>
      </c>
      <c r="V6" s="80">
        <v>10000</v>
      </c>
      <c r="W6" s="80">
        <f t="shared" ref="W6:W69" ca="1" si="27">IF(U6&gt;=V6,(ROUND(U6/V6,0))*V6,V6)</f>
        <v>10000</v>
      </c>
      <c r="X6" s="80"/>
      <c r="Y6" s="84">
        <v>0.9</v>
      </c>
      <c r="Z6" s="85">
        <v>0</v>
      </c>
      <c r="AA6" s="85">
        <v>455</v>
      </c>
      <c r="AB6" s="85">
        <v>614</v>
      </c>
      <c r="AC6" s="85">
        <v>120</v>
      </c>
      <c r="AD6" s="85">
        <v>256</v>
      </c>
      <c r="AE6" s="85">
        <v>260</v>
      </c>
      <c r="AF6" s="85">
        <v>240</v>
      </c>
      <c r="AG6" s="85">
        <v>222</v>
      </c>
      <c r="AH6" s="85">
        <v>116</v>
      </c>
      <c r="AI6" s="75">
        <v>7735</v>
      </c>
      <c r="AJ6" s="75">
        <f t="shared" ca="1" si="11"/>
        <v>7197</v>
      </c>
      <c r="AK6" s="75">
        <f t="shared" ca="1" si="11"/>
        <v>6724</v>
      </c>
      <c r="AL6" s="75">
        <f t="shared" ca="1" si="11"/>
        <v>6455</v>
      </c>
      <c r="AM6" s="75">
        <f t="shared" ca="1" si="11"/>
        <v>6132</v>
      </c>
      <c r="AN6" s="75">
        <f t="shared" ca="1" si="11"/>
        <v>5809</v>
      </c>
      <c r="AO6" s="75">
        <f t="shared" ca="1" si="11"/>
        <v>5486</v>
      </c>
      <c r="AP6" s="75">
        <f t="shared" ca="1" si="11"/>
        <v>5163</v>
      </c>
      <c r="AQ6" s="75">
        <f t="shared" ca="1" si="11"/>
        <v>4787</v>
      </c>
      <c r="AR6" s="75">
        <f t="shared" ca="1" si="11"/>
        <v>4572</v>
      </c>
      <c r="AS6" s="75">
        <f t="shared" ca="1" si="11"/>
        <v>4196</v>
      </c>
      <c r="AT6" s="75">
        <f t="shared" ca="1" si="11"/>
        <v>4006</v>
      </c>
      <c r="AU6" s="75">
        <f t="shared" ca="1" si="11"/>
        <v>3626</v>
      </c>
      <c r="AV6" s="75">
        <f t="shared" ca="1" si="11"/>
        <v>3326</v>
      </c>
      <c r="AW6" s="75">
        <f t="shared" ca="1" si="11"/>
        <v>3326</v>
      </c>
      <c r="AX6" s="75">
        <f t="shared" ca="1" si="11"/>
        <v>3326</v>
      </c>
      <c r="AY6" s="75">
        <f t="shared" ca="1" si="11"/>
        <v>3326</v>
      </c>
      <c r="AZ6" s="75">
        <f t="shared" ca="1" si="12"/>
        <v>3326</v>
      </c>
      <c r="BA6" s="75">
        <f t="shared" ca="1" si="12"/>
        <v>3326</v>
      </c>
      <c r="BB6" s="166"/>
      <c r="BC6" s="86">
        <v>0</v>
      </c>
      <c r="BD6" s="86">
        <v>485</v>
      </c>
      <c r="BE6" s="86">
        <v>200</v>
      </c>
      <c r="BF6" s="86">
        <v>250</v>
      </c>
      <c r="BG6" s="86">
        <v>323</v>
      </c>
      <c r="BH6" s="86">
        <v>215</v>
      </c>
      <c r="BI6" s="86">
        <v>376</v>
      </c>
      <c r="BJ6" s="86">
        <v>215</v>
      </c>
      <c r="BK6" s="86">
        <v>376</v>
      </c>
      <c r="BL6" s="86">
        <v>538</v>
      </c>
      <c r="BM6" s="86">
        <v>473</v>
      </c>
      <c r="BN6" s="86">
        <v>269</v>
      </c>
      <c r="BO6" s="86">
        <v>323</v>
      </c>
      <c r="BP6" s="86">
        <v>323</v>
      </c>
      <c r="BQ6" s="86">
        <v>323</v>
      </c>
      <c r="BR6" s="86">
        <v>323</v>
      </c>
      <c r="BS6" s="86">
        <v>376</v>
      </c>
      <c r="BT6" s="86">
        <v>215</v>
      </c>
      <c r="BU6" s="86">
        <v>376</v>
      </c>
      <c r="BV6" s="86">
        <v>190</v>
      </c>
      <c r="BW6" s="86">
        <v>380</v>
      </c>
      <c r="BX6" s="86">
        <v>300</v>
      </c>
      <c r="BY6" s="86">
        <v>0</v>
      </c>
      <c r="BZ6" s="86">
        <v>0</v>
      </c>
      <c r="CA6" s="86">
        <v>0</v>
      </c>
      <c r="CB6" s="86">
        <v>0</v>
      </c>
      <c r="CC6" s="86">
        <v>0</v>
      </c>
      <c r="CD6" s="86">
        <v>0</v>
      </c>
      <c r="CE6" s="86">
        <f t="shared" ref="CE6:CE69" ca="1" si="28">STDEV(BL6:BX6)</f>
        <v>94.427084880209847</v>
      </c>
      <c r="CF6" s="87"/>
      <c r="CG6" s="86">
        <v>0</v>
      </c>
      <c r="CH6" s="86">
        <v>0</v>
      </c>
      <c r="CI6" s="86">
        <v>0</v>
      </c>
      <c r="CJ6" s="86">
        <v>0</v>
      </c>
      <c r="CK6" s="86">
        <v>0</v>
      </c>
      <c r="CL6" s="86">
        <v>0</v>
      </c>
      <c r="CM6" s="86">
        <v>0</v>
      </c>
      <c r="CN6" s="86">
        <v>0</v>
      </c>
      <c r="CO6" s="86">
        <v>0</v>
      </c>
      <c r="CP6" s="86">
        <v>0</v>
      </c>
      <c r="CQ6" s="86">
        <v>0</v>
      </c>
      <c r="CR6" s="86"/>
      <c r="CS6" s="89">
        <v>0</v>
      </c>
      <c r="CT6" s="86">
        <v>0</v>
      </c>
      <c r="CU6" s="90">
        <v>0</v>
      </c>
      <c r="CV6" s="90">
        <v>0</v>
      </c>
      <c r="CW6" s="90">
        <v>0</v>
      </c>
      <c r="CX6" s="90">
        <v>0</v>
      </c>
      <c r="CY6" s="90">
        <v>0</v>
      </c>
      <c r="CZ6" s="90">
        <v>0</v>
      </c>
      <c r="DA6" s="90">
        <v>0</v>
      </c>
      <c r="DB6" s="90">
        <v>0</v>
      </c>
      <c r="DC6" s="90">
        <v>0</v>
      </c>
      <c r="DD6" s="90">
        <v>0</v>
      </c>
      <c r="DE6" s="90">
        <v>0</v>
      </c>
      <c r="DF6" s="90">
        <v>0</v>
      </c>
      <c r="DG6" s="86">
        <v>0</v>
      </c>
      <c r="DI6" s="91">
        <f ca="1">VLOOKUP(A6,'[2]2-Relatório'!$A:$J,9,0)</f>
        <v>7.92</v>
      </c>
      <c r="DJ6" s="92">
        <f t="shared" ref="DJ6:DQ21" ca="1" si="29">AB6*$DI6</f>
        <v>4862.88</v>
      </c>
      <c r="DK6" s="92">
        <f t="shared" ca="1" si="29"/>
        <v>950.4</v>
      </c>
      <c r="DL6" s="92">
        <f t="shared" ca="1" si="29"/>
        <v>2027.52</v>
      </c>
      <c r="DM6" s="92">
        <f t="shared" ca="1" si="29"/>
        <v>2059.1999999999998</v>
      </c>
      <c r="DN6" s="92">
        <f t="shared" ca="1" si="29"/>
        <v>1900.8</v>
      </c>
      <c r="DO6" s="92">
        <f t="shared" ca="1" si="13"/>
        <v>1758.24</v>
      </c>
      <c r="DP6" s="92">
        <f t="shared" ca="1" si="13"/>
        <v>918.72</v>
      </c>
      <c r="DQ6" s="92">
        <f t="shared" ca="1" si="13"/>
        <v>61261.2</v>
      </c>
      <c r="DR6" s="92">
        <f t="shared" ca="1" si="13"/>
        <v>57000.24</v>
      </c>
      <c r="DS6" s="92">
        <f t="shared" ca="1" si="13"/>
        <v>53254.080000000002</v>
      </c>
      <c r="DT6" s="92">
        <f t="shared" ca="1" si="13"/>
        <v>51123.6</v>
      </c>
      <c r="DU6" s="92">
        <f t="shared" ca="1" si="13"/>
        <v>48565.440000000002</v>
      </c>
      <c r="DV6" s="92">
        <f t="shared" ca="1" si="13"/>
        <v>46007.28</v>
      </c>
      <c r="DW6" s="92">
        <f t="shared" ca="1" si="13"/>
        <v>43449.120000000003</v>
      </c>
      <c r="DX6" s="92">
        <f t="shared" ca="1" si="13"/>
        <v>40890.959999999999</v>
      </c>
      <c r="DY6" s="92">
        <f t="shared" ca="1" si="13"/>
        <v>37913.040000000001</v>
      </c>
      <c r="DZ6" s="92">
        <f t="shared" ca="1" si="13"/>
        <v>36210.239999999998</v>
      </c>
      <c r="EA6" s="92">
        <f t="shared" ca="1" si="13"/>
        <v>33232.32</v>
      </c>
      <c r="EB6" s="92">
        <f t="shared" ca="1" si="13"/>
        <v>31727.52</v>
      </c>
      <c r="EC6" s="92">
        <f t="shared" ca="1" si="13"/>
        <v>28717.919999999998</v>
      </c>
      <c r="ED6" s="92">
        <f t="shared" ca="1" si="13"/>
        <v>26341.919999999998</v>
      </c>
      <c r="EE6" s="92">
        <f t="shared" ca="1" si="13"/>
        <v>26341.919999999998</v>
      </c>
      <c r="EF6" s="92">
        <f t="shared" ca="1" si="13"/>
        <v>26341.919999999998</v>
      </c>
      <c r="EG6" s="92">
        <f t="shared" ca="1" si="13"/>
        <v>26341.919999999998</v>
      </c>
      <c r="EH6" s="92">
        <f t="shared" ca="1" si="13"/>
        <v>26341.919999999998</v>
      </c>
      <c r="EI6" s="92">
        <f t="shared" ca="1" si="13"/>
        <v>26341.919999999998</v>
      </c>
      <c r="EL6" s="93">
        <f t="shared" ca="1" si="14"/>
        <v>0</v>
      </c>
      <c r="EM6" s="93">
        <f t="shared" ca="1" si="14"/>
        <v>3351.35</v>
      </c>
      <c r="EN6" s="92">
        <f t="shared" ref="EN6:FC21" ca="1" si="30">$DI6*BE6</f>
        <v>1584</v>
      </c>
      <c r="EO6" s="92">
        <f t="shared" ca="1" si="30"/>
        <v>1980</v>
      </c>
      <c r="EP6" s="92">
        <f t="shared" ca="1" si="30"/>
        <v>2558.16</v>
      </c>
      <c r="EQ6" s="92">
        <f t="shared" ca="1" si="30"/>
        <v>1702.8</v>
      </c>
      <c r="ER6" s="92">
        <f t="shared" ca="1" si="30"/>
        <v>2977.92</v>
      </c>
      <c r="ES6" s="92">
        <f t="shared" ca="1" si="15"/>
        <v>1702.8</v>
      </c>
      <c r="ET6" s="92">
        <f t="shared" ca="1" si="15"/>
        <v>2977.92</v>
      </c>
      <c r="EU6" s="92">
        <f t="shared" ca="1" si="15"/>
        <v>4260.96</v>
      </c>
      <c r="EV6" s="92">
        <f t="shared" ca="1" si="15"/>
        <v>3746.16</v>
      </c>
      <c r="EW6" s="92">
        <f t="shared" ca="1" si="15"/>
        <v>2130.48</v>
      </c>
      <c r="EX6" s="92">
        <f t="shared" ca="1" si="15"/>
        <v>2558.16</v>
      </c>
      <c r="EY6" s="92">
        <f t="shared" ca="1" si="15"/>
        <v>2558.16</v>
      </c>
      <c r="EZ6" s="92">
        <f t="shared" ca="1" si="15"/>
        <v>2558.16</v>
      </c>
      <c r="FA6" s="92">
        <f t="shared" ca="1" si="15"/>
        <v>2558.16</v>
      </c>
      <c r="FB6" s="92">
        <f t="shared" ca="1" si="15"/>
        <v>2977.92</v>
      </c>
      <c r="FC6" s="92">
        <f t="shared" ca="1" si="15"/>
        <v>1702.8</v>
      </c>
      <c r="FD6" s="92">
        <f t="shared" ca="1" si="15"/>
        <v>2977.92</v>
      </c>
      <c r="FE6" s="92">
        <f t="shared" ca="1" si="15"/>
        <v>1504.8</v>
      </c>
      <c r="FF6" s="92">
        <f t="shared" ca="1" si="15"/>
        <v>3009.6</v>
      </c>
      <c r="FG6" s="92">
        <f t="shared" ca="1" si="15"/>
        <v>2376</v>
      </c>
      <c r="FH6" s="92">
        <f t="shared" ca="1" si="15"/>
        <v>0</v>
      </c>
      <c r="FI6" s="92">
        <f t="shared" ca="1" si="16"/>
        <v>0</v>
      </c>
      <c r="FJ6" s="92">
        <f t="shared" ca="1" si="16"/>
        <v>0</v>
      </c>
      <c r="FK6" s="92">
        <f t="shared" ca="1" si="16"/>
        <v>0</v>
      </c>
      <c r="FL6" s="92">
        <f t="shared" ca="1" si="16"/>
        <v>0</v>
      </c>
      <c r="FM6" s="92">
        <f t="shared" ca="1" si="16"/>
        <v>0</v>
      </c>
      <c r="FN6" s="94">
        <f t="shared" ref="FN6:FN12" ca="1" si="31">SUM(CN6:CT6)</f>
        <v>0</v>
      </c>
      <c r="FO6" s="94">
        <f t="shared" ref="FO6:FO12" ca="1" si="32">SUM(CU6:DA6)</f>
        <v>0</v>
      </c>
      <c r="FP6" s="95">
        <f t="shared" ca="1" si="17"/>
        <v>0</v>
      </c>
      <c r="FQ6" s="95">
        <f t="shared" ca="1" si="17"/>
        <v>28.144329896907216</v>
      </c>
      <c r="FR6" s="95">
        <f t="shared" ca="1" si="18"/>
        <v>92.100000000000009</v>
      </c>
      <c r="FS6" s="95">
        <f t="shared" ca="1" si="18"/>
        <v>14.399999999999999</v>
      </c>
      <c r="FT6" s="95">
        <f t="shared" ca="1" si="18"/>
        <v>23.777089783281735</v>
      </c>
      <c r="FU6" s="95">
        <f t="shared" ca="1" si="18"/>
        <v>36.279069767441861</v>
      </c>
      <c r="FV6" s="95">
        <f t="shared" ca="1" si="18"/>
        <v>19.148936170212764</v>
      </c>
      <c r="FW6" s="95">
        <f t="shared" ca="1" si="18"/>
        <v>30.976744186046513</v>
      </c>
      <c r="FX6" s="95">
        <f t="shared" ca="1" si="18"/>
        <v>9.2553191489361701</v>
      </c>
      <c r="FY6" s="95">
        <f t="shared" ca="1" si="18"/>
        <v>431.31970260223045</v>
      </c>
      <c r="FZ6" s="95">
        <f t="shared" ca="1" si="18"/>
        <v>456.46934460887951</v>
      </c>
      <c r="GA6" s="95">
        <f t="shared" ca="1" si="18"/>
        <v>749.88847583643133</v>
      </c>
      <c r="GB6" s="95">
        <f t="shared" ca="1" si="18"/>
        <v>599.53560371517028</v>
      </c>
      <c r="GC6" s="95">
        <f t="shared" ca="1" si="18"/>
        <v>569.5356037151704</v>
      </c>
      <c r="GD6" s="95">
        <f t="shared" ca="1" si="18"/>
        <v>539.53560371517028</v>
      </c>
      <c r="GE6" s="95">
        <f t="shared" ca="1" si="18"/>
        <v>509.53560371517034</v>
      </c>
      <c r="GF6" s="95">
        <f t="shared" ca="1" si="18"/>
        <v>411.94148936170211</v>
      </c>
      <c r="GG6" s="95">
        <f t="shared" ca="1" si="18"/>
        <v>667.95348837209303</v>
      </c>
      <c r="GH6" s="95">
        <f t="shared" ca="1" si="18"/>
        <v>364.78723404255317</v>
      </c>
      <c r="GI6" s="95">
        <f t="shared" ca="1" si="18"/>
        <v>662.52631578947364</v>
      </c>
      <c r="GJ6" s="95">
        <f t="shared" ca="1" si="18"/>
        <v>316.26315789473682</v>
      </c>
      <c r="GK6" s="95">
        <f t="shared" ca="1" si="18"/>
        <v>362.59999999999997</v>
      </c>
      <c r="GL6" s="95">
        <f t="shared" ca="1" si="18"/>
        <v>0</v>
      </c>
      <c r="GM6" s="95">
        <f t="shared" ca="1" si="18"/>
        <v>0</v>
      </c>
      <c r="GN6" s="95">
        <f t="shared" ca="1" si="18"/>
        <v>0</v>
      </c>
      <c r="GO6" s="95">
        <f t="shared" ca="1" si="18"/>
        <v>0</v>
      </c>
      <c r="GP6" s="95">
        <f t="shared" ca="1" si="18"/>
        <v>0</v>
      </c>
      <c r="GQ6" s="95">
        <f t="shared" ca="1" si="18"/>
        <v>0</v>
      </c>
      <c r="GS6" s="7">
        <v>102.94054013000003</v>
      </c>
      <c r="GT6" s="96">
        <f t="shared" ca="1" si="19"/>
        <v>30922.308849650708</v>
      </c>
      <c r="GU6" s="96">
        <f t="shared" ca="1" si="19"/>
        <v>20582.960998993505</v>
      </c>
      <c r="GV6" s="96">
        <f t="shared" ca="1" si="19"/>
        <v>35996.248072658411</v>
      </c>
      <c r="GW6" s="96">
        <f t="shared" ca="1" si="19"/>
        <v>20582.960998993505</v>
      </c>
      <c r="GX6" s="96">
        <f t="shared" ca="1" si="19"/>
        <v>35996.248072658411</v>
      </c>
      <c r="GY6" s="96">
        <f t="shared" ca="1" si="19"/>
        <v>51505.269848644217</v>
      </c>
      <c r="GZ6" s="96">
        <f t="shared" ca="1" si="19"/>
        <v>45282.514197785713</v>
      </c>
      <c r="HA6" s="96">
        <f t="shared" ca="1" si="19"/>
        <v>25752.634924322108</v>
      </c>
      <c r="HB6" s="96">
        <f t="shared" ca="1" si="19"/>
        <v>30922.308849650708</v>
      </c>
      <c r="HC6" s="96">
        <f t="shared" ca="1" si="19"/>
        <v>30922.308849650708</v>
      </c>
      <c r="HD6" s="96">
        <f t="shared" ca="1" si="20"/>
        <v>30922.308849650708</v>
      </c>
      <c r="HE6" s="96">
        <f t="shared" ca="1" si="20"/>
        <v>30922.308849650708</v>
      </c>
      <c r="HF6" s="96">
        <f t="shared" ca="1" si="19"/>
        <v>35996.248072658411</v>
      </c>
      <c r="HG6" s="96">
        <f t="shared" ca="1" si="19"/>
        <v>20582.960998993505</v>
      </c>
      <c r="HH6" s="96">
        <f t="shared" ca="1" si="19"/>
        <v>35996.248072658411</v>
      </c>
      <c r="HI6" s="96">
        <f t="shared" ca="1" si="20"/>
        <v>18189.593440971006</v>
      </c>
      <c r="HJ6" s="96">
        <f t="shared" ca="1" si="20"/>
        <v>36379.186881942012</v>
      </c>
      <c r="HK6" s="96">
        <f t="shared" ca="1" si="20"/>
        <v>28720.41069627001</v>
      </c>
      <c r="HL6" s="96">
        <f t="shared" ca="1" si="20"/>
        <v>0</v>
      </c>
      <c r="HM6" s="96">
        <f t="shared" ca="1" si="20"/>
        <v>0</v>
      </c>
      <c r="HN6" s="96">
        <f t="shared" ca="1" si="20"/>
        <v>0</v>
      </c>
      <c r="HO6" s="96">
        <f t="shared" ca="1" si="20"/>
        <v>0</v>
      </c>
      <c r="HP6" s="96">
        <f t="shared" ca="1" si="20"/>
        <v>0</v>
      </c>
      <c r="HQ6" s="96">
        <f t="shared" ca="1" si="20"/>
        <v>0</v>
      </c>
      <c r="HS6" s="97">
        <f t="shared" ca="1" si="21"/>
        <v>26352.778273280008</v>
      </c>
    </row>
    <row r="7" spans="1:227" ht="17.25" thickTop="1" thickBot="1" x14ac:dyDescent="0.3">
      <c r="A7" s="16" t="s">
        <v>53</v>
      </c>
      <c r="B7" s="73" t="s">
        <v>332</v>
      </c>
      <c r="C7" s="73" t="s">
        <v>332</v>
      </c>
      <c r="D7" s="74" t="s">
        <v>1</v>
      </c>
      <c r="E7" s="74" t="s">
        <v>330</v>
      </c>
      <c r="F7" s="73"/>
      <c r="G7" s="75">
        <v>87</v>
      </c>
      <c r="H7" s="75">
        <v>60</v>
      </c>
      <c r="I7" s="75">
        <f t="shared" ca="1" si="22"/>
        <v>147</v>
      </c>
      <c r="J7" s="76">
        <f ca="1">[1]Parameters!$C$3+G7</f>
        <v>45918</v>
      </c>
      <c r="K7" s="77">
        <f t="shared" ca="1" si="23"/>
        <v>9</v>
      </c>
      <c r="L7" s="77">
        <f t="shared" ca="1" si="24"/>
        <v>2025</v>
      </c>
      <c r="M7" s="76">
        <f ca="1">[1]Parameters!$C$3+I7</f>
        <v>45978</v>
      </c>
      <c r="N7" s="77">
        <f t="shared" ca="1" si="25"/>
        <v>11</v>
      </c>
      <c r="O7" s="77">
        <f t="shared" ca="1" si="26"/>
        <v>2025</v>
      </c>
      <c r="P7" s="78">
        <v>0.9</v>
      </c>
      <c r="Q7" s="79" t="str">
        <f ca="1">VLOOKUP(A7,[1]ABC!N:T,7,0)</f>
        <v>C</v>
      </c>
      <c r="R7" s="80">
        <f t="shared" ca="1" si="9"/>
        <v>41.35861451179457</v>
      </c>
      <c r="S7" s="81">
        <v>6.75</v>
      </c>
      <c r="T7" s="82">
        <f t="shared" ca="1" si="10"/>
        <v>400</v>
      </c>
      <c r="U7" s="83">
        <f ca="1">IF((ROUND(AVERAGE(BI7:BR7)/10,0)*10)&lt;T7,T7,ROUND(AVERAGE(BI7:BR7)/10,0)*10)</f>
        <v>540</v>
      </c>
      <c r="V7" s="80">
        <v>10000</v>
      </c>
      <c r="W7" s="80">
        <f t="shared" ca="1" si="27"/>
        <v>10000</v>
      </c>
      <c r="X7" s="80"/>
      <c r="Y7" s="84">
        <v>0.9</v>
      </c>
      <c r="Z7" s="85">
        <v>0</v>
      </c>
      <c r="AA7" s="85">
        <v>1026</v>
      </c>
      <c r="AB7" s="85">
        <v>802</v>
      </c>
      <c r="AC7" s="85">
        <v>788</v>
      </c>
      <c r="AD7" s="85">
        <v>325</v>
      </c>
      <c r="AE7" s="85">
        <v>464</v>
      </c>
      <c r="AF7" s="85">
        <v>805</v>
      </c>
      <c r="AG7" s="85">
        <v>473</v>
      </c>
      <c r="AH7" s="85">
        <v>460</v>
      </c>
      <c r="AI7" s="75">
        <v>5108</v>
      </c>
      <c r="AJ7" s="75">
        <f t="shared" ca="1" si="11"/>
        <v>4584</v>
      </c>
      <c r="AK7" s="75">
        <f t="shared" ca="1" si="11"/>
        <v>4060</v>
      </c>
      <c r="AL7" s="75">
        <f t="shared" ca="1" si="11"/>
        <v>3471</v>
      </c>
      <c r="AM7" s="75">
        <f t="shared" ca="1" si="11"/>
        <v>12829</v>
      </c>
      <c r="AN7" s="75">
        <f t="shared" ca="1" si="11"/>
        <v>12187</v>
      </c>
      <c r="AO7" s="75">
        <f t="shared" ca="1" si="11"/>
        <v>11545</v>
      </c>
      <c r="AP7" s="75">
        <f t="shared" ca="1" si="11"/>
        <v>10935</v>
      </c>
      <c r="AQ7" s="75">
        <f t="shared" ca="1" si="11"/>
        <v>10453</v>
      </c>
      <c r="AR7" s="75">
        <f t="shared" ca="1" si="11"/>
        <v>10143</v>
      </c>
      <c r="AS7" s="75">
        <f t="shared" ca="1" si="11"/>
        <v>9694</v>
      </c>
      <c r="AT7" s="75">
        <f t="shared" ca="1" si="11"/>
        <v>9582</v>
      </c>
      <c r="AU7" s="75">
        <f t="shared" ca="1" si="11"/>
        <v>9142</v>
      </c>
      <c r="AV7" s="75">
        <f t="shared" ca="1" si="11"/>
        <v>8712</v>
      </c>
      <c r="AW7" s="75">
        <f t="shared" ca="1" si="11"/>
        <v>8712</v>
      </c>
      <c r="AX7" s="75">
        <f t="shared" ca="1" si="11"/>
        <v>8712</v>
      </c>
      <c r="AY7" s="75">
        <f t="shared" ca="1" si="11"/>
        <v>8712</v>
      </c>
      <c r="AZ7" s="75">
        <f t="shared" ca="1" si="12"/>
        <v>8712</v>
      </c>
      <c r="BA7" s="75">
        <f t="shared" ca="1" si="12"/>
        <v>8712</v>
      </c>
      <c r="BB7" s="166"/>
      <c r="BC7" s="86">
        <v>0</v>
      </c>
      <c r="BD7" s="86">
        <v>1086</v>
      </c>
      <c r="BE7" s="86">
        <v>500</v>
      </c>
      <c r="BF7" s="86">
        <v>500</v>
      </c>
      <c r="BG7" s="86">
        <v>384</v>
      </c>
      <c r="BH7" s="86">
        <v>407</v>
      </c>
      <c r="BI7" s="86">
        <v>482</v>
      </c>
      <c r="BJ7" s="86">
        <v>310</v>
      </c>
      <c r="BK7" s="86">
        <v>449</v>
      </c>
      <c r="BL7" s="86">
        <v>524</v>
      </c>
      <c r="BM7" s="86">
        <v>524</v>
      </c>
      <c r="BN7" s="86">
        <v>589</v>
      </c>
      <c r="BO7" s="86">
        <v>642</v>
      </c>
      <c r="BP7" s="86">
        <v>642</v>
      </c>
      <c r="BQ7" s="86">
        <v>642</v>
      </c>
      <c r="BR7" s="86">
        <v>610</v>
      </c>
      <c r="BS7" s="86">
        <v>482</v>
      </c>
      <c r="BT7" s="86">
        <v>310</v>
      </c>
      <c r="BU7" s="86">
        <v>449</v>
      </c>
      <c r="BV7" s="86">
        <v>112</v>
      </c>
      <c r="BW7" s="86">
        <v>440</v>
      </c>
      <c r="BX7" s="86">
        <v>430</v>
      </c>
      <c r="BY7" s="86">
        <v>0</v>
      </c>
      <c r="BZ7" s="86">
        <v>0</v>
      </c>
      <c r="CA7" s="86">
        <v>0</v>
      </c>
      <c r="CB7" s="86">
        <v>0</v>
      </c>
      <c r="CC7" s="86">
        <v>0</v>
      </c>
      <c r="CD7" s="86">
        <v>0</v>
      </c>
      <c r="CE7" s="86">
        <f t="shared" ca="1" si="28"/>
        <v>152.45272491278513</v>
      </c>
      <c r="CF7" s="87"/>
      <c r="CG7" s="86">
        <v>0</v>
      </c>
      <c r="CH7" s="86">
        <v>0</v>
      </c>
      <c r="CI7" s="86">
        <v>0</v>
      </c>
      <c r="CJ7" s="86">
        <v>0</v>
      </c>
      <c r="CK7" s="86">
        <v>0</v>
      </c>
      <c r="CL7" s="86">
        <v>0</v>
      </c>
      <c r="CM7" s="86">
        <v>0</v>
      </c>
      <c r="CN7" s="86">
        <v>0</v>
      </c>
      <c r="CO7" s="86">
        <v>0</v>
      </c>
      <c r="CP7" s="86">
        <v>0</v>
      </c>
      <c r="CQ7" s="86">
        <v>0</v>
      </c>
      <c r="CR7" s="86">
        <v>10000</v>
      </c>
      <c r="CS7" s="89">
        <v>0</v>
      </c>
      <c r="CT7" s="86">
        <v>0</v>
      </c>
      <c r="CU7" s="90">
        <v>0</v>
      </c>
      <c r="CV7" s="90">
        <v>0</v>
      </c>
      <c r="CW7" s="90">
        <v>0</v>
      </c>
      <c r="CX7" s="90">
        <v>0</v>
      </c>
      <c r="CY7" s="90">
        <v>0</v>
      </c>
      <c r="CZ7" s="90">
        <v>0</v>
      </c>
      <c r="DA7" s="90">
        <v>0</v>
      </c>
      <c r="DB7" s="90">
        <v>0</v>
      </c>
      <c r="DC7" s="90">
        <v>0</v>
      </c>
      <c r="DD7" s="90">
        <v>0</v>
      </c>
      <c r="DE7" s="90">
        <v>0</v>
      </c>
      <c r="DF7" s="90">
        <v>0</v>
      </c>
      <c r="DG7" s="86">
        <v>0</v>
      </c>
      <c r="DI7" s="91">
        <f ca="1">VLOOKUP(A7,'[2]2-Relatório'!$A:$J,9,0)</f>
        <v>7.74</v>
      </c>
      <c r="DJ7" s="92">
        <f t="shared" ca="1" si="29"/>
        <v>6207.4800000000005</v>
      </c>
      <c r="DK7" s="92">
        <f t="shared" ca="1" si="29"/>
        <v>6099.12</v>
      </c>
      <c r="DL7" s="92">
        <f t="shared" ca="1" si="29"/>
        <v>2515.5</v>
      </c>
      <c r="DM7" s="92">
        <f t="shared" ca="1" si="29"/>
        <v>3591.36</v>
      </c>
      <c r="DN7" s="92">
        <f t="shared" ca="1" si="29"/>
        <v>6230.7</v>
      </c>
      <c r="DO7" s="92">
        <f t="shared" ca="1" si="13"/>
        <v>3661.02</v>
      </c>
      <c r="DP7" s="92">
        <f t="shared" ca="1" si="13"/>
        <v>3560.4</v>
      </c>
      <c r="DQ7" s="92">
        <f t="shared" ca="1" si="13"/>
        <v>39535.919999999998</v>
      </c>
      <c r="DR7" s="92">
        <f t="shared" ca="1" si="13"/>
        <v>35480.160000000003</v>
      </c>
      <c r="DS7" s="92">
        <f t="shared" ca="1" si="13"/>
        <v>31424.400000000001</v>
      </c>
      <c r="DT7" s="92">
        <f t="shared" ca="1" si="13"/>
        <v>26865.54</v>
      </c>
      <c r="DU7" s="92">
        <f t="shared" ca="1" si="13"/>
        <v>99296.46</v>
      </c>
      <c r="DV7" s="92">
        <f t="shared" ca="1" si="13"/>
        <v>94327.38</v>
      </c>
      <c r="DW7" s="92">
        <f t="shared" ca="1" si="13"/>
        <v>89358.3</v>
      </c>
      <c r="DX7" s="92">
        <f t="shared" ca="1" si="13"/>
        <v>84636.900000000009</v>
      </c>
      <c r="DY7" s="92">
        <f t="shared" ca="1" si="13"/>
        <v>80906.22</v>
      </c>
      <c r="DZ7" s="92">
        <f t="shared" ca="1" si="13"/>
        <v>78506.820000000007</v>
      </c>
      <c r="EA7" s="92">
        <f t="shared" ca="1" si="13"/>
        <v>75031.56</v>
      </c>
      <c r="EB7" s="92">
        <f t="shared" ca="1" si="13"/>
        <v>74164.680000000008</v>
      </c>
      <c r="EC7" s="92">
        <f t="shared" ca="1" si="13"/>
        <v>70759.08</v>
      </c>
      <c r="ED7" s="92">
        <f t="shared" ca="1" si="13"/>
        <v>67430.880000000005</v>
      </c>
      <c r="EE7" s="92">
        <f t="shared" ca="1" si="13"/>
        <v>67430.880000000005</v>
      </c>
      <c r="EF7" s="92">
        <f t="shared" ca="1" si="13"/>
        <v>67430.880000000005</v>
      </c>
      <c r="EG7" s="92">
        <f t="shared" ca="1" si="13"/>
        <v>67430.880000000005</v>
      </c>
      <c r="EH7" s="92">
        <f t="shared" ca="1" si="13"/>
        <v>67430.880000000005</v>
      </c>
      <c r="EI7" s="92">
        <f t="shared" ca="1" si="13"/>
        <v>67430.880000000005</v>
      </c>
      <c r="EL7" s="93">
        <f t="shared" ca="1" si="14"/>
        <v>0</v>
      </c>
      <c r="EM7" s="93">
        <f t="shared" ca="1" si="14"/>
        <v>7330.5</v>
      </c>
      <c r="EN7" s="92">
        <f t="shared" ca="1" si="30"/>
        <v>3870</v>
      </c>
      <c r="EO7" s="92">
        <f t="shared" ca="1" si="30"/>
        <v>3870</v>
      </c>
      <c r="EP7" s="92">
        <f t="shared" ca="1" si="30"/>
        <v>2972.16</v>
      </c>
      <c r="EQ7" s="92">
        <f t="shared" ca="1" si="30"/>
        <v>3150.1800000000003</v>
      </c>
      <c r="ER7" s="92">
        <f t="shared" ca="1" si="30"/>
        <v>3730.6800000000003</v>
      </c>
      <c r="ES7" s="92">
        <f t="shared" ca="1" si="15"/>
        <v>2399.4</v>
      </c>
      <c r="ET7" s="92">
        <f t="shared" ca="1" si="15"/>
        <v>3475.26</v>
      </c>
      <c r="EU7" s="92">
        <f t="shared" ca="1" si="15"/>
        <v>4055.76</v>
      </c>
      <c r="EV7" s="92">
        <f t="shared" ca="1" si="15"/>
        <v>4055.76</v>
      </c>
      <c r="EW7" s="92">
        <f t="shared" ca="1" si="15"/>
        <v>4558.8599999999997</v>
      </c>
      <c r="EX7" s="92">
        <f t="shared" ca="1" si="15"/>
        <v>4969.08</v>
      </c>
      <c r="EY7" s="92">
        <f t="shared" ca="1" si="15"/>
        <v>4969.08</v>
      </c>
      <c r="EZ7" s="92">
        <f t="shared" ca="1" si="15"/>
        <v>4969.08</v>
      </c>
      <c r="FA7" s="92">
        <f t="shared" ca="1" si="15"/>
        <v>4721.4000000000005</v>
      </c>
      <c r="FB7" s="92">
        <f t="shared" ca="1" si="15"/>
        <v>3730.6800000000003</v>
      </c>
      <c r="FC7" s="92">
        <f t="shared" ca="1" si="15"/>
        <v>2399.4</v>
      </c>
      <c r="FD7" s="92">
        <f t="shared" ca="1" si="15"/>
        <v>3475.26</v>
      </c>
      <c r="FE7" s="92">
        <f t="shared" ca="1" si="15"/>
        <v>866.88</v>
      </c>
      <c r="FF7" s="92">
        <f t="shared" ca="1" si="15"/>
        <v>3405.6</v>
      </c>
      <c r="FG7" s="92">
        <f t="shared" ca="1" si="15"/>
        <v>3328.2000000000003</v>
      </c>
      <c r="FH7" s="92">
        <f t="shared" ca="1" si="15"/>
        <v>0</v>
      </c>
      <c r="FI7" s="92">
        <f t="shared" ca="1" si="16"/>
        <v>0</v>
      </c>
      <c r="FJ7" s="92">
        <f t="shared" ca="1" si="16"/>
        <v>0</v>
      </c>
      <c r="FK7" s="92">
        <f t="shared" ca="1" si="16"/>
        <v>0</v>
      </c>
      <c r="FL7" s="92">
        <f t="shared" ca="1" si="16"/>
        <v>0</v>
      </c>
      <c r="FM7" s="92">
        <f t="shared" ca="1" si="16"/>
        <v>0</v>
      </c>
      <c r="FN7" s="94">
        <f t="shared" ca="1" si="31"/>
        <v>10000</v>
      </c>
      <c r="FO7" s="94">
        <f t="shared" ca="1" si="32"/>
        <v>0</v>
      </c>
      <c r="FP7" s="95">
        <f t="shared" ca="1" si="17"/>
        <v>0</v>
      </c>
      <c r="FQ7" s="95">
        <f t="shared" ca="1" si="17"/>
        <v>28.342541436464089</v>
      </c>
      <c r="FR7" s="95">
        <f t="shared" ca="1" si="18"/>
        <v>48.120000000000005</v>
      </c>
      <c r="FS7" s="95">
        <f t="shared" ca="1" si="18"/>
        <v>47.28</v>
      </c>
      <c r="FT7" s="95">
        <f t="shared" ca="1" si="18"/>
        <v>25.390625000000004</v>
      </c>
      <c r="FU7" s="95">
        <f t="shared" ca="1" si="18"/>
        <v>34.201474201474198</v>
      </c>
      <c r="FV7" s="95">
        <f t="shared" ca="1" si="18"/>
        <v>50.103734439834021</v>
      </c>
      <c r="FW7" s="95">
        <f t="shared" ca="1" si="18"/>
        <v>45.774193548387089</v>
      </c>
      <c r="FX7" s="95">
        <f t="shared" ca="1" si="18"/>
        <v>30.734966592427618</v>
      </c>
      <c r="FY7" s="95">
        <f t="shared" ca="1" si="18"/>
        <v>292.44274809160299</v>
      </c>
      <c r="FZ7" s="95">
        <f t="shared" ca="1" si="18"/>
        <v>262.44274809160305</v>
      </c>
      <c r="GA7" s="95">
        <f t="shared" ca="1" si="18"/>
        <v>206.79117147707981</v>
      </c>
      <c r="GB7" s="95">
        <f t="shared" ca="1" si="18"/>
        <v>162.196261682243</v>
      </c>
      <c r="GC7" s="95">
        <f t="shared" ca="1" si="18"/>
        <v>599.48598130841128</v>
      </c>
      <c r="GD7" s="95">
        <f t="shared" ca="1" si="18"/>
        <v>569.48598130841128</v>
      </c>
      <c r="GE7" s="95">
        <f t="shared" ca="1" si="18"/>
        <v>567.78688524590154</v>
      </c>
      <c r="GF7" s="95">
        <f t="shared" ca="1" si="18"/>
        <v>680.60165975103735</v>
      </c>
      <c r="GG7" s="95">
        <f t="shared" ca="1" si="18"/>
        <v>1011.5806451612902</v>
      </c>
      <c r="GH7" s="95">
        <f t="shared" ca="1" si="18"/>
        <v>677.706013363029</v>
      </c>
      <c r="GI7" s="95">
        <f t="shared" ca="1" si="18"/>
        <v>2596.6071428571431</v>
      </c>
      <c r="GJ7" s="95">
        <f t="shared" ca="1" si="18"/>
        <v>653.31818181818198</v>
      </c>
      <c r="GK7" s="95">
        <f t="shared" ca="1" si="18"/>
        <v>637.81395348837202</v>
      </c>
      <c r="GL7" s="95">
        <f t="shared" ca="1" si="18"/>
        <v>0</v>
      </c>
      <c r="GM7" s="95">
        <f t="shared" ca="1" si="18"/>
        <v>0</v>
      </c>
      <c r="GN7" s="95">
        <f t="shared" ca="1" si="18"/>
        <v>0</v>
      </c>
      <c r="GO7" s="95">
        <f t="shared" ca="1" si="18"/>
        <v>0</v>
      </c>
      <c r="GP7" s="95">
        <f t="shared" ca="1" si="18"/>
        <v>0</v>
      </c>
      <c r="GQ7" s="95">
        <f t="shared" ca="1" si="18"/>
        <v>0</v>
      </c>
      <c r="GS7" s="7">
        <v>101.39502551</v>
      </c>
      <c r="GT7" s="96">
        <f t="shared" ca="1" si="19"/>
        <v>36210.191510131197</v>
      </c>
      <c r="GU7" s="96">
        <f t="shared" ca="1" si="19"/>
        <v>38379.031105790098</v>
      </c>
      <c r="GV7" s="96">
        <f t="shared" ca="1" si="19"/>
        <v>45451.3341351126</v>
      </c>
      <c r="GW7" s="96">
        <f t="shared" ca="1" si="19"/>
        <v>29232.185854532996</v>
      </c>
      <c r="GX7" s="96">
        <f t="shared" ca="1" si="19"/>
        <v>42339.520802210696</v>
      </c>
      <c r="GY7" s="96">
        <f t="shared" ca="1" si="19"/>
        <v>49411.823831533198</v>
      </c>
      <c r="GZ7" s="96">
        <f t="shared" ca="1" si="19"/>
        <v>49411.823831533198</v>
      </c>
      <c r="HA7" s="96">
        <f t="shared" ca="1" si="19"/>
        <v>55541.153123612698</v>
      </c>
      <c r="HB7" s="96">
        <f t="shared" ca="1" si="19"/>
        <v>60538.913931000599</v>
      </c>
      <c r="HC7" s="96">
        <f t="shared" ca="1" si="19"/>
        <v>60538.913931000599</v>
      </c>
      <c r="HD7" s="96">
        <f t="shared" ca="1" si="20"/>
        <v>60538.913931000599</v>
      </c>
      <c r="HE7" s="96">
        <f t="shared" ca="1" si="20"/>
        <v>57521.397971822997</v>
      </c>
      <c r="HF7" s="96">
        <f t="shared" ca="1" si="19"/>
        <v>45451.3341351126</v>
      </c>
      <c r="HG7" s="96">
        <f t="shared" ca="1" si="19"/>
        <v>29232.185854532996</v>
      </c>
      <c r="HH7" s="96">
        <f t="shared" ca="1" si="19"/>
        <v>42339.520802210696</v>
      </c>
      <c r="HI7" s="96">
        <f t="shared" ca="1" si="20"/>
        <v>10561.305857121599</v>
      </c>
      <c r="HJ7" s="96">
        <f t="shared" ca="1" si="20"/>
        <v>41490.844438692002</v>
      </c>
      <c r="HK7" s="96">
        <f t="shared" ca="1" si="20"/>
        <v>40547.870701448999</v>
      </c>
      <c r="HL7" s="96">
        <f t="shared" ca="1" si="20"/>
        <v>0</v>
      </c>
      <c r="HM7" s="96">
        <f t="shared" ca="1" si="20"/>
        <v>0</v>
      </c>
      <c r="HN7" s="96">
        <f t="shared" ca="1" si="20"/>
        <v>0</v>
      </c>
      <c r="HO7" s="96">
        <f t="shared" ca="1" si="20"/>
        <v>0</v>
      </c>
      <c r="HP7" s="96">
        <f t="shared" ca="1" si="20"/>
        <v>0</v>
      </c>
      <c r="HQ7" s="96">
        <f t="shared" ca="1" si="20"/>
        <v>0</v>
      </c>
      <c r="HS7" s="97">
        <f t="shared" ca="1" si="21"/>
        <v>32953.383290749996</v>
      </c>
    </row>
    <row r="8" spans="1:227" ht="17.25" thickTop="1" thickBot="1" x14ac:dyDescent="0.3">
      <c r="A8" s="16" t="s">
        <v>55</v>
      </c>
      <c r="B8" s="73" t="s">
        <v>333</v>
      </c>
      <c r="C8" s="73" t="s">
        <v>333</v>
      </c>
      <c r="D8" s="74" t="s">
        <v>1</v>
      </c>
      <c r="E8" s="74" t="s">
        <v>330</v>
      </c>
      <c r="F8" s="73"/>
      <c r="G8" s="75">
        <v>87</v>
      </c>
      <c r="H8" s="75">
        <v>60</v>
      </c>
      <c r="I8" s="75">
        <f t="shared" ca="1" si="22"/>
        <v>147</v>
      </c>
      <c r="J8" s="76">
        <f ca="1">[1]Parameters!$C$3+G8</f>
        <v>45918</v>
      </c>
      <c r="K8" s="77">
        <f t="shared" ca="1" si="23"/>
        <v>9</v>
      </c>
      <c r="L8" s="77">
        <f t="shared" ca="1" si="24"/>
        <v>2025</v>
      </c>
      <c r="M8" s="76">
        <f ca="1">[1]Parameters!$C$3+I8</f>
        <v>45978</v>
      </c>
      <c r="N8" s="77">
        <f t="shared" ca="1" si="25"/>
        <v>11</v>
      </c>
      <c r="O8" s="77">
        <f t="shared" ca="1" si="26"/>
        <v>2025</v>
      </c>
      <c r="P8" s="78">
        <v>0.9</v>
      </c>
      <c r="Q8" s="79" t="str">
        <f ca="1">VLOOKUP(A8,[1]ABC!N:T,7,0)</f>
        <v>C</v>
      </c>
      <c r="R8" s="80">
        <f t="shared" ca="1" si="9"/>
        <v>27.599485144266868</v>
      </c>
      <c r="S8" s="81">
        <v>9.5299999999999994</v>
      </c>
      <c r="T8" s="82">
        <f t="shared" ca="1" si="10"/>
        <v>600</v>
      </c>
      <c r="U8" s="83">
        <f ca="1">IF((ROUND(AVERAGE(BI8:BR8)/10,0)*10)&lt;T8,T8,ROUND(AVERAGE(BI8:BR8)/10,0)*10)</f>
        <v>600</v>
      </c>
      <c r="V8" s="80">
        <v>10000</v>
      </c>
      <c r="W8" s="80">
        <f t="shared" ca="1" si="27"/>
        <v>10000</v>
      </c>
      <c r="X8" s="80"/>
      <c r="Y8" s="84">
        <v>1.48</v>
      </c>
      <c r="Z8" s="85">
        <v>24</v>
      </c>
      <c r="AA8" s="85">
        <v>45</v>
      </c>
      <c r="AB8" s="85">
        <v>22</v>
      </c>
      <c r="AC8" s="85">
        <v>41</v>
      </c>
      <c r="AD8" s="85">
        <v>0</v>
      </c>
      <c r="AE8" s="85">
        <v>200</v>
      </c>
      <c r="AF8" s="85">
        <v>512</v>
      </c>
      <c r="AG8" s="85">
        <v>325</v>
      </c>
      <c r="AH8" s="85">
        <v>0</v>
      </c>
      <c r="AI8" s="75">
        <v>8844</v>
      </c>
      <c r="AJ8" s="75">
        <f t="shared" ca="1" si="11"/>
        <v>8694</v>
      </c>
      <c r="AK8" s="75">
        <f t="shared" ca="1" si="11"/>
        <v>8544</v>
      </c>
      <c r="AL8" s="75">
        <f t="shared" ca="1" si="11"/>
        <v>8309</v>
      </c>
      <c r="AM8" s="75">
        <f t="shared" ca="1" si="11"/>
        <v>7774</v>
      </c>
      <c r="AN8" s="75">
        <f t="shared" ca="1" si="11"/>
        <v>7239</v>
      </c>
      <c r="AO8" s="75">
        <f t="shared" ca="1" si="11"/>
        <v>6705</v>
      </c>
      <c r="AP8" s="75">
        <f t="shared" ca="1" si="11"/>
        <v>6171</v>
      </c>
      <c r="AQ8" s="75">
        <f t="shared" ca="1" si="11"/>
        <v>6064</v>
      </c>
      <c r="AR8" s="75">
        <f t="shared" ca="1" si="11"/>
        <v>5936</v>
      </c>
      <c r="AS8" s="75">
        <f t="shared" ca="1" si="11"/>
        <v>5656</v>
      </c>
      <c r="AT8" s="75">
        <f t="shared" ca="1" si="11"/>
        <v>5536</v>
      </c>
      <c r="AU8" s="75">
        <f t="shared" ca="1" si="11"/>
        <v>5486</v>
      </c>
      <c r="AV8" s="75">
        <f t="shared" ca="1" si="11"/>
        <v>5436</v>
      </c>
      <c r="AW8" s="75">
        <f t="shared" ca="1" si="11"/>
        <v>5436</v>
      </c>
      <c r="AX8" s="75">
        <f t="shared" ca="1" si="11"/>
        <v>5436</v>
      </c>
      <c r="AY8" s="75">
        <f t="shared" ca="1" si="11"/>
        <v>5436</v>
      </c>
      <c r="AZ8" s="75">
        <f t="shared" ca="1" si="12"/>
        <v>5436</v>
      </c>
      <c r="BA8" s="75">
        <f t="shared" ca="1" si="12"/>
        <v>5436</v>
      </c>
      <c r="BB8" s="166"/>
      <c r="BC8" s="86">
        <v>24</v>
      </c>
      <c r="BD8" s="86">
        <v>45</v>
      </c>
      <c r="BE8" s="86">
        <v>40</v>
      </c>
      <c r="BF8" s="86">
        <v>40</v>
      </c>
      <c r="BG8" s="86">
        <v>86</v>
      </c>
      <c r="BH8" s="86">
        <v>86</v>
      </c>
      <c r="BI8" s="86">
        <v>107</v>
      </c>
      <c r="BJ8" s="86">
        <v>128</v>
      </c>
      <c r="BK8" s="86">
        <v>150</v>
      </c>
      <c r="BL8" s="86">
        <v>150</v>
      </c>
      <c r="BM8" s="86">
        <v>150</v>
      </c>
      <c r="BN8" s="86">
        <v>235</v>
      </c>
      <c r="BO8" s="86">
        <v>535</v>
      </c>
      <c r="BP8" s="86">
        <v>535</v>
      </c>
      <c r="BQ8" s="86">
        <v>534</v>
      </c>
      <c r="BR8" s="86">
        <v>534</v>
      </c>
      <c r="BS8" s="86">
        <v>107</v>
      </c>
      <c r="BT8" s="86">
        <v>128</v>
      </c>
      <c r="BU8" s="86">
        <v>280</v>
      </c>
      <c r="BV8" s="86">
        <v>120</v>
      </c>
      <c r="BW8" s="86">
        <v>50</v>
      </c>
      <c r="BX8" s="86">
        <v>50</v>
      </c>
      <c r="BY8" s="86">
        <v>0</v>
      </c>
      <c r="BZ8" s="86">
        <v>0</v>
      </c>
      <c r="CA8" s="86">
        <v>0</v>
      </c>
      <c r="CB8" s="86">
        <v>0</v>
      </c>
      <c r="CC8" s="86">
        <v>0</v>
      </c>
      <c r="CD8" s="86">
        <v>0</v>
      </c>
      <c r="CE8" s="86">
        <f t="shared" ca="1" si="28"/>
        <v>198.99742299581257</v>
      </c>
      <c r="CF8" s="87"/>
      <c r="CG8" s="86">
        <v>0</v>
      </c>
      <c r="CH8" s="86">
        <v>0</v>
      </c>
      <c r="CI8" s="86">
        <v>0</v>
      </c>
      <c r="CJ8" s="86">
        <v>0</v>
      </c>
      <c r="CK8" s="86">
        <v>0</v>
      </c>
      <c r="CL8" s="86">
        <v>0</v>
      </c>
      <c r="CM8" s="86">
        <v>0</v>
      </c>
      <c r="CN8" s="86">
        <v>0</v>
      </c>
      <c r="CO8" s="86">
        <v>0</v>
      </c>
      <c r="CP8" s="86">
        <v>0</v>
      </c>
      <c r="CQ8" s="86">
        <v>0</v>
      </c>
      <c r="CR8" s="86"/>
      <c r="CS8" s="89">
        <v>0</v>
      </c>
      <c r="CT8" s="86">
        <v>0</v>
      </c>
      <c r="CU8" s="90">
        <v>0</v>
      </c>
      <c r="CV8" s="90">
        <v>0</v>
      </c>
      <c r="CW8" s="90">
        <v>0</v>
      </c>
      <c r="CX8" s="90">
        <v>0</v>
      </c>
      <c r="CY8" s="90">
        <v>0</v>
      </c>
      <c r="CZ8" s="90">
        <v>0</v>
      </c>
      <c r="DA8" s="90">
        <v>0</v>
      </c>
      <c r="DB8" s="90">
        <v>0</v>
      </c>
      <c r="DC8" s="90">
        <v>0</v>
      </c>
      <c r="DD8" s="90">
        <v>0</v>
      </c>
      <c r="DE8" s="90">
        <v>0</v>
      </c>
      <c r="DF8" s="90">
        <v>0</v>
      </c>
      <c r="DG8" s="86">
        <v>0</v>
      </c>
      <c r="DI8" s="91">
        <f ca="1">VLOOKUP(A8,'[2]2-Relatório'!$A:$J,9,0)</f>
        <v>12.12</v>
      </c>
      <c r="DJ8" s="92">
        <f t="shared" ca="1" si="29"/>
        <v>266.64</v>
      </c>
      <c r="DK8" s="92">
        <f t="shared" ca="1" si="29"/>
        <v>496.91999999999996</v>
      </c>
      <c r="DL8" s="92">
        <f t="shared" ca="1" si="29"/>
        <v>0</v>
      </c>
      <c r="DM8" s="92">
        <f t="shared" ca="1" si="29"/>
        <v>2424</v>
      </c>
      <c r="DN8" s="92">
        <f t="shared" ca="1" si="29"/>
        <v>6205.44</v>
      </c>
      <c r="DO8" s="92">
        <f t="shared" ca="1" si="13"/>
        <v>3938.9999999999995</v>
      </c>
      <c r="DP8" s="92">
        <f t="shared" ca="1" si="13"/>
        <v>0</v>
      </c>
      <c r="DQ8" s="92">
        <f t="shared" ca="1" si="13"/>
        <v>107189.28</v>
      </c>
      <c r="DR8" s="92">
        <f t="shared" ca="1" si="13"/>
        <v>105371.28</v>
      </c>
      <c r="DS8" s="92">
        <f t="shared" ca="1" si="13"/>
        <v>103553.28</v>
      </c>
      <c r="DT8" s="92">
        <f t="shared" ca="1" si="13"/>
        <v>100705.07999999999</v>
      </c>
      <c r="DU8" s="92">
        <f t="shared" ca="1" si="13"/>
        <v>94220.87999999999</v>
      </c>
      <c r="DV8" s="92">
        <f t="shared" ca="1" si="13"/>
        <v>87736.68</v>
      </c>
      <c r="DW8" s="92">
        <f t="shared" ca="1" si="13"/>
        <v>81264.599999999991</v>
      </c>
      <c r="DX8" s="92">
        <f t="shared" ca="1" si="13"/>
        <v>74792.51999999999</v>
      </c>
      <c r="DY8" s="92">
        <f t="shared" ca="1" si="13"/>
        <v>73495.679999999993</v>
      </c>
      <c r="DZ8" s="92">
        <f t="shared" ca="1" si="13"/>
        <v>71944.319999999992</v>
      </c>
      <c r="EA8" s="92">
        <f t="shared" ca="1" si="13"/>
        <v>68550.720000000001</v>
      </c>
      <c r="EB8" s="92">
        <f t="shared" ca="1" si="13"/>
        <v>67096.319999999992</v>
      </c>
      <c r="EC8" s="92">
        <f t="shared" ca="1" si="13"/>
        <v>66490.319999999992</v>
      </c>
      <c r="ED8" s="92">
        <f t="shared" ca="1" si="13"/>
        <v>65884.319999999992</v>
      </c>
      <c r="EE8" s="92">
        <f t="shared" ca="1" si="13"/>
        <v>65884.319999999992</v>
      </c>
      <c r="EF8" s="92">
        <f t="shared" ca="1" si="13"/>
        <v>65884.319999999992</v>
      </c>
      <c r="EG8" s="92">
        <f t="shared" ca="1" si="13"/>
        <v>65884.319999999992</v>
      </c>
      <c r="EH8" s="92">
        <f t="shared" ca="1" si="13"/>
        <v>65884.319999999992</v>
      </c>
      <c r="EI8" s="92">
        <f t="shared" ca="1" si="13"/>
        <v>65884.319999999992</v>
      </c>
      <c r="EL8" s="93">
        <f t="shared" ca="1" si="14"/>
        <v>228.71999999999997</v>
      </c>
      <c r="EM8" s="93">
        <f t="shared" ca="1" si="14"/>
        <v>428.84999999999997</v>
      </c>
      <c r="EN8" s="92">
        <f t="shared" ca="1" si="30"/>
        <v>484.79999999999995</v>
      </c>
      <c r="EO8" s="92">
        <f t="shared" ca="1" si="30"/>
        <v>484.79999999999995</v>
      </c>
      <c r="EP8" s="92">
        <f t="shared" ca="1" si="30"/>
        <v>1042.32</v>
      </c>
      <c r="EQ8" s="92">
        <f t="shared" ca="1" si="30"/>
        <v>1042.32</v>
      </c>
      <c r="ER8" s="92">
        <f t="shared" ca="1" si="30"/>
        <v>1296.8399999999999</v>
      </c>
      <c r="ES8" s="92">
        <f t="shared" ca="1" si="15"/>
        <v>1551.36</v>
      </c>
      <c r="ET8" s="92">
        <f t="shared" ca="1" si="15"/>
        <v>1817.9999999999998</v>
      </c>
      <c r="EU8" s="92">
        <f t="shared" ca="1" si="15"/>
        <v>1817.9999999999998</v>
      </c>
      <c r="EV8" s="92">
        <f t="shared" ca="1" si="15"/>
        <v>1817.9999999999998</v>
      </c>
      <c r="EW8" s="92">
        <f t="shared" ca="1" si="15"/>
        <v>2848.2</v>
      </c>
      <c r="EX8" s="92">
        <f t="shared" ca="1" si="15"/>
        <v>6484.2</v>
      </c>
      <c r="EY8" s="92">
        <f t="shared" ca="1" si="15"/>
        <v>6484.2</v>
      </c>
      <c r="EZ8" s="92">
        <f t="shared" ca="1" si="15"/>
        <v>6472.08</v>
      </c>
      <c r="FA8" s="92">
        <f t="shared" ca="1" si="15"/>
        <v>6472.08</v>
      </c>
      <c r="FB8" s="92">
        <f t="shared" ca="1" si="15"/>
        <v>1296.8399999999999</v>
      </c>
      <c r="FC8" s="92">
        <f t="shared" ca="1" si="15"/>
        <v>1551.36</v>
      </c>
      <c r="FD8" s="92">
        <f t="shared" ca="1" si="15"/>
        <v>3393.6</v>
      </c>
      <c r="FE8" s="92">
        <f t="shared" ca="1" si="15"/>
        <v>1454.3999999999999</v>
      </c>
      <c r="FF8" s="92">
        <f t="shared" ca="1" si="15"/>
        <v>606</v>
      </c>
      <c r="FG8" s="92">
        <f t="shared" ca="1" si="15"/>
        <v>606</v>
      </c>
      <c r="FH8" s="92">
        <f t="shared" ca="1" si="15"/>
        <v>0</v>
      </c>
      <c r="FI8" s="92">
        <f t="shared" ca="1" si="16"/>
        <v>0</v>
      </c>
      <c r="FJ8" s="92">
        <f t="shared" ca="1" si="16"/>
        <v>0</v>
      </c>
      <c r="FK8" s="92">
        <f t="shared" ca="1" si="16"/>
        <v>0</v>
      </c>
      <c r="FL8" s="92">
        <f t="shared" ca="1" si="16"/>
        <v>0</v>
      </c>
      <c r="FM8" s="92">
        <f t="shared" ca="1" si="16"/>
        <v>0</v>
      </c>
      <c r="FN8" s="94">
        <f t="shared" ca="1" si="31"/>
        <v>0</v>
      </c>
      <c r="FO8" s="94">
        <f t="shared" ca="1" si="32"/>
        <v>0</v>
      </c>
      <c r="FP8" s="95">
        <f t="shared" ca="1" si="17"/>
        <v>30</v>
      </c>
      <c r="FQ8" s="95">
        <f t="shared" ca="1" si="17"/>
        <v>30</v>
      </c>
      <c r="FR8" s="95">
        <f t="shared" ca="1" si="18"/>
        <v>16.5</v>
      </c>
      <c r="FS8" s="95">
        <f t="shared" ca="1" si="18"/>
        <v>30.749999999999996</v>
      </c>
      <c r="FT8" s="95">
        <f t="shared" ca="1" si="18"/>
        <v>0</v>
      </c>
      <c r="FU8" s="95">
        <f t="shared" ca="1" si="18"/>
        <v>69.767441860465127</v>
      </c>
      <c r="FV8" s="95">
        <f t="shared" ca="1" si="18"/>
        <v>143.55140186915887</v>
      </c>
      <c r="FW8" s="95">
        <f t="shared" ca="1" si="18"/>
        <v>76.171875</v>
      </c>
      <c r="FX8" s="95">
        <f t="shared" ca="1" si="18"/>
        <v>0</v>
      </c>
      <c r="FY8" s="95">
        <f t="shared" ca="1" si="18"/>
        <v>1768.8000000000002</v>
      </c>
      <c r="FZ8" s="95">
        <f t="shared" ca="1" si="18"/>
        <v>1738.8000000000002</v>
      </c>
      <c r="GA8" s="95">
        <f t="shared" ca="1" si="18"/>
        <v>1090.7234042553191</v>
      </c>
      <c r="GB8" s="95">
        <f t="shared" ca="1" si="18"/>
        <v>465.92523364485982</v>
      </c>
      <c r="GC8" s="95">
        <f t="shared" ca="1" si="18"/>
        <v>435.92523364485982</v>
      </c>
      <c r="GD8" s="95">
        <f t="shared" ca="1" si="18"/>
        <v>406.68539325842693</v>
      </c>
      <c r="GE8" s="95">
        <f t="shared" ca="1" si="18"/>
        <v>376.68539325842693</v>
      </c>
      <c r="GF8" s="95">
        <f t="shared" ca="1" si="18"/>
        <v>1730.1869158878503</v>
      </c>
      <c r="GG8" s="95">
        <f t="shared" ca="1" si="18"/>
        <v>1421.25</v>
      </c>
      <c r="GH8" s="95">
        <f t="shared" ca="1" si="18"/>
        <v>636</v>
      </c>
      <c r="GI8" s="95">
        <f t="shared" ca="1" si="18"/>
        <v>1414.0000000000002</v>
      </c>
      <c r="GJ8" s="95">
        <f t="shared" ca="1" si="18"/>
        <v>3321.5999999999995</v>
      </c>
      <c r="GK8" s="95">
        <f t="shared" ca="1" si="18"/>
        <v>3291.5999999999995</v>
      </c>
      <c r="GL8" s="95">
        <f t="shared" ca="1" si="18"/>
        <v>0</v>
      </c>
      <c r="GM8" s="95">
        <f t="shared" ca="1" si="18"/>
        <v>0</v>
      </c>
      <c r="GN8" s="95">
        <f t="shared" ca="1" si="18"/>
        <v>0</v>
      </c>
      <c r="GO8" s="95">
        <f t="shared" ca="1" si="18"/>
        <v>0</v>
      </c>
      <c r="GP8" s="95">
        <f t="shared" ca="1" si="18"/>
        <v>0</v>
      </c>
      <c r="GQ8" s="95">
        <f t="shared" ca="1" si="18"/>
        <v>0</v>
      </c>
      <c r="GS8" s="7">
        <v>88.821874999999991</v>
      </c>
      <c r="GT8" s="96">
        <f t="shared" ca="1" si="19"/>
        <v>7103.9735624999994</v>
      </c>
      <c r="GU8" s="96">
        <f t="shared" ca="1" si="19"/>
        <v>7103.9735624999994</v>
      </c>
      <c r="GV8" s="96">
        <f t="shared" ca="1" si="19"/>
        <v>8838.6647812499996</v>
      </c>
      <c r="GW8" s="96">
        <f t="shared" ca="1" si="19"/>
        <v>10573.356</v>
      </c>
      <c r="GX8" s="96">
        <f t="shared" ca="1" si="19"/>
        <v>12390.651562499997</v>
      </c>
      <c r="GY8" s="96">
        <f t="shared" ca="1" si="19"/>
        <v>12390.651562499997</v>
      </c>
      <c r="GZ8" s="96">
        <f t="shared" ca="1" si="19"/>
        <v>12390.651562499997</v>
      </c>
      <c r="HA8" s="96">
        <f t="shared" ca="1" si="19"/>
        <v>19412.020781249998</v>
      </c>
      <c r="HB8" s="96">
        <f t="shared" ca="1" si="19"/>
        <v>44193.323906249992</v>
      </c>
      <c r="HC8" s="96">
        <f t="shared" ca="1" si="19"/>
        <v>44193.323906249992</v>
      </c>
      <c r="HD8" s="96">
        <f t="shared" ca="1" si="20"/>
        <v>44110.719562499995</v>
      </c>
      <c r="HE8" s="96">
        <f t="shared" ca="1" si="20"/>
        <v>44110.719562499995</v>
      </c>
      <c r="HF8" s="96">
        <f t="shared" ca="1" si="19"/>
        <v>8838.6647812499996</v>
      </c>
      <c r="HG8" s="96">
        <f t="shared" ca="1" si="19"/>
        <v>10573.356</v>
      </c>
      <c r="HH8" s="96">
        <f t="shared" ca="1" si="19"/>
        <v>23129.216249999998</v>
      </c>
      <c r="HI8" s="96">
        <f t="shared" ca="1" si="20"/>
        <v>9912.521249999998</v>
      </c>
      <c r="HJ8" s="96">
        <f t="shared" ca="1" si="20"/>
        <v>4130.2171875000004</v>
      </c>
      <c r="HK8" s="96">
        <f t="shared" ca="1" si="20"/>
        <v>4130.2171875000004</v>
      </c>
      <c r="HL8" s="96">
        <f t="shared" ca="1" si="20"/>
        <v>0</v>
      </c>
      <c r="HM8" s="96">
        <f t="shared" ca="1" si="20"/>
        <v>0</v>
      </c>
      <c r="HN8" s="96">
        <f t="shared" ca="1" si="20"/>
        <v>0</v>
      </c>
      <c r="HO8" s="96">
        <f t="shared" ca="1" si="20"/>
        <v>0</v>
      </c>
      <c r="HP8" s="96">
        <f t="shared" ca="1" si="20"/>
        <v>0</v>
      </c>
      <c r="HQ8" s="96">
        <f t="shared" ca="1" si="20"/>
        <v>0</v>
      </c>
      <c r="HS8" s="97">
        <f t="shared" ca="1" si="21"/>
        <v>0</v>
      </c>
    </row>
    <row r="9" spans="1:227" ht="17.25" thickTop="1" thickBot="1" x14ac:dyDescent="0.3">
      <c r="A9" s="16" t="s">
        <v>59</v>
      </c>
      <c r="B9" s="73" t="s">
        <v>334</v>
      </c>
      <c r="C9" s="73" t="s">
        <v>334</v>
      </c>
      <c r="D9" s="74" t="s">
        <v>1</v>
      </c>
      <c r="E9" s="74" t="s">
        <v>330</v>
      </c>
      <c r="F9" s="73"/>
      <c r="G9" s="75">
        <v>87</v>
      </c>
      <c r="H9" s="75">
        <v>60</v>
      </c>
      <c r="I9" s="75">
        <f t="shared" ca="1" si="22"/>
        <v>147</v>
      </c>
      <c r="J9" s="76">
        <f ca="1">[1]Parameters!$C$3+G9</f>
        <v>45918</v>
      </c>
      <c r="K9" s="77">
        <f t="shared" ca="1" si="23"/>
        <v>9</v>
      </c>
      <c r="L9" s="77">
        <f t="shared" ca="1" si="24"/>
        <v>2025</v>
      </c>
      <c r="M9" s="76">
        <f ca="1">[1]Parameters!$C$3+I9</f>
        <v>45978</v>
      </c>
      <c r="N9" s="77">
        <f t="shared" ca="1" si="25"/>
        <v>11</v>
      </c>
      <c r="O9" s="77">
        <f t="shared" ca="1" si="26"/>
        <v>2025</v>
      </c>
      <c r="P9" s="78">
        <v>0.9</v>
      </c>
      <c r="Q9" s="79" t="str">
        <f ca="1">VLOOKUP(A9,[1]ABC!N:T,7,0)</f>
        <v>C</v>
      </c>
      <c r="R9" s="80">
        <f t="shared" ca="1" si="9"/>
        <v>36.942663862778382</v>
      </c>
      <c r="S9" s="81">
        <v>9.5299999999999994</v>
      </c>
      <c r="T9" s="82">
        <f t="shared" ca="1" si="10"/>
        <v>400</v>
      </c>
      <c r="U9" s="83">
        <f ca="1">IF((ROUND(AVERAGE(BI9:BR9)/10,0)*10)&lt;T9,T9,ROUND(AVERAGE(BI9:BR9)/10,0)*10)</f>
        <v>400</v>
      </c>
      <c r="V9" s="80">
        <v>10000</v>
      </c>
      <c r="W9" s="80">
        <f t="shared" ca="1" si="27"/>
        <v>10000</v>
      </c>
      <c r="X9" s="80"/>
      <c r="Y9" s="84">
        <v>1.48</v>
      </c>
      <c r="Z9" s="85">
        <v>3</v>
      </c>
      <c r="AA9" s="85">
        <v>85</v>
      </c>
      <c r="AB9" s="85">
        <v>106</v>
      </c>
      <c r="AC9" s="85">
        <v>37</v>
      </c>
      <c r="AD9" s="85">
        <v>53</v>
      </c>
      <c r="AE9" s="85">
        <v>177</v>
      </c>
      <c r="AF9" s="85">
        <v>287</v>
      </c>
      <c r="AG9" s="85">
        <v>200</v>
      </c>
      <c r="AH9" s="85">
        <v>100</v>
      </c>
      <c r="AI9" s="75">
        <v>8945</v>
      </c>
      <c r="AJ9" s="75">
        <f t="shared" ca="1" si="11"/>
        <v>8881</v>
      </c>
      <c r="AK9" s="75">
        <f t="shared" ca="1" si="11"/>
        <v>8731</v>
      </c>
      <c r="AL9" s="75">
        <f t="shared" ca="1" si="11"/>
        <v>8517</v>
      </c>
      <c r="AM9" s="75">
        <f t="shared" ca="1" si="11"/>
        <v>8196</v>
      </c>
      <c r="AN9" s="75">
        <f t="shared" ca="1" si="11"/>
        <v>7875</v>
      </c>
      <c r="AO9" s="75">
        <f t="shared" ca="1" si="11"/>
        <v>7554</v>
      </c>
      <c r="AP9" s="75">
        <f t="shared" ca="1" si="11"/>
        <v>7126</v>
      </c>
      <c r="AQ9" s="75">
        <f t="shared" ca="1" si="11"/>
        <v>7062</v>
      </c>
      <c r="AR9" s="75">
        <f t="shared" ca="1" si="11"/>
        <v>6998</v>
      </c>
      <c r="AS9" s="75">
        <f t="shared" ca="1" si="11"/>
        <v>6818</v>
      </c>
      <c r="AT9" s="75">
        <f t="shared" ca="1" si="11"/>
        <v>6788</v>
      </c>
      <c r="AU9" s="75">
        <f t="shared" ca="1" si="11"/>
        <v>6738</v>
      </c>
      <c r="AV9" s="75">
        <f t="shared" ca="1" si="11"/>
        <v>6658</v>
      </c>
      <c r="AW9" s="75">
        <f t="shared" ca="1" si="11"/>
        <v>6658</v>
      </c>
      <c r="AX9" s="75">
        <f t="shared" ca="1" si="11"/>
        <v>6658</v>
      </c>
      <c r="AY9" s="75">
        <f t="shared" ca="1" si="11"/>
        <v>6658</v>
      </c>
      <c r="AZ9" s="75">
        <f t="shared" ca="1" si="12"/>
        <v>6658</v>
      </c>
      <c r="BA9" s="75">
        <f t="shared" ca="1" si="12"/>
        <v>6658</v>
      </c>
      <c r="BB9" s="166"/>
      <c r="BC9" s="86">
        <v>3</v>
      </c>
      <c r="BD9" s="86">
        <v>105</v>
      </c>
      <c r="BE9" s="86">
        <v>40</v>
      </c>
      <c r="BF9" s="86">
        <v>40</v>
      </c>
      <c r="BG9" s="86">
        <v>21</v>
      </c>
      <c r="BH9" s="86">
        <v>43</v>
      </c>
      <c r="BI9" s="86">
        <v>64</v>
      </c>
      <c r="BJ9" s="86">
        <v>64</v>
      </c>
      <c r="BK9" s="86">
        <v>64</v>
      </c>
      <c r="BL9" s="86">
        <v>64</v>
      </c>
      <c r="BM9" s="86">
        <v>150</v>
      </c>
      <c r="BN9" s="86">
        <v>214</v>
      </c>
      <c r="BO9" s="86">
        <v>321</v>
      </c>
      <c r="BP9" s="86">
        <v>321</v>
      </c>
      <c r="BQ9" s="86">
        <v>321</v>
      </c>
      <c r="BR9" s="86">
        <v>428</v>
      </c>
      <c r="BS9" s="86">
        <v>64</v>
      </c>
      <c r="BT9" s="86">
        <v>64</v>
      </c>
      <c r="BU9" s="86">
        <v>180</v>
      </c>
      <c r="BV9" s="86">
        <v>30</v>
      </c>
      <c r="BW9" s="86">
        <v>50</v>
      </c>
      <c r="BX9" s="86">
        <v>80</v>
      </c>
      <c r="BY9" s="86">
        <v>0</v>
      </c>
      <c r="BZ9" s="86">
        <v>0</v>
      </c>
      <c r="CA9" s="86">
        <v>0</v>
      </c>
      <c r="CB9" s="86">
        <v>0</v>
      </c>
      <c r="CC9" s="86">
        <v>0</v>
      </c>
      <c r="CD9" s="86">
        <v>0</v>
      </c>
      <c r="CE9" s="86">
        <f t="shared" ca="1" si="28"/>
        <v>133.15245744287606</v>
      </c>
      <c r="CF9" s="87"/>
      <c r="CG9" s="86">
        <v>0</v>
      </c>
      <c r="CH9" s="86">
        <v>0</v>
      </c>
      <c r="CI9" s="86">
        <v>0</v>
      </c>
      <c r="CJ9" s="86">
        <v>0</v>
      </c>
      <c r="CK9" s="86">
        <v>0</v>
      </c>
      <c r="CL9" s="86">
        <v>0</v>
      </c>
      <c r="CM9" s="86">
        <v>0</v>
      </c>
      <c r="CN9" s="86">
        <v>0</v>
      </c>
      <c r="CO9" s="86">
        <v>0</v>
      </c>
      <c r="CP9" s="86">
        <v>0</v>
      </c>
      <c r="CQ9" s="86">
        <v>0</v>
      </c>
      <c r="CR9" s="86"/>
      <c r="CS9" s="89">
        <v>0</v>
      </c>
      <c r="CT9" s="86">
        <v>0</v>
      </c>
      <c r="CU9" s="90">
        <v>0</v>
      </c>
      <c r="CV9" s="90">
        <v>0</v>
      </c>
      <c r="CW9" s="90">
        <v>0</v>
      </c>
      <c r="CX9" s="90">
        <v>0</v>
      </c>
      <c r="CY9" s="90">
        <v>0</v>
      </c>
      <c r="CZ9" s="90">
        <v>0</v>
      </c>
      <c r="DA9" s="90">
        <v>0</v>
      </c>
      <c r="DB9" s="90">
        <v>0</v>
      </c>
      <c r="DC9" s="90">
        <v>0</v>
      </c>
      <c r="DD9" s="90">
        <v>0</v>
      </c>
      <c r="DE9" s="90">
        <v>0</v>
      </c>
      <c r="DF9" s="90">
        <v>0</v>
      </c>
      <c r="DG9" s="86">
        <v>0</v>
      </c>
      <c r="DI9" s="91">
        <f ca="1">VLOOKUP(A9,'[2]2-Relatório'!$A:$J,9,0)</f>
        <v>12.16</v>
      </c>
      <c r="DJ9" s="92">
        <f t="shared" ca="1" si="29"/>
        <v>1288.96</v>
      </c>
      <c r="DK9" s="92">
        <f t="shared" ca="1" si="29"/>
        <v>449.92</v>
      </c>
      <c r="DL9" s="92">
        <f t="shared" ca="1" si="29"/>
        <v>644.48</v>
      </c>
      <c r="DM9" s="92">
        <f t="shared" ca="1" si="29"/>
        <v>2152.3200000000002</v>
      </c>
      <c r="DN9" s="92">
        <f t="shared" ca="1" si="29"/>
        <v>3489.92</v>
      </c>
      <c r="DO9" s="92">
        <f t="shared" ca="1" si="13"/>
        <v>2432</v>
      </c>
      <c r="DP9" s="92">
        <f t="shared" ca="1" si="13"/>
        <v>1216</v>
      </c>
      <c r="DQ9" s="92">
        <f t="shared" ca="1" si="13"/>
        <v>108771.2</v>
      </c>
      <c r="DR9" s="92">
        <f t="shared" ca="1" si="13"/>
        <v>107992.96000000001</v>
      </c>
      <c r="DS9" s="92">
        <f t="shared" ca="1" si="13"/>
        <v>106168.96000000001</v>
      </c>
      <c r="DT9" s="92">
        <f t="shared" ca="1" si="13"/>
        <v>103566.72</v>
      </c>
      <c r="DU9" s="92">
        <f t="shared" ca="1" si="13"/>
        <v>99663.360000000001</v>
      </c>
      <c r="DV9" s="92">
        <f t="shared" ca="1" si="13"/>
        <v>95760</v>
      </c>
      <c r="DW9" s="92">
        <f t="shared" ca="1" si="13"/>
        <v>91856.639999999999</v>
      </c>
      <c r="DX9" s="92">
        <f t="shared" ca="1" si="13"/>
        <v>86652.160000000003</v>
      </c>
      <c r="DY9" s="92">
        <f t="shared" ca="1" si="13"/>
        <v>85873.919999999998</v>
      </c>
      <c r="DZ9" s="92">
        <f t="shared" ca="1" si="13"/>
        <v>85095.680000000008</v>
      </c>
      <c r="EA9" s="92">
        <f t="shared" ca="1" si="13"/>
        <v>82906.880000000005</v>
      </c>
      <c r="EB9" s="92">
        <f t="shared" ca="1" si="13"/>
        <v>82542.080000000002</v>
      </c>
      <c r="EC9" s="92">
        <f t="shared" ca="1" si="13"/>
        <v>81934.080000000002</v>
      </c>
      <c r="ED9" s="92">
        <f t="shared" ca="1" si="13"/>
        <v>80961.279999999999</v>
      </c>
      <c r="EE9" s="92">
        <f t="shared" ca="1" si="13"/>
        <v>80961.279999999999</v>
      </c>
      <c r="EF9" s="92">
        <f t="shared" ca="1" si="13"/>
        <v>80961.279999999999</v>
      </c>
      <c r="EG9" s="92">
        <f t="shared" ca="1" si="13"/>
        <v>80961.279999999999</v>
      </c>
      <c r="EH9" s="92">
        <f t="shared" ca="1" si="13"/>
        <v>80961.279999999999</v>
      </c>
      <c r="EI9" s="92">
        <f t="shared" ca="1" si="13"/>
        <v>80961.279999999999</v>
      </c>
      <c r="EL9" s="93">
        <f t="shared" ca="1" si="14"/>
        <v>28.589999999999996</v>
      </c>
      <c r="EM9" s="93">
        <f t="shared" ca="1" si="14"/>
        <v>1000.65</v>
      </c>
      <c r="EN9" s="92">
        <f t="shared" ca="1" si="30"/>
        <v>486.4</v>
      </c>
      <c r="EO9" s="92">
        <f t="shared" ca="1" si="30"/>
        <v>486.4</v>
      </c>
      <c r="EP9" s="92">
        <f t="shared" ca="1" si="30"/>
        <v>255.36</v>
      </c>
      <c r="EQ9" s="92">
        <f t="shared" ca="1" si="30"/>
        <v>522.88</v>
      </c>
      <c r="ER9" s="92">
        <f t="shared" ca="1" si="30"/>
        <v>778.24</v>
      </c>
      <c r="ES9" s="92">
        <f t="shared" ca="1" si="15"/>
        <v>778.24</v>
      </c>
      <c r="ET9" s="92">
        <f t="shared" ca="1" si="15"/>
        <v>778.24</v>
      </c>
      <c r="EU9" s="92">
        <f t="shared" ca="1" si="15"/>
        <v>778.24</v>
      </c>
      <c r="EV9" s="92">
        <f t="shared" ca="1" si="15"/>
        <v>1824</v>
      </c>
      <c r="EW9" s="92">
        <f t="shared" ca="1" si="15"/>
        <v>2602.2400000000002</v>
      </c>
      <c r="EX9" s="92">
        <f t="shared" ca="1" si="15"/>
        <v>3903.36</v>
      </c>
      <c r="EY9" s="92">
        <f t="shared" ca="1" si="15"/>
        <v>3903.36</v>
      </c>
      <c r="EZ9" s="92">
        <f t="shared" ca="1" si="15"/>
        <v>3903.36</v>
      </c>
      <c r="FA9" s="92">
        <f t="shared" ca="1" si="15"/>
        <v>5204.4800000000005</v>
      </c>
      <c r="FB9" s="92">
        <f t="shared" ca="1" si="15"/>
        <v>778.24</v>
      </c>
      <c r="FC9" s="92">
        <f t="shared" ca="1" si="15"/>
        <v>778.24</v>
      </c>
      <c r="FD9" s="92">
        <f t="shared" ca="1" si="15"/>
        <v>2188.8000000000002</v>
      </c>
      <c r="FE9" s="92">
        <f t="shared" ca="1" si="15"/>
        <v>364.8</v>
      </c>
      <c r="FF9" s="92">
        <f t="shared" ca="1" si="15"/>
        <v>608</v>
      </c>
      <c r="FG9" s="92">
        <f t="shared" ca="1" si="15"/>
        <v>972.8</v>
      </c>
      <c r="FH9" s="92">
        <f t="shared" ca="1" si="15"/>
        <v>0</v>
      </c>
      <c r="FI9" s="92">
        <f t="shared" ca="1" si="16"/>
        <v>0</v>
      </c>
      <c r="FJ9" s="92">
        <f t="shared" ca="1" si="16"/>
        <v>0</v>
      </c>
      <c r="FK9" s="92">
        <f t="shared" ca="1" si="16"/>
        <v>0</v>
      </c>
      <c r="FL9" s="92">
        <f t="shared" ca="1" si="16"/>
        <v>0</v>
      </c>
      <c r="FM9" s="92">
        <f t="shared" ca="1" si="16"/>
        <v>0</v>
      </c>
      <c r="FN9" s="94">
        <f t="shared" ca="1" si="31"/>
        <v>0</v>
      </c>
      <c r="FO9" s="94">
        <f t="shared" ca="1" si="32"/>
        <v>0</v>
      </c>
      <c r="FP9" s="95">
        <f t="shared" ca="1" si="17"/>
        <v>30</v>
      </c>
      <c r="FQ9" s="95">
        <f t="shared" ca="1" si="17"/>
        <v>24.285714285714285</v>
      </c>
      <c r="FR9" s="95">
        <f t="shared" ca="1" si="18"/>
        <v>79.500000000000014</v>
      </c>
      <c r="FS9" s="95">
        <f t="shared" ca="1" si="18"/>
        <v>27.75</v>
      </c>
      <c r="FT9" s="95">
        <f t="shared" ca="1" si="18"/>
        <v>75.714285714285708</v>
      </c>
      <c r="FU9" s="95">
        <f t="shared" ca="1" si="18"/>
        <v>123.48837209302326</v>
      </c>
      <c r="FV9" s="95">
        <f t="shared" ca="1" si="18"/>
        <v>134.53125</v>
      </c>
      <c r="FW9" s="95">
        <f t="shared" ca="1" si="18"/>
        <v>93.75</v>
      </c>
      <c r="FX9" s="95">
        <f t="shared" ca="1" si="18"/>
        <v>46.875</v>
      </c>
      <c r="FY9" s="95">
        <f t="shared" ca="1" si="18"/>
        <v>4192.96875</v>
      </c>
      <c r="FZ9" s="95">
        <f t="shared" ca="1" si="18"/>
        <v>1776.2</v>
      </c>
      <c r="GA9" s="95">
        <f t="shared" ca="1" si="18"/>
        <v>1223.9719626168223</v>
      </c>
      <c r="GB9" s="95">
        <f t="shared" ca="1" si="18"/>
        <v>795.98130841121497</v>
      </c>
      <c r="GC9" s="95">
        <f t="shared" ca="1" si="18"/>
        <v>765.98130841121497</v>
      </c>
      <c r="GD9" s="95">
        <f t="shared" ca="1" si="18"/>
        <v>735.98130841121497</v>
      </c>
      <c r="GE9" s="95">
        <f t="shared" ca="1" si="18"/>
        <v>529.48598130841117</v>
      </c>
      <c r="GF9" s="95">
        <f t="shared" ca="1" si="18"/>
        <v>3340.3125</v>
      </c>
      <c r="GG9" s="95">
        <f t="shared" ca="1" si="18"/>
        <v>3310.3125</v>
      </c>
      <c r="GH9" s="95">
        <f t="shared" ca="1" si="18"/>
        <v>1166.3333333333335</v>
      </c>
      <c r="GI9" s="95">
        <f t="shared" ca="1" si="18"/>
        <v>6818</v>
      </c>
      <c r="GJ9" s="95">
        <f t="shared" ca="1" si="18"/>
        <v>4072.7999999999997</v>
      </c>
      <c r="GK9" s="95">
        <f t="shared" ca="1" si="18"/>
        <v>2526.7500000000005</v>
      </c>
      <c r="GL9" s="95">
        <f t="shared" ca="1" si="18"/>
        <v>0</v>
      </c>
      <c r="GM9" s="95">
        <f t="shared" ca="1" si="18"/>
        <v>0</v>
      </c>
      <c r="GN9" s="95">
        <f t="shared" ca="1" si="18"/>
        <v>0</v>
      </c>
      <c r="GO9" s="95">
        <f t="shared" ca="1" si="18"/>
        <v>0</v>
      </c>
      <c r="GP9" s="95">
        <f t="shared" ca="1" si="18"/>
        <v>0</v>
      </c>
      <c r="GQ9" s="95">
        <f t="shared" ca="1" si="18"/>
        <v>0</v>
      </c>
      <c r="GS9" s="7">
        <v>78.111794870000011</v>
      </c>
      <c r="GT9" s="96">
        <f t="shared" ca="1" si="19"/>
        <v>1525.5233538111002</v>
      </c>
      <c r="GU9" s="96">
        <f t="shared" ca="1" si="19"/>
        <v>3123.6906768513004</v>
      </c>
      <c r="GV9" s="96">
        <f t="shared" ca="1" si="19"/>
        <v>4649.2140306624005</v>
      </c>
      <c r="GW9" s="96">
        <f t="shared" ca="1" si="19"/>
        <v>4649.2140306624005</v>
      </c>
      <c r="GX9" s="96">
        <f t="shared" ca="1" si="19"/>
        <v>4649.2140306624005</v>
      </c>
      <c r="GY9" s="96">
        <f t="shared" ca="1" si="19"/>
        <v>4649.2140306624005</v>
      </c>
      <c r="GZ9" s="96">
        <f t="shared" ca="1" si="19"/>
        <v>10896.595384365002</v>
      </c>
      <c r="HA9" s="96">
        <f t="shared" ca="1" si="19"/>
        <v>15545.809415027401</v>
      </c>
      <c r="HB9" s="96">
        <f t="shared" ca="1" si="19"/>
        <v>23318.714122541103</v>
      </c>
      <c r="HC9" s="96">
        <f t="shared" ca="1" si="19"/>
        <v>23318.714122541103</v>
      </c>
      <c r="HD9" s="96">
        <f t="shared" ca="1" si="20"/>
        <v>23318.714122541103</v>
      </c>
      <c r="HE9" s="96">
        <f t="shared" ca="1" si="20"/>
        <v>31091.618830054802</v>
      </c>
      <c r="HF9" s="96">
        <f t="shared" ca="1" si="19"/>
        <v>4649.2140306624005</v>
      </c>
      <c r="HG9" s="96">
        <f t="shared" ca="1" si="19"/>
        <v>4649.2140306624005</v>
      </c>
      <c r="HH9" s="96">
        <f t="shared" ca="1" si="19"/>
        <v>13075.914461238002</v>
      </c>
      <c r="HI9" s="96">
        <f t="shared" ca="1" si="20"/>
        <v>2179.3190768730001</v>
      </c>
      <c r="HJ9" s="96">
        <f t="shared" ca="1" si="20"/>
        <v>3632.1984614550006</v>
      </c>
      <c r="HK9" s="96">
        <f t="shared" ca="1" si="20"/>
        <v>5811.5175383280011</v>
      </c>
      <c r="HL9" s="96">
        <f t="shared" ca="1" si="20"/>
        <v>0</v>
      </c>
      <c r="HM9" s="96">
        <f t="shared" ca="1" si="20"/>
        <v>0</v>
      </c>
      <c r="HN9" s="96">
        <f t="shared" ca="1" si="20"/>
        <v>0</v>
      </c>
      <c r="HO9" s="96">
        <f t="shared" ca="1" si="20"/>
        <v>0</v>
      </c>
      <c r="HP9" s="96">
        <f t="shared" ca="1" si="20"/>
        <v>0</v>
      </c>
      <c r="HQ9" s="96">
        <f t="shared" ca="1" si="20"/>
        <v>0</v>
      </c>
      <c r="HS9" s="97">
        <f t="shared" ca="1" si="21"/>
        <v>4139.9251281100005</v>
      </c>
    </row>
    <row r="10" spans="1:227" ht="17.25" thickTop="1" thickBot="1" x14ac:dyDescent="0.3">
      <c r="A10" s="16" t="s">
        <v>33</v>
      </c>
      <c r="B10" s="73" t="s">
        <v>335</v>
      </c>
      <c r="C10" s="73" t="s">
        <v>336</v>
      </c>
      <c r="D10" s="74" t="s">
        <v>1</v>
      </c>
      <c r="E10" s="74" t="s">
        <v>330</v>
      </c>
      <c r="F10" s="98" t="s">
        <v>337</v>
      </c>
      <c r="G10" s="75">
        <v>87</v>
      </c>
      <c r="H10" s="75">
        <v>60</v>
      </c>
      <c r="I10" s="75">
        <f t="shared" ca="1" si="22"/>
        <v>147</v>
      </c>
      <c r="J10" s="76">
        <f ca="1">[1]Parameters!$C$3+G10</f>
        <v>45918</v>
      </c>
      <c r="K10" s="77">
        <f t="shared" ca="1" si="23"/>
        <v>9</v>
      </c>
      <c r="L10" s="77">
        <f t="shared" ca="1" si="24"/>
        <v>2025</v>
      </c>
      <c r="M10" s="76">
        <f ca="1">[1]Parameters!$C$3+I10</f>
        <v>45978</v>
      </c>
      <c r="N10" s="77">
        <f t="shared" ca="1" si="25"/>
        <v>11</v>
      </c>
      <c r="O10" s="77">
        <f t="shared" ca="1" si="26"/>
        <v>2025</v>
      </c>
      <c r="P10" s="78">
        <v>0.9</v>
      </c>
      <c r="Q10" s="79" t="str">
        <f ca="1">VLOOKUP(A10,[1]ABC!N:T,7,0)</f>
        <v>C</v>
      </c>
      <c r="R10" s="80">
        <f t="shared" ca="1" si="9"/>
        <v>16.19647736766952</v>
      </c>
      <c r="S10" s="81">
        <v>2.91</v>
      </c>
      <c r="T10" s="82">
        <f t="shared" ca="1" si="10"/>
        <v>6500</v>
      </c>
      <c r="U10" s="83">
        <f ca="1">IF((ROUND(AVERAGE(BI10:BR10)/10,0)*10)&lt;T10,T10,ROUND(AVERAGE(BI10:BR10)/10,0)*10)</f>
        <v>6770</v>
      </c>
      <c r="V10" s="80">
        <v>10000</v>
      </c>
      <c r="W10" s="80">
        <f t="shared" ca="1" si="27"/>
        <v>10000</v>
      </c>
      <c r="X10" s="80"/>
      <c r="Y10" s="84">
        <v>0.34</v>
      </c>
      <c r="Z10" s="85">
        <v>440</v>
      </c>
      <c r="AA10" s="85">
        <v>3282</v>
      </c>
      <c r="AB10" s="85">
        <v>7926</v>
      </c>
      <c r="AC10" s="85">
        <v>1915</v>
      </c>
      <c r="AD10" s="85">
        <v>2985</v>
      </c>
      <c r="AE10" s="85">
        <v>3710</v>
      </c>
      <c r="AF10" s="85">
        <v>5836</v>
      </c>
      <c r="AG10" s="85">
        <v>1028</v>
      </c>
      <c r="AH10" s="85">
        <v>1141</v>
      </c>
      <c r="AI10" s="75">
        <v>47780</v>
      </c>
      <c r="AJ10" s="75">
        <f t="shared" ca="1" si="11"/>
        <v>59780</v>
      </c>
      <c r="AK10" s="75">
        <f t="shared" ca="1" si="11"/>
        <v>52580</v>
      </c>
      <c r="AL10" s="75">
        <f t="shared" ca="1" si="11"/>
        <v>45380</v>
      </c>
      <c r="AM10" s="75">
        <f t="shared" ca="1" si="11"/>
        <v>38180</v>
      </c>
      <c r="AN10" s="75">
        <f t="shared" ca="1" si="11"/>
        <v>30980</v>
      </c>
      <c r="AO10" s="75">
        <f t="shared" ca="1" si="11"/>
        <v>33380</v>
      </c>
      <c r="AP10" s="75">
        <f t="shared" ca="1" si="11"/>
        <v>25780</v>
      </c>
      <c r="AQ10" s="75">
        <f t="shared" ca="1" si="11"/>
        <v>22780</v>
      </c>
      <c r="AR10" s="75">
        <f t="shared" ca="1" si="11"/>
        <v>19780</v>
      </c>
      <c r="AS10" s="75">
        <f t="shared" ca="1" si="11"/>
        <v>16780</v>
      </c>
      <c r="AT10" s="75">
        <f t="shared" ca="1" si="11"/>
        <v>13780</v>
      </c>
      <c r="AU10" s="75">
        <f t="shared" ca="1" si="11"/>
        <v>10780</v>
      </c>
      <c r="AV10" s="75">
        <f t="shared" ca="1" si="11"/>
        <v>7780</v>
      </c>
      <c r="AW10" s="75">
        <f t="shared" ca="1" si="11"/>
        <v>7780</v>
      </c>
      <c r="AX10" s="75">
        <f t="shared" ca="1" si="11"/>
        <v>7780</v>
      </c>
      <c r="AY10" s="75">
        <f t="shared" ca="1" si="11"/>
        <v>7780</v>
      </c>
      <c r="AZ10" s="75">
        <f t="shared" ca="1" si="12"/>
        <v>7780</v>
      </c>
      <c r="BA10" s="75">
        <f t="shared" ca="1" si="12"/>
        <v>7780</v>
      </c>
      <c r="BB10" s="166"/>
      <c r="BC10" s="86">
        <v>440</v>
      </c>
      <c r="BD10" s="86">
        <v>3194</v>
      </c>
      <c r="BE10" s="86">
        <v>7600</v>
      </c>
      <c r="BF10" s="86">
        <v>7600</v>
      </c>
      <c r="BG10" s="86">
        <v>2400</v>
      </c>
      <c r="BH10" s="86">
        <v>2800</v>
      </c>
      <c r="BI10" s="86">
        <v>6000</v>
      </c>
      <c r="BJ10" s="86">
        <v>1600</v>
      </c>
      <c r="BK10" s="86">
        <v>8072</v>
      </c>
      <c r="BL10" s="86">
        <v>8000</v>
      </c>
      <c r="BM10" s="86">
        <v>7200</v>
      </c>
      <c r="BN10" s="86">
        <v>7200</v>
      </c>
      <c r="BO10" s="86">
        <v>7200</v>
      </c>
      <c r="BP10" s="86">
        <v>7200</v>
      </c>
      <c r="BQ10" s="86">
        <v>7600</v>
      </c>
      <c r="BR10" s="86">
        <v>7600</v>
      </c>
      <c r="BS10" s="86">
        <v>3000</v>
      </c>
      <c r="BT10" s="86">
        <v>3000</v>
      </c>
      <c r="BU10" s="86">
        <v>3000</v>
      </c>
      <c r="BV10" s="86">
        <v>3000</v>
      </c>
      <c r="BW10" s="86">
        <v>3000</v>
      </c>
      <c r="BX10" s="86">
        <v>3000</v>
      </c>
      <c r="BY10" s="86">
        <v>0</v>
      </c>
      <c r="BZ10" s="86">
        <v>0</v>
      </c>
      <c r="CA10" s="86">
        <v>0</v>
      </c>
      <c r="CB10" s="86">
        <v>0</v>
      </c>
      <c r="CC10" s="86">
        <v>0</v>
      </c>
      <c r="CD10" s="86">
        <v>0</v>
      </c>
      <c r="CE10" s="86">
        <f t="shared" ca="1" si="28"/>
        <v>2308.6237436497941</v>
      </c>
      <c r="CF10" s="87"/>
      <c r="CG10" s="86">
        <v>0</v>
      </c>
      <c r="CH10" s="86">
        <v>0</v>
      </c>
      <c r="CI10" s="86">
        <v>0</v>
      </c>
      <c r="CJ10" s="86">
        <v>0</v>
      </c>
      <c r="CK10" s="86">
        <v>0</v>
      </c>
      <c r="CL10" s="86">
        <v>0</v>
      </c>
      <c r="CM10" s="86">
        <v>0</v>
      </c>
      <c r="CN10" s="86">
        <v>0</v>
      </c>
      <c r="CO10" s="86">
        <v>20000</v>
      </c>
      <c r="CP10" s="89">
        <v>0</v>
      </c>
      <c r="CQ10" s="89">
        <v>0</v>
      </c>
      <c r="CR10" s="86"/>
      <c r="CS10" s="89">
        <v>0</v>
      </c>
      <c r="CT10" s="86">
        <v>10000</v>
      </c>
      <c r="CU10" s="90">
        <v>0</v>
      </c>
      <c r="CV10" s="90">
        <v>0</v>
      </c>
      <c r="CW10" s="90">
        <v>0</v>
      </c>
      <c r="CX10" s="90">
        <v>0</v>
      </c>
      <c r="CY10" s="90">
        <v>0</v>
      </c>
      <c r="CZ10" s="90">
        <v>0</v>
      </c>
      <c r="DA10" s="90">
        <v>0</v>
      </c>
      <c r="DB10" s="90">
        <v>0</v>
      </c>
      <c r="DC10" s="90">
        <v>0</v>
      </c>
      <c r="DD10" s="90">
        <v>0</v>
      </c>
      <c r="DE10" s="90">
        <v>0</v>
      </c>
      <c r="DF10" s="90">
        <v>0</v>
      </c>
      <c r="DG10" s="86">
        <v>0</v>
      </c>
      <c r="DI10" s="91">
        <f ca="1">VLOOKUP(A10,'[2]2-Relatório'!$A:$J,9,0)</f>
        <v>2.88</v>
      </c>
      <c r="DJ10" s="92">
        <f t="shared" ca="1" si="29"/>
        <v>22826.879999999997</v>
      </c>
      <c r="DK10" s="92">
        <f t="shared" ca="1" si="29"/>
        <v>5515.2</v>
      </c>
      <c r="DL10" s="92">
        <f t="shared" ca="1" si="29"/>
        <v>8596.7999999999993</v>
      </c>
      <c r="DM10" s="92">
        <f t="shared" ca="1" si="29"/>
        <v>10684.8</v>
      </c>
      <c r="DN10" s="92">
        <f t="shared" ca="1" si="29"/>
        <v>16807.68</v>
      </c>
      <c r="DO10" s="92">
        <f t="shared" ca="1" si="13"/>
        <v>2960.64</v>
      </c>
      <c r="DP10" s="92">
        <f t="shared" ca="1" si="13"/>
        <v>3286.08</v>
      </c>
      <c r="DQ10" s="92">
        <f t="shared" ca="1" si="13"/>
        <v>137606.39999999999</v>
      </c>
      <c r="DR10" s="92">
        <f t="shared" ca="1" si="13"/>
        <v>172166.39999999999</v>
      </c>
      <c r="DS10" s="92">
        <f t="shared" ca="1" si="13"/>
        <v>151430.39999999999</v>
      </c>
      <c r="DT10" s="92">
        <f t="shared" ca="1" si="13"/>
        <v>130694.39999999999</v>
      </c>
      <c r="DU10" s="92">
        <f t="shared" ca="1" si="13"/>
        <v>109958.39999999999</v>
      </c>
      <c r="DV10" s="92">
        <f t="shared" ca="1" si="13"/>
        <v>89222.399999999994</v>
      </c>
      <c r="DW10" s="92">
        <f t="shared" ca="1" si="13"/>
        <v>96134.399999999994</v>
      </c>
      <c r="DX10" s="92">
        <f t="shared" ca="1" si="13"/>
        <v>74246.399999999994</v>
      </c>
      <c r="DY10" s="92">
        <f t="shared" ca="1" si="13"/>
        <v>65606.399999999994</v>
      </c>
      <c r="DZ10" s="92">
        <f t="shared" ca="1" si="13"/>
        <v>56966.400000000001</v>
      </c>
      <c r="EA10" s="92">
        <f t="shared" ca="1" si="13"/>
        <v>48326.400000000001</v>
      </c>
      <c r="EB10" s="92">
        <f t="shared" ca="1" si="13"/>
        <v>39686.400000000001</v>
      </c>
      <c r="EC10" s="92">
        <f t="shared" ca="1" si="13"/>
        <v>31046.399999999998</v>
      </c>
      <c r="ED10" s="92">
        <f t="shared" ca="1" si="13"/>
        <v>22406.399999999998</v>
      </c>
      <c r="EE10" s="92">
        <f t="shared" ca="1" si="13"/>
        <v>22406.399999999998</v>
      </c>
      <c r="EF10" s="92">
        <f t="shared" ca="1" si="13"/>
        <v>22406.399999999998</v>
      </c>
      <c r="EG10" s="92">
        <f t="shared" ca="1" si="13"/>
        <v>22406.399999999998</v>
      </c>
      <c r="EH10" s="92">
        <f t="shared" ca="1" si="13"/>
        <v>22406.399999999998</v>
      </c>
      <c r="EI10" s="92">
        <f t="shared" ca="1" si="13"/>
        <v>22406.399999999998</v>
      </c>
      <c r="EL10" s="93">
        <f t="shared" ca="1" si="14"/>
        <v>1280.4000000000001</v>
      </c>
      <c r="EM10" s="93">
        <f t="shared" ca="1" si="14"/>
        <v>9294.5400000000009</v>
      </c>
      <c r="EN10" s="92">
        <f t="shared" ca="1" si="30"/>
        <v>21888</v>
      </c>
      <c r="EO10" s="92">
        <f t="shared" ca="1" si="30"/>
        <v>21888</v>
      </c>
      <c r="EP10" s="92">
        <f t="shared" ca="1" si="30"/>
        <v>6912</v>
      </c>
      <c r="EQ10" s="92">
        <f t="shared" ca="1" si="30"/>
        <v>8064</v>
      </c>
      <c r="ER10" s="92">
        <f t="shared" ca="1" si="30"/>
        <v>17280</v>
      </c>
      <c r="ES10" s="92">
        <f t="shared" ca="1" si="15"/>
        <v>4608</v>
      </c>
      <c r="ET10" s="92">
        <f t="shared" ca="1" si="15"/>
        <v>23247.360000000001</v>
      </c>
      <c r="EU10" s="92">
        <f t="shared" ca="1" si="15"/>
        <v>23040</v>
      </c>
      <c r="EV10" s="92">
        <f t="shared" ca="1" si="15"/>
        <v>20736</v>
      </c>
      <c r="EW10" s="92">
        <f t="shared" ca="1" si="15"/>
        <v>20736</v>
      </c>
      <c r="EX10" s="92">
        <f t="shared" ca="1" si="15"/>
        <v>20736</v>
      </c>
      <c r="EY10" s="92">
        <f t="shared" ca="1" si="15"/>
        <v>20736</v>
      </c>
      <c r="EZ10" s="92">
        <f t="shared" ca="1" si="15"/>
        <v>21888</v>
      </c>
      <c r="FA10" s="92">
        <f t="shared" ca="1" si="15"/>
        <v>21888</v>
      </c>
      <c r="FB10" s="92">
        <f t="shared" ca="1" si="15"/>
        <v>8640</v>
      </c>
      <c r="FC10" s="92">
        <f t="shared" ca="1" si="15"/>
        <v>8640</v>
      </c>
      <c r="FD10" s="92">
        <f t="shared" ca="1" si="15"/>
        <v>8640</v>
      </c>
      <c r="FE10" s="92">
        <f t="shared" ca="1" si="15"/>
        <v>8640</v>
      </c>
      <c r="FF10" s="92">
        <f t="shared" ca="1" si="15"/>
        <v>8640</v>
      </c>
      <c r="FG10" s="92">
        <f t="shared" ca="1" si="15"/>
        <v>8640</v>
      </c>
      <c r="FH10" s="92">
        <f t="shared" ca="1" si="15"/>
        <v>0</v>
      </c>
      <c r="FI10" s="92">
        <f t="shared" ca="1" si="16"/>
        <v>0</v>
      </c>
      <c r="FJ10" s="92">
        <f t="shared" ca="1" si="16"/>
        <v>0</v>
      </c>
      <c r="FK10" s="92">
        <f t="shared" ca="1" si="16"/>
        <v>0</v>
      </c>
      <c r="FL10" s="92">
        <f t="shared" ca="1" si="16"/>
        <v>0</v>
      </c>
      <c r="FM10" s="92">
        <f t="shared" ca="1" si="16"/>
        <v>0</v>
      </c>
      <c r="FN10" s="94">
        <f t="shared" ca="1" si="31"/>
        <v>30000</v>
      </c>
      <c r="FO10" s="94">
        <f t="shared" ca="1" si="32"/>
        <v>0</v>
      </c>
      <c r="FP10" s="95">
        <f t="shared" ca="1" si="17"/>
        <v>30</v>
      </c>
      <c r="FQ10" s="95">
        <f t="shared" ca="1" si="17"/>
        <v>30.826549780839077</v>
      </c>
      <c r="FR10" s="95">
        <f t="shared" ca="1" si="18"/>
        <v>31.286842105263155</v>
      </c>
      <c r="FS10" s="95">
        <f t="shared" ca="1" si="18"/>
        <v>7.5592105263157885</v>
      </c>
      <c r="FT10" s="95">
        <f t="shared" ca="1" si="18"/>
        <v>37.3125</v>
      </c>
      <c r="FU10" s="95">
        <f t="shared" ca="1" si="18"/>
        <v>39.75</v>
      </c>
      <c r="FV10" s="95">
        <f t="shared" ca="1" si="18"/>
        <v>29.18</v>
      </c>
      <c r="FW10" s="95">
        <f t="shared" ca="1" si="18"/>
        <v>19.274999999999999</v>
      </c>
      <c r="FX10" s="95">
        <f t="shared" ca="1" si="18"/>
        <v>4.2405847373637258</v>
      </c>
      <c r="FY10" s="95">
        <f t="shared" ca="1" si="18"/>
        <v>179.17500000000001</v>
      </c>
      <c r="FZ10" s="95">
        <f t="shared" ca="1" si="18"/>
        <v>249.08333333333331</v>
      </c>
      <c r="GA10" s="95">
        <f t="shared" ca="1" si="18"/>
        <v>219.08333333333331</v>
      </c>
      <c r="GB10" s="95">
        <f t="shared" ca="1" si="18"/>
        <v>189.08333333333331</v>
      </c>
      <c r="GC10" s="95">
        <f t="shared" ca="1" si="18"/>
        <v>159.08333333333331</v>
      </c>
      <c r="GD10" s="95">
        <f t="shared" ca="1" si="18"/>
        <v>122.28947368421052</v>
      </c>
      <c r="GE10" s="95">
        <f t="shared" ca="1" si="18"/>
        <v>131.76315789473682</v>
      </c>
      <c r="GF10" s="95">
        <f t="shared" ca="1" si="18"/>
        <v>257.79999999999995</v>
      </c>
      <c r="GG10" s="95">
        <f t="shared" ca="1" si="18"/>
        <v>227.79999999999998</v>
      </c>
      <c r="GH10" s="95">
        <f t="shared" ca="1" si="18"/>
        <v>197.8</v>
      </c>
      <c r="GI10" s="95">
        <f t="shared" ca="1" si="18"/>
        <v>167.8</v>
      </c>
      <c r="GJ10" s="95">
        <f t="shared" ca="1" si="18"/>
        <v>137.80000000000001</v>
      </c>
      <c r="GK10" s="95">
        <f t="shared" ca="1" si="18"/>
        <v>107.8</v>
      </c>
      <c r="GL10" s="95">
        <f t="shared" ca="1" si="18"/>
        <v>0</v>
      </c>
      <c r="GM10" s="95">
        <f t="shared" ca="1" si="18"/>
        <v>0</v>
      </c>
      <c r="GN10" s="95">
        <f t="shared" ca="1" si="18"/>
        <v>0</v>
      </c>
      <c r="GO10" s="95">
        <f t="shared" ca="1" si="18"/>
        <v>0</v>
      </c>
      <c r="GP10" s="95">
        <f t="shared" ca="1" si="18"/>
        <v>0</v>
      </c>
      <c r="GQ10" s="95">
        <f t="shared" ca="1" si="18"/>
        <v>0</v>
      </c>
      <c r="GS10" s="7">
        <v>2.0532054799999995</v>
      </c>
      <c r="GT10" s="96">
        <f ca="1">$GS10*BG10</f>
        <v>4927.6931519999989</v>
      </c>
      <c r="GU10" s="96">
        <f t="shared" ref="GU10:HH10" ca="1" si="33">$GS10*BH10</f>
        <v>5748.9753439999986</v>
      </c>
      <c r="GV10" s="96">
        <f t="shared" ca="1" si="33"/>
        <v>12319.232879999996</v>
      </c>
      <c r="GW10" s="96">
        <f t="shared" ca="1" si="33"/>
        <v>3285.1287679999991</v>
      </c>
      <c r="GX10" s="96">
        <f t="shared" ca="1" si="33"/>
        <v>16573.474634559996</v>
      </c>
      <c r="GY10" s="96">
        <f t="shared" ca="1" si="33"/>
        <v>16425.643839999997</v>
      </c>
      <c r="GZ10" s="96">
        <f t="shared" ca="1" si="33"/>
        <v>14783.079455999996</v>
      </c>
      <c r="HA10" s="96">
        <f t="shared" ca="1" si="33"/>
        <v>14783.079455999996</v>
      </c>
      <c r="HB10" s="96">
        <f t="shared" ca="1" si="33"/>
        <v>14783.079455999996</v>
      </c>
      <c r="HC10" s="96">
        <f t="shared" ca="1" si="33"/>
        <v>14783.079455999996</v>
      </c>
      <c r="HD10" s="96">
        <f t="shared" ca="1" si="33"/>
        <v>15604.361647999996</v>
      </c>
      <c r="HE10" s="96">
        <f t="shared" ca="1" si="33"/>
        <v>15604.361647999996</v>
      </c>
      <c r="HF10" s="96">
        <f t="shared" ca="1" si="33"/>
        <v>6159.616439999998</v>
      </c>
      <c r="HG10" s="96">
        <f t="shared" ca="1" si="33"/>
        <v>6159.616439999998</v>
      </c>
      <c r="HH10" s="96">
        <f t="shared" ca="1" si="33"/>
        <v>6159.616439999998</v>
      </c>
      <c r="HI10" s="96">
        <v>0</v>
      </c>
      <c r="HJ10" s="96">
        <v>0</v>
      </c>
      <c r="HK10" s="96">
        <v>0</v>
      </c>
      <c r="HL10" s="96">
        <v>0</v>
      </c>
      <c r="HM10" s="96">
        <v>0</v>
      </c>
      <c r="HN10" s="96">
        <v>0</v>
      </c>
      <c r="HO10" s="96">
        <v>0</v>
      </c>
      <c r="HP10" s="96">
        <v>0</v>
      </c>
      <c r="HQ10" s="96">
        <v>0</v>
      </c>
      <c r="HS10" s="97">
        <f t="shared" ca="1" si="21"/>
        <v>6128.818357799998</v>
      </c>
    </row>
    <row r="11" spans="1:227" ht="17.25" thickTop="1" thickBot="1" x14ac:dyDescent="0.3">
      <c r="A11" s="16" t="s">
        <v>21</v>
      </c>
      <c r="B11" s="73" t="s">
        <v>338</v>
      </c>
      <c r="C11" s="73" t="s">
        <v>338</v>
      </c>
      <c r="D11" s="74" t="s">
        <v>1</v>
      </c>
      <c r="E11" s="74" t="s">
        <v>330</v>
      </c>
      <c r="F11" s="73"/>
      <c r="G11" s="75">
        <v>87</v>
      </c>
      <c r="H11" s="75">
        <v>60</v>
      </c>
      <c r="I11" s="75">
        <f t="shared" ca="1" si="22"/>
        <v>147</v>
      </c>
      <c r="J11" s="76">
        <f ca="1">[1]Parameters!$C$3+G11</f>
        <v>45918</v>
      </c>
      <c r="K11" s="77">
        <f t="shared" ca="1" si="23"/>
        <v>9</v>
      </c>
      <c r="L11" s="77">
        <f t="shared" ca="1" si="24"/>
        <v>2025</v>
      </c>
      <c r="M11" s="76">
        <f ca="1">[1]Parameters!$C$3+I11</f>
        <v>45978</v>
      </c>
      <c r="N11" s="77">
        <f t="shared" ca="1" si="25"/>
        <v>11</v>
      </c>
      <c r="O11" s="77">
        <f t="shared" ca="1" si="26"/>
        <v>2025</v>
      </c>
      <c r="P11" s="78">
        <v>0.98</v>
      </c>
      <c r="Q11" s="79" t="str">
        <f ca="1">VLOOKUP(A11,[1]ABC!N:T,7,0)</f>
        <v>A</v>
      </c>
      <c r="R11" s="80">
        <f t="shared" ca="1" si="9"/>
        <v>5.2929895205462332</v>
      </c>
      <c r="S11" s="81">
        <v>33.32</v>
      </c>
      <c r="T11" s="82">
        <f t="shared" ca="1" si="10"/>
        <v>2700</v>
      </c>
      <c r="U11" s="83">
        <f ca="1">IF((ROUND(AVERAGE(BL11:BX11)*3/100,0)*100)&lt;T11,T11,ROUND(AVERAGE(BL11:BX11)*3/100,0)*100)</f>
        <v>7600</v>
      </c>
      <c r="V11" s="80">
        <v>5000</v>
      </c>
      <c r="W11" s="80">
        <f t="shared" ca="1" si="27"/>
        <v>10000</v>
      </c>
      <c r="X11" s="80"/>
      <c r="Y11" s="84">
        <v>4.74</v>
      </c>
      <c r="Z11" s="85">
        <v>4132</v>
      </c>
      <c r="AA11" s="85">
        <v>494</v>
      </c>
      <c r="AB11" s="85">
        <v>3129</v>
      </c>
      <c r="AC11" s="85">
        <v>2331</v>
      </c>
      <c r="AD11" s="85">
        <v>1348</v>
      </c>
      <c r="AE11" s="85">
        <v>1754</v>
      </c>
      <c r="AF11" s="85">
        <v>2894</v>
      </c>
      <c r="AG11" s="85">
        <v>1719</v>
      </c>
      <c r="AH11" s="85">
        <v>1591</v>
      </c>
      <c r="AI11" s="75">
        <v>10482</v>
      </c>
      <c r="AJ11" s="75">
        <f t="shared" ca="1" si="11"/>
        <v>22420</v>
      </c>
      <c r="AK11" s="75">
        <f t="shared" ca="1" si="11"/>
        <v>19982</v>
      </c>
      <c r="AL11" s="75">
        <f t="shared" ca="1" si="11"/>
        <v>17565</v>
      </c>
      <c r="AM11" s="75">
        <f t="shared" ca="1" si="11"/>
        <v>15021</v>
      </c>
      <c r="AN11" s="75">
        <f t="shared" ca="1" si="11"/>
        <v>12795</v>
      </c>
      <c r="AO11" s="75">
        <f t="shared" ca="1" si="11"/>
        <v>20463</v>
      </c>
      <c r="AP11" s="75">
        <f t="shared" ca="1" si="11"/>
        <v>17707</v>
      </c>
      <c r="AQ11" s="75">
        <f t="shared" ca="1" si="11"/>
        <v>14421</v>
      </c>
      <c r="AR11" s="75">
        <f t="shared" ca="1" si="11"/>
        <v>12831</v>
      </c>
      <c r="AS11" s="75">
        <f t="shared" ca="1" si="11"/>
        <v>9704</v>
      </c>
      <c r="AT11" s="75">
        <f t="shared" ca="1" si="11"/>
        <v>8492</v>
      </c>
      <c r="AU11" s="75">
        <f t="shared" ca="1" si="11"/>
        <v>5362</v>
      </c>
      <c r="AV11" s="75">
        <f t="shared" ca="1" si="11"/>
        <v>2452</v>
      </c>
      <c r="AW11" s="75">
        <f t="shared" ca="1" si="11"/>
        <v>2452</v>
      </c>
      <c r="AX11" s="75">
        <f t="shared" ca="1" si="11"/>
        <v>2452</v>
      </c>
      <c r="AY11" s="75">
        <f t="shared" ca="1" si="11"/>
        <v>2452</v>
      </c>
      <c r="AZ11" s="75">
        <f t="shared" ca="1" si="12"/>
        <v>2452</v>
      </c>
      <c r="BA11" s="75">
        <f t="shared" ca="1" si="12"/>
        <v>2452</v>
      </c>
      <c r="BB11" s="166"/>
      <c r="BC11" s="86">
        <v>4129</v>
      </c>
      <c r="BD11" s="86">
        <v>425</v>
      </c>
      <c r="BE11" s="86">
        <v>3500</v>
      </c>
      <c r="BF11" s="86">
        <v>3500</v>
      </c>
      <c r="BG11" s="86">
        <v>1794</v>
      </c>
      <c r="BH11" s="86">
        <v>2227</v>
      </c>
      <c r="BI11" s="86">
        <v>3286</v>
      </c>
      <c r="BJ11" s="86">
        <v>1590</v>
      </c>
      <c r="BK11" s="86">
        <v>3127</v>
      </c>
      <c r="BL11" s="86">
        <v>2862</v>
      </c>
      <c r="BM11" s="86">
        <v>2438</v>
      </c>
      <c r="BN11" s="86">
        <v>2417</v>
      </c>
      <c r="BO11" s="86">
        <v>2544</v>
      </c>
      <c r="BP11" s="86">
        <v>2226</v>
      </c>
      <c r="BQ11" s="86">
        <v>2332</v>
      </c>
      <c r="BR11" s="86">
        <v>2756</v>
      </c>
      <c r="BS11" s="86">
        <v>3286</v>
      </c>
      <c r="BT11" s="86">
        <v>1590</v>
      </c>
      <c r="BU11" s="86">
        <v>3127</v>
      </c>
      <c r="BV11" s="86">
        <v>1212</v>
      </c>
      <c r="BW11" s="86">
        <v>3130</v>
      </c>
      <c r="BX11" s="86">
        <v>2910</v>
      </c>
      <c r="BY11" s="86">
        <v>0</v>
      </c>
      <c r="BZ11" s="86">
        <v>0</v>
      </c>
      <c r="CA11" s="86">
        <v>0</v>
      </c>
      <c r="CB11" s="86">
        <v>0</v>
      </c>
      <c r="CC11" s="86">
        <v>0</v>
      </c>
      <c r="CD11" s="86">
        <v>0</v>
      </c>
      <c r="CE11" s="86">
        <f t="shared" ca="1" si="28"/>
        <v>603.26480344615061</v>
      </c>
      <c r="CF11" s="87"/>
      <c r="CG11" s="86">
        <v>0</v>
      </c>
      <c r="CH11" s="86">
        <v>0</v>
      </c>
      <c r="CI11" s="86">
        <v>0</v>
      </c>
      <c r="CJ11" s="86">
        <v>0</v>
      </c>
      <c r="CK11" s="86">
        <v>0</v>
      </c>
      <c r="CL11" s="86">
        <v>0</v>
      </c>
      <c r="CM11" s="86">
        <v>0</v>
      </c>
      <c r="CN11" s="86">
        <v>0</v>
      </c>
      <c r="CO11" s="86">
        <v>14800</v>
      </c>
      <c r="CP11" s="89">
        <v>0</v>
      </c>
      <c r="CQ11" s="89">
        <v>0</v>
      </c>
      <c r="CR11" s="86"/>
      <c r="CS11" s="89">
        <v>0</v>
      </c>
      <c r="CT11" s="90">
        <v>10000</v>
      </c>
      <c r="CU11" s="90">
        <v>0</v>
      </c>
      <c r="CV11" s="90">
        <v>0</v>
      </c>
      <c r="CW11" s="90">
        <v>0</v>
      </c>
      <c r="CX11" s="90">
        <v>0</v>
      </c>
      <c r="CY11" s="90">
        <v>0</v>
      </c>
      <c r="CZ11" s="90">
        <v>0</v>
      </c>
      <c r="DA11" s="90">
        <v>0</v>
      </c>
      <c r="DB11" s="90">
        <v>0</v>
      </c>
      <c r="DC11" s="90">
        <v>0</v>
      </c>
      <c r="DD11" s="90">
        <v>0</v>
      </c>
      <c r="DE11" s="90">
        <v>0</v>
      </c>
      <c r="DF11" s="90">
        <v>0</v>
      </c>
      <c r="DG11" s="86">
        <v>0</v>
      </c>
      <c r="DI11" s="91">
        <f ca="1">VLOOKUP(A11,'[2]2-Relatório'!$A:$J,9,0)</f>
        <v>37.96</v>
      </c>
      <c r="DJ11" s="92">
        <f t="shared" ca="1" si="29"/>
        <v>118776.84</v>
      </c>
      <c r="DK11" s="92">
        <f t="shared" ca="1" si="29"/>
        <v>88484.76</v>
      </c>
      <c r="DL11" s="92">
        <f t="shared" ca="1" si="29"/>
        <v>51170.080000000002</v>
      </c>
      <c r="DM11" s="92">
        <f t="shared" ca="1" si="29"/>
        <v>66581.84</v>
      </c>
      <c r="DN11" s="92">
        <f t="shared" ca="1" si="29"/>
        <v>109856.24</v>
      </c>
      <c r="DO11" s="92">
        <f t="shared" ca="1" si="13"/>
        <v>65253.24</v>
      </c>
      <c r="DP11" s="92">
        <f t="shared" ca="1" si="13"/>
        <v>60394.36</v>
      </c>
      <c r="DQ11" s="92">
        <f t="shared" ca="1" si="13"/>
        <v>397896.72000000003</v>
      </c>
      <c r="DR11" s="92">
        <f t="shared" ca="1" si="13"/>
        <v>851063.20000000007</v>
      </c>
      <c r="DS11" s="92">
        <f t="shared" ca="1" si="13"/>
        <v>758516.72</v>
      </c>
      <c r="DT11" s="92">
        <f t="shared" ca="1" si="13"/>
        <v>666767.4</v>
      </c>
      <c r="DU11" s="92">
        <f t="shared" ca="1" si="13"/>
        <v>570197.16</v>
      </c>
      <c r="DV11" s="92">
        <f t="shared" ca="1" si="13"/>
        <v>485698.2</v>
      </c>
      <c r="DW11" s="92">
        <f t="shared" ca="1" si="13"/>
        <v>776775.48</v>
      </c>
      <c r="DX11" s="92">
        <f t="shared" ca="1" si="13"/>
        <v>672157.72</v>
      </c>
      <c r="DY11" s="92">
        <f t="shared" ca="1" si="13"/>
        <v>547421.16</v>
      </c>
      <c r="DZ11" s="92">
        <f t="shared" ca="1" si="13"/>
        <v>487064.76</v>
      </c>
      <c r="EA11" s="92">
        <f t="shared" ca="1" si="13"/>
        <v>368363.84</v>
      </c>
      <c r="EB11" s="92">
        <f t="shared" ca="1" si="13"/>
        <v>322356.32</v>
      </c>
      <c r="EC11" s="92">
        <f t="shared" ca="1" si="13"/>
        <v>203541.52000000002</v>
      </c>
      <c r="ED11" s="92">
        <f t="shared" ca="1" si="13"/>
        <v>93077.92</v>
      </c>
      <c r="EE11" s="92">
        <f t="shared" ca="1" si="13"/>
        <v>93077.92</v>
      </c>
      <c r="EF11" s="92">
        <f t="shared" ca="1" si="13"/>
        <v>93077.92</v>
      </c>
      <c r="EG11" s="92">
        <f t="shared" ca="1" si="13"/>
        <v>93077.92</v>
      </c>
      <c r="EH11" s="92">
        <f t="shared" ca="1" si="13"/>
        <v>93077.92</v>
      </c>
      <c r="EI11" s="92">
        <f t="shared" ca="1" si="13"/>
        <v>93077.92</v>
      </c>
      <c r="EL11" s="93">
        <f t="shared" ca="1" si="14"/>
        <v>137578.28</v>
      </c>
      <c r="EM11" s="93">
        <f t="shared" ca="1" si="14"/>
        <v>14161</v>
      </c>
      <c r="EN11" s="92">
        <f t="shared" ca="1" si="30"/>
        <v>132860</v>
      </c>
      <c r="EO11" s="92">
        <f t="shared" ca="1" si="30"/>
        <v>132860</v>
      </c>
      <c r="EP11" s="92">
        <f t="shared" ca="1" si="30"/>
        <v>68100.240000000005</v>
      </c>
      <c r="EQ11" s="92">
        <f t="shared" ca="1" si="30"/>
        <v>84536.92</v>
      </c>
      <c r="ER11" s="92">
        <f t="shared" ca="1" si="30"/>
        <v>124736.56</v>
      </c>
      <c r="ES11" s="92">
        <f t="shared" ca="1" si="15"/>
        <v>60356.4</v>
      </c>
      <c r="ET11" s="92">
        <f t="shared" ca="1" si="15"/>
        <v>118700.92</v>
      </c>
      <c r="EU11" s="92">
        <f t="shared" ca="1" si="15"/>
        <v>108641.52</v>
      </c>
      <c r="EV11" s="92">
        <f t="shared" ca="1" si="15"/>
        <v>92546.48</v>
      </c>
      <c r="EW11" s="92">
        <f t="shared" ca="1" si="15"/>
        <v>91749.32</v>
      </c>
      <c r="EX11" s="92">
        <f t="shared" ca="1" si="15"/>
        <v>96570.240000000005</v>
      </c>
      <c r="EY11" s="92">
        <f t="shared" ca="1" si="15"/>
        <v>84498.96</v>
      </c>
      <c r="EZ11" s="92">
        <f t="shared" ca="1" si="15"/>
        <v>88522.72</v>
      </c>
      <c r="FA11" s="92">
        <f t="shared" ca="1" si="15"/>
        <v>104617.76000000001</v>
      </c>
      <c r="FB11" s="92">
        <f t="shared" ca="1" si="15"/>
        <v>124736.56</v>
      </c>
      <c r="FC11" s="92">
        <f t="shared" ca="1" si="15"/>
        <v>60356.4</v>
      </c>
      <c r="FD11" s="92">
        <f t="shared" ca="1" si="15"/>
        <v>118700.92</v>
      </c>
      <c r="FE11" s="92">
        <f t="shared" ca="1" si="15"/>
        <v>46007.520000000004</v>
      </c>
      <c r="FF11" s="92">
        <f t="shared" ca="1" si="15"/>
        <v>118814.8</v>
      </c>
      <c r="FG11" s="92">
        <f t="shared" ca="1" si="15"/>
        <v>110463.6</v>
      </c>
      <c r="FH11" s="92">
        <f t="shared" ca="1" si="15"/>
        <v>0</v>
      </c>
      <c r="FI11" s="92">
        <f t="shared" ca="1" si="16"/>
        <v>0</v>
      </c>
      <c r="FJ11" s="92">
        <f t="shared" ca="1" si="16"/>
        <v>0</v>
      </c>
      <c r="FK11" s="92">
        <f t="shared" ca="1" si="16"/>
        <v>0</v>
      </c>
      <c r="FL11" s="92">
        <f t="shared" ca="1" si="16"/>
        <v>0</v>
      </c>
      <c r="FM11" s="92">
        <f t="shared" ca="1" si="16"/>
        <v>0</v>
      </c>
      <c r="FN11" s="94">
        <f t="shared" ca="1" si="31"/>
        <v>24800</v>
      </c>
      <c r="FO11" s="94">
        <f t="shared" ca="1" si="32"/>
        <v>0</v>
      </c>
      <c r="FP11" s="95">
        <f t="shared" ca="1" si="17"/>
        <v>30.021797045289414</v>
      </c>
      <c r="FQ11" s="95">
        <f t="shared" ca="1" si="17"/>
        <v>34.870588235294115</v>
      </c>
      <c r="FR11" s="95">
        <f t="shared" ca="1" si="18"/>
        <v>26.82</v>
      </c>
      <c r="FS11" s="95">
        <f t="shared" ca="1" si="18"/>
        <v>19.979999999999997</v>
      </c>
      <c r="FT11" s="95">
        <f t="shared" ca="1" si="18"/>
        <v>22.54180602006689</v>
      </c>
      <c r="FU11" s="95">
        <f t="shared" ca="1" si="18"/>
        <v>23.628199371351595</v>
      </c>
      <c r="FV11" s="95">
        <f t="shared" ca="1" si="18"/>
        <v>26.421180766889837</v>
      </c>
      <c r="FW11" s="95">
        <f t="shared" ca="1" si="18"/>
        <v>32.433962264150942</v>
      </c>
      <c r="FX11" s="95">
        <f t="shared" ca="1" si="18"/>
        <v>15.26383114806524</v>
      </c>
      <c r="FY11" s="95">
        <f t="shared" ca="1" si="18"/>
        <v>109.87421383647799</v>
      </c>
      <c r="FZ11" s="95">
        <f t="shared" ca="1" si="18"/>
        <v>275.88187038556202</v>
      </c>
      <c r="GA11" s="95">
        <f t="shared" ca="1" si="18"/>
        <v>248.01820438560196</v>
      </c>
      <c r="GB11" s="95">
        <f t="shared" ca="1" si="18"/>
        <v>207.13443396226415</v>
      </c>
      <c r="GC11" s="95">
        <f t="shared" ca="1" si="18"/>
        <v>202.43935309973045</v>
      </c>
      <c r="GD11" s="95">
        <f t="shared" ca="1" si="18"/>
        <v>164.60120068610635</v>
      </c>
      <c r="GE11" s="95">
        <f t="shared" ca="1" si="18"/>
        <v>222.74673439767776</v>
      </c>
      <c r="GF11" s="95">
        <f t="shared" ca="1" si="18"/>
        <v>161.65855143031041</v>
      </c>
      <c r="GG11" s="95">
        <f t="shared" ca="1" si="18"/>
        <v>272.09433962264148</v>
      </c>
      <c r="GH11" s="95">
        <f t="shared" ca="1" si="18"/>
        <v>123.09881675727536</v>
      </c>
      <c r="GI11" s="95">
        <f t="shared" ca="1" si="18"/>
        <v>240.19801980198019</v>
      </c>
      <c r="GJ11" s="95">
        <f t="shared" ca="1" si="18"/>
        <v>81.392971246006397</v>
      </c>
      <c r="GK11" s="95">
        <f t="shared" ca="1" si="18"/>
        <v>55.27835051546392</v>
      </c>
      <c r="GL11" s="95">
        <f t="shared" ca="1" si="18"/>
        <v>0</v>
      </c>
      <c r="GM11" s="95">
        <f t="shared" ca="1" si="18"/>
        <v>0</v>
      </c>
      <c r="GN11" s="95">
        <f t="shared" ca="1" si="18"/>
        <v>0</v>
      </c>
      <c r="GO11" s="95">
        <f t="shared" ca="1" si="18"/>
        <v>0</v>
      </c>
      <c r="GP11" s="95">
        <f t="shared" ca="1" si="18"/>
        <v>0</v>
      </c>
      <c r="GQ11" s="95">
        <f t="shared" ca="1" si="18"/>
        <v>0</v>
      </c>
      <c r="GS11" s="7">
        <v>199.97424660999999</v>
      </c>
      <c r="GT11" s="96">
        <f t="shared" ref="GT11:HI12" ca="1" si="34">($GS11*BG11)-(($GS11*BG11)*7%)</f>
        <v>333641.03252905619</v>
      </c>
      <c r="GU11" s="96">
        <f t="shared" ca="1" si="34"/>
        <v>414168.66189643706</v>
      </c>
      <c r="GV11" s="96">
        <f t="shared" ca="1" si="34"/>
        <v>611117.29815522779</v>
      </c>
      <c r="GW11" s="96">
        <f t="shared" ca="1" si="34"/>
        <v>295701.91846220696</v>
      </c>
      <c r="GX11" s="96">
        <f t="shared" ca="1" si="34"/>
        <v>581547.10630900704</v>
      </c>
      <c r="GY11" s="96">
        <f t="shared" ca="1" si="34"/>
        <v>532263.45323197264</v>
      </c>
      <c r="GZ11" s="96">
        <f t="shared" ca="1" si="34"/>
        <v>453409.60830871738</v>
      </c>
      <c r="HA11" s="96">
        <f t="shared" ca="1" si="34"/>
        <v>449504.11127242411</v>
      </c>
      <c r="HB11" s="96">
        <f t="shared" ca="1" si="34"/>
        <v>473123.06953953119</v>
      </c>
      <c r="HC11" s="96">
        <f t="shared" ca="1" si="34"/>
        <v>413982.68584708974</v>
      </c>
      <c r="HD11" s="96">
        <f t="shared" ca="1" si="34"/>
        <v>433696.14707790362</v>
      </c>
      <c r="HE11" s="96">
        <f t="shared" ca="1" si="34"/>
        <v>512549.99200115877</v>
      </c>
      <c r="HF11" s="96">
        <f t="shared" ca="1" si="34"/>
        <v>611117.29815522779</v>
      </c>
      <c r="HG11" s="96">
        <f t="shared" ca="1" si="34"/>
        <v>295701.91846220696</v>
      </c>
      <c r="HH11" s="96">
        <f t="shared" ca="1" si="34"/>
        <v>581547.10630900704</v>
      </c>
      <c r="HI11" s="96">
        <f t="shared" ca="1" si="34"/>
        <v>225402.9718089276</v>
      </c>
      <c r="HJ11" s="96">
        <f t="shared" ref="HD11:HQ12" ca="1" si="35">($GS11*BW11)-(($GS11*BW11)*7%)</f>
        <v>582105.03445704898</v>
      </c>
      <c r="HK11" s="96">
        <f t="shared" ca="1" si="35"/>
        <v>541190.30360064295</v>
      </c>
      <c r="HL11" s="96">
        <f t="shared" ca="1" si="35"/>
        <v>0</v>
      </c>
      <c r="HM11" s="96">
        <f t="shared" ca="1" si="35"/>
        <v>0</v>
      </c>
      <c r="HN11" s="96">
        <f t="shared" ca="1" si="35"/>
        <v>0</v>
      </c>
      <c r="HO11" s="96">
        <f t="shared" ca="1" si="35"/>
        <v>0</v>
      </c>
      <c r="HP11" s="96">
        <f t="shared" ca="1" si="35"/>
        <v>0</v>
      </c>
      <c r="HQ11" s="96">
        <f t="shared" ca="1" si="35"/>
        <v>0</v>
      </c>
      <c r="HS11" s="97">
        <f t="shared" ca="1" si="21"/>
        <v>269565.28443027998</v>
      </c>
    </row>
    <row r="12" spans="1:227" ht="17.25" thickTop="1" thickBot="1" x14ac:dyDescent="0.3">
      <c r="A12" s="16" t="s">
        <v>25</v>
      </c>
      <c r="B12" s="73" t="s">
        <v>339</v>
      </c>
      <c r="C12" s="73" t="s">
        <v>339</v>
      </c>
      <c r="D12" s="74" t="s">
        <v>1</v>
      </c>
      <c r="E12" s="74" t="s">
        <v>330</v>
      </c>
      <c r="F12" s="73"/>
      <c r="G12" s="75">
        <v>87</v>
      </c>
      <c r="H12" s="75">
        <v>60</v>
      </c>
      <c r="I12" s="75">
        <f t="shared" ca="1" si="22"/>
        <v>147</v>
      </c>
      <c r="J12" s="76">
        <f ca="1">[1]Parameters!$C$3+G12</f>
        <v>45918</v>
      </c>
      <c r="K12" s="77">
        <f t="shared" ca="1" si="23"/>
        <v>9</v>
      </c>
      <c r="L12" s="77">
        <f t="shared" ca="1" si="24"/>
        <v>2025</v>
      </c>
      <c r="M12" s="76">
        <f ca="1">[1]Parameters!$C$3+I12</f>
        <v>45978</v>
      </c>
      <c r="N12" s="77">
        <f t="shared" ca="1" si="25"/>
        <v>11</v>
      </c>
      <c r="O12" s="77">
        <f t="shared" ca="1" si="26"/>
        <v>2025</v>
      </c>
      <c r="P12" s="78">
        <v>0.95</v>
      </c>
      <c r="Q12" s="79" t="str">
        <f ca="1">VLOOKUP(A12,[1]ABC!N:T,7,0)</f>
        <v>B</v>
      </c>
      <c r="R12" s="80">
        <f t="shared" ca="1" si="9"/>
        <v>25.060087947496921</v>
      </c>
      <c r="S12" s="81">
        <v>33.76</v>
      </c>
      <c r="T12" s="82">
        <f t="shared" ca="1" si="10"/>
        <v>400</v>
      </c>
      <c r="U12" s="83">
        <f ca="1">IF((ROUND(AVERAGE(BI12:BR12)*2/100,0)*100)&lt;T12,T12,ROUND(AVERAGE(BI12:BR12)*2/100,0)*100)</f>
        <v>2700</v>
      </c>
      <c r="V12" s="80">
        <v>5000</v>
      </c>
      <c r="W12" s="80">
        <f t="shared" ca="1" si="27"/>
        <v>5000</v>
      </c>
      <c r="X12" s="80"/>
      <c r="Y12" s="84">
        <v>4.74</v>
      </c>
      <c r="Z12" s="85">
        <v>1685</v>
      </c>
      <c r="AA12" s="85">
        <v>1064</v>
      </c>
      <c r="AB12" s="85">
        <v>1095</v>
      </c>
      <c r="AC12" s="85">
        <v>966</v>
      </c>
      <c r="AD12" s="85">
        <v>395</v>
      </c>
      <c r="AE12" s="85">
        <v>875</v>
      </c>
      <c r="AF12" s="85">
        <v>1356</v>
      </c>
      <c r="AG12" s="85">
        <v>814</v>
      </c>
      <c r="AH12" s="85">
        <v>653</v>
      </c>
      <c r="AI12" s="75">
        <v>6434</v>
      </c>
      <c r="AJ12" s="75">
        <f t="shared" ca="1" si="11"/>
        <v>10054</v>
      </c>
      <c r="AK12" s="75">
        <f t="shared" ca="1" si="11"/>
        <v>8782</v>
      </c>
      <c r="AL12" s="75">
        <f t="shared" ca="1" si="11"/>
        <v>7567</v>
      </c>
      <c r="AM12" s="75">
        <f t="shared" ca="1" si="11"/>
        <v>11189</v>
      </c>
      <c r="AN12" s="75">
        <f t="shared" ca="1" si="11"/>
        <v>9811</v>
      </c>
      <c r="AO12" s="75">
        <f t="shared" ca="1" si="11"/>
        <v>8433</v>
      </c>
      <c r="AP12" s="75">
        <f t="shared" ca="1" si="11"/>
        <v>7055</v>
      </c>
      <c r="AQ12" s="75">
        <f t="shared" ca="1" si="11"/>
        <v>5935</v>
      </c>
      <c r="AR12" s="75">
        <f t="shared" ca="1" si="11"/>
        <v>4663</v>
      </c>
      <c r="AS12" s="75">
        <f t="shared" ca="1" si="11"/>
        <v>3179</v>
      </c>
      <c r="AT12" s="75">
        <f t="shared" ca="1" si="11"/>
        <v>2056</v>
      </c>
      <c r="AU12" s="75">
        <f t="shared" ca="1" si="11"/>
        <v>826</v>
      </c>
      <c r="AV12" s="75">
        <f t="shared" ca="1" si="11"/>
        <v>0</v>
      </c>
      <c r="AW12" s="75">
        <f t="shared" ca="1" si="11"/>
        <v>0</v>
      </c>
      <c r="AX12" s="75">
        <f t="shared" ca="1" si="11"/>
        <v>0</v>
      </c>
      <c r="AY12" s="75">
        <f t="shared" ca="1" si="11"/>
        <v>0</v>
      </c>
      <c r="AZ12" s="75">
        <f t="shared" ca="1" si="12"/>
        <v>0</v>
      </c>
      <c r="BA12" s="75">
        <f t="shared" ca="1" si="12"/>
        <v>0</v>
      </c>
      <c r="BB12" s="166"/>
      <c r="BC12" s="86">
        <v>1679</v>
      </c>
      <c r="BD12" s="86">
        <v>974</v>
      </c>
      <c r="BE12" s="86">
        <v>1300</v>
      </c>
      <c r="BF12" s="86">
        <v>1300</v>
      </c>
      <c r="BG12" s="86">
        <v>445</v>
      </c>
      <c r="BH12" s="86">
        <v>1160</v>
      </c>
      <c r="BI12" s="86">
        <v>1484</v>
      </c>
      <c r="BJ12" s="86">
        <v>1272</v>
      </c>
      <c r="BK12" s="86">
        <v>1484</v>
      </c>
      <c r="BL12" s="86">
        <v>1380</v>
      </c>
      <c r="BM12" s="86">
        <v>1272</v>
      </c>
      <c r="BN12" s="86">
        <v>1215</v>
      </c>
      <c r="BO12" s="86">
        <v>1378</v>
      </c>
      <c r="BP12" s="86">
        <v>1378</v>
      </c>
      <c r="BQ12" s="86">
        <v>1378</v>
      </c>
      <c r="BR12" s="86">
        <v>1378</v>
      </c>
      <c r="BS12" s="86">
        <v>1120</v>
      </c>
      <c r="BT12" s="86">
        <v>1272</v>
      </c>
      <c r="BU12" s="86">
        <v>1484</v>
      </c>
      <c r="BV12" s="86">
        <v>1123</v>
      </c>
      <c r="BW12" s="86">
        <v>1230</v>
      </c>
      <c r="BX12" s="86">
        <v>1240</v>
      </c>
      <c r="BY12" s="86">
        <v>0</v>
      </c>
      <c r="BZ12" s="86">
        <v>0</v>
      </c>
      <c r="CA12" s="86">
        <v>0</v>
      </c>
      <c r="CB12" s="86">
        <v>0</v>
      </c>
      <c r="CC12" s="86">
        <v>0</v>
      </c>
      <c r="CD12" s="86">
        <v>0</v>
      </c>
      <c r="CE12" s="86">
        <f t="shared" ca="1" si="28"/>
        <v>110.07800264660813</v>
      </c>
      <c r="CF12" s="87"/>
      <c r="CG12" s="86">
        <v>0</v>
      </c>
      <c r="CH12" s="86">
        <v>0</v>
      </c>
      <c r="CI12" s="86">
        <v>0</v>
      </c>
      <c r="CJ12" s="86">
        <v>0</v>
      </c>
      <c r="CK12" s="86">
        <v>0</v>
      </c>
      <c r="CL12" s="86">
        <v>0</v>
      </c>
      <c r="CM12" s="86">
        <v>0</v>
      </c>
      <c r="CN12" s="86">
        <v>0</v>
      </c>
      <c r="CO12" s="89">
        <v>5000</v>
      </c>
      <c r="CP12" s="89">
        <v>0</v>
      </c>
      <c r="CQ12" s="89">
        <v>0</v>
      </c>
      <c r="CR12" s="86">
        <v>5000</v>
      </c>
      <c r="CS12" s="89">
        <v>0</v>
      </c>
      <c r="CT12" s="90">
        <v>0</v>
      </c>
      <c r="CU12" s="90">
        <v>0</v>
      </c>
      <c r="CV12" s="90">
        <v>0</v>
      </c>
      <c r="CW12" s="90">
        <v>0</v>
      </c>
      <c r="CX12" s="90">
        <v>0</v>
      </c>
      <c r="CY12" s="90">
        <v>0</v>
      </c>
      <c r="CZ12" s="90">
        <v>0</v>
      </c>
      <c r="DA12" s="90">
        <v>0</v>
      </c>
      <c r="DB12" s="90">
        <v>0</v>
      </c>
      <c r="DC12" s="90">
        <v>0</v>
      </c>
      <c r="DD12" s="90">
        <v>0</v>
      </c>
      <c r="DE12" s="90">
        <v>0</v>
      </c>
      <c r="DF12" s="90">
        <v>0</v>
      </c>
      <c r="DG12" s="86">
        <v>0</v>
      </c>
      <c r="DI12" s="91">
        <f ca="1">VLOOKUP(A12,'[2]2-Relatório'!$A:$J,9,0)</f>
        <v>36.97</v>
      </c>
      <c r="DJ12" s="92">
        <f t="shared" ca="1" si="29"/>
        <v>40482.15</v>
      </c>
      <c r="DK12" s="92">
        <f t="shared" ca="1" si="29"/>
        <v>35713.019999999997</v>
      </c>
      <c r="DL12" s="92">
        <f t="shared" ca="1" si="29"/>
        <v>14603.15</v>
      </c>
      <c r="DM12" s="92">
        <f t="shared" ca="1" si="29"/>
        <v>32348.75</v>
      </c>
      <c r="DN12" s="92">
        <f t="shared" ca="1" si="29"/>
        <v>50131.32</v>
      </c>
      <c r="DO12" s="92">
        <f t="shared" ca="1" si="13"/>
        <v>30093.579999999998</v>
      </c>
      <c r="DP12" s="92">
        <f t="shared" ca="1" si="13"/>
        <v>24141.41</v>
      </c>
      <c r="DQ12" s="92">
        <f t="shared" ca="1" si="13"/>
        <v>237864.97999999998</v>
      </c>
      <c r="DR12" s="92">
        <f t="shared" ca="1" si="13"/>
        <v>371696.38</v>
      </c>
      <c r="DS12" s="92">
        <f t="shared" ca="1" si="13"/>
        <v>324670.53999999998</v>
      </c>
      <c r="DT12" s="92">
        <f t="shared" ca="1" si="13"/>
        <v>279751.99</v>
      </c>
      <c r="DU12" s="92">
        <f t="shared" ca="1" si="13"/>
        <v>413657.33</v>
      </c>
      <c r="DV12" s="92">
        <f t="shared" ca="1" si="13"/>
        <v>362712.67</v>
      </c>
      <c r="DW12" s="92">
        <f t="shared" ca="1" si="13"/>
        <v>311768.01</v>
      </c>
      <c r="DX12" s="92">
        <f t="shared" ca="1" si="13"/>
        <v>260823.35</v>
      </c>
      <c r="DY12" s="92">
        <f t="shared" ca="1" si="13"/>
        <v>219416.94999999998</v>
      </c>
      <c r="DZ12" s="92">
        <f t="shared" ca="1" si="13"/>
        <v>172391.11</v>
      </c>
      <c r="EA12" s="92">
        <f t="shared" ca="1" si="13"/>
        <v>117527.62999999999</v>
      </c>
      <c r="EB12" s="92">
        <f t="shared" ca="1" si="13"/>
        <v>76010.319999999992</v>
      </c>
      <c r="EC12" s="92">
        <f t="shared" ca="1" si="13"/>
        <v>30537.219999999998</v>
      </c>
      <c r="ED12" s="92">
        <f t="shared" ca="1" si="13"/>
        <v>0</v>
      </c>
      <c r="EE12" s="92">
        <f t="shared" ca="1" si="13"/>
        <v>0</v>
      </c>
      <c r="EF12" s="92">
        <f t="shared" ca="1" si="13"/>
        <v>0</v>
      </c>
      <c r="EG12" s="92">
        <f t="shared" ca="1" si="13"/>
        <v>0</v>
      </c>
      <c r="EH12" s="92">
        <f t="shared" ca="1" si="13"/>
        <v>0</v>
      </c>
      <c r="EI12" s="92">
        <f t="shared" ca="1" si="13"/>
        <v>0</v>
      </c>
      <c r="EL12" s="93">
        <f t="shared" ca="1" si="14"/>
        <v>56683.039999999994</v>
      </c>
      <c r="EM12" s="93">
        <f t="shared" ca="1" si="14"/>
        <v>32882.239999999998</v>
      </c>
      <c r="EN12" s="92">
        <f t="shared" ca="1" si="30"/>
        <v>48061</v>
      </c>
      <c r="EO12" s="92">
        <f t="shared" ca="1" si="30"/>
        <v>48061</v>
      </c>
      <c r="EP12" s="92">
        <f t="shared" ca="1" si="30"/>
        <v>16451.649999999998</v>
      </c>
      <c r="EQ12" s="92">
        <f t="shared" ca="1" si="30"/>
        <v>42885.2</v>
      </c>
      <c r="ER12" s="92">
        <f t="shared" ca="1" si="30"/>
        <v>54863.479999999996</v>
      </c>
      <c r="ES12" s="92">
        <f t="shared" ca="1" si="15"/>
        <v>47025.84</v>
      </c>
      <c r="ET12" s="92">
        <f t="shared" ca="1" si="15"/>
        <v>54863.479999999996</v>
      </c>
      <c r="EU12" s="92">
        <f t="shared" ca="1" si="15"/>
        <v>51018.6</v>
      </c>
      <c r="EV12" s="92">
        <f t="shared" ca="1" si="15"/>
        <v>47025.84</v>
      </c>
      <c r="EW12" s="92">
        <f t="shared" ca="1" si="15"/>
        <v>44918.549999999996</v>
      </c>
      <c r="EX12" s="92">
        <f t="shared" ca="1" si="15"/>
        <v>50944.659999999996</v>
      </c>
      <c r="EY12" s="92">
        <f t="shared" ca="1" si="15"/>
        <v>50944.659999999996</v>
      </c>
      <c r="EZ12" s="92">
        <f t="shared" ca="1" si="15"/>
        <v>50944.659999999996</v>
      </c>
      <c r="FA12" s="92">
        <f t="shared" ca="1" si="15"/>
        <v>50944.659999999996</v>
      </c>
      <c r="FB12" s="92">
        <f t="shared" ca="1" si="15"/>
        <v>41406.400000000001</v>
      </c>
      <c r="FC12" s="92">
        <f t="shared" ca="1" si="15"/>
        <v>47025.84</v>
      </c>
      <c r="FD12" s="92">
        <f t="shared" ca="1" si="15"/>
        <v>54863.479999999996</v>
      </c>
      <c r="FE12" s="92">
        <f t="shared" ca="1" si="15"/>
        <v>41517.31</v>
      </c>
      <c r="FF12" s="92">
        <f t="shared" ca="1" si="15"/>
        <v>45473.1</v>
      </c>
      <c r="FG12" s="92">
        <f t="shared" ca="1" si="15"/>
        <v>45842.799999999996</v>
      </c>
      <c r="FH12" s="92">
        <f t="shared" ca="1" si="15"/>
        <v>0</v>
      </c>
      <c r="FI12" s="92">
        <f t="shared" ca="1" si="16"/>
        <v>0</v>
      </c>
      <c r="FJ12" s="92">
        <f t="shared" ca="1" si="16"/>
        <v>0</v>
      </c>
      <c r="FK12" s="92">
        <f t="shared" ca="1" si="16"/>
        <v>0</v>
      </c>
      <c r="FL12" s="92">
        <f t="shared" ca="1" si="16"/>
        <v>0</v>
      </c>
      <c r="FM12" s="92">
        <f t="shared" ca="1" si="16"/>
        <v>0</v>
      </c>
      <c r="FN12" s="94">
        <f t="shared" ca="1" si="31"/>
        <v>10000</v>
      </c>
      <c r="FO12" s="94">
        <f t="shared" ca="1" si="32"/>
        <v>0</v>
      </c>
      <c r="FP12" s="95">
        <f t="shared" ca="1" si="17"/>
        <v>30.107206670637286</v>
      </c>
      <c r="FQ12" s="95">
        <f t="shared" ca="1" si="17"/>
        <v>32.772073921971256</v>
      </c>
      <c r="FR12" s="95">
        <f t="shared" ca="1" si="18"/>
        <v>25.26923076923077</v>
      </c>
      <c r="FS12" s="95">
        <f t="shared" ca="1" si="18"/>
        <v>22.292307692307688</v>
      </c>
      <c r="FT12" s="95">
        <f t="shared" ca="1" si="18"/>
        <v>26.629213483146071</v>
      </c>
      <c r="FU12" s="95">
        <f t="shared" ca="1" si="18"/>
        <v>22.629310344827587</v>
      </c>
      <c r="FV12" s="95">
        <f t="shared" ca="1" si="18"/>
        <v>27.412398921832885</v>
      </c>
      <c r="FW12" s="95">
        <f t="shared" ca="1" si="18"/>
        <v>19.19811320754717</v>
      </c>
      <c r="FX12" s="95">
        <f t="shared" ca="1" si="18"/>
        <v>13.200808625336929</v>
      </c>
      <c r="FY12" s="95">
        <f t="shared" ca="1" si="18"/>
        <v>139.86956521739128</v>
      </c>
      <c r="FZ12" s="95">
        <f t="shared" ca="1" si="18"/>
        <v>237.12264150943398</v>
      </c>
      <c r="GA12" s="95">
        <f t="shared" ca="1" si="18"/>
        <v>216.83950617283952</v>
      </c>
      <c r="GB12" s="95">
        <f t="shared" ca="1" si="18"/>
        <v>164.73875181422352</v>
      </c>
      <c r="GC12" s="95">
        <f t="shared" ca="1" si="18"/>
        <v>243.59216255442675</v>
      </c>
      <c r="GD12" s="95">
        <f t="shared" ca="1" si="18"/>
        <v>213.59216255442672</v>
      </c>
      <c r="GE12" s="95">
        <f t="shared" ca="1" si="18"/>
        <v>183.59216255442672</v>
      </c>
      <c r="GF12" s="95">
        <f t="shared" ca="1" si="18"/>
        <v>188.97321428571428</v>
      </c>
      <c r="GG12" s="95">
        <f t="shared" ca="1" si="18"/>
        <v>139.97641509433964</v>
      </c>
      <c r="GH12" s="95">
        <f t="shared" ca="1" si="18"/>
        <v>94.2654986522911</v>
      </c>
      <c r="GI12" s="95">
        <f t="shared" ca="1" si="18"/>
        <v>84.924309884238639</v>
      </c>
      <c r="GJ12" s="95">
        <f t="shared" ca="1" si="18"/>
        <v>50.146341463414629</v>
      </c>
      <c r="GK12" s="95">
        <f t="shared" ca="1" si="18"/>
        <v>19.983870967741936</v>
      </c>
      <c r="GL12" s="95">
        <f t="shared" ca="1" si="18"/>
        <v>0</v>
      </c>
      <c r="GM12" s="95">
        <f t="shared" ca="1" si="18"/>
        <v>0</v>
      </c>
      <c r="GN12" s="95">
        <f t="shared" ca="1" si="18"/>
        <v>0</v>
      </c>
      <c r="GO12" s="95">
        <f t="shared" ca="1" si="18"/>
        <v>0</v>
      </c>
      <c r="GP12" s="95">
        <f t="shared" ca="1" si="18"/>
        <v>0</v>
      </c>
      <c r="GQ12" s="95">
        <f t="shared" ca="1" si="18"/>
        <v>0</v>
      </c>
      <c r="GS12" s="7">
        <v>204.09495160000003</v>
      </c>
      <c r="GT12" s="96">
        <f t="shared" ca="1" si="34"/>
        <v>84464.695719660012</v>
      </c>
      <c r="GU12" s="96">
        <f t="shared" ca="1" si="34"/>
        <v>220177.63378608003</v>
      </c>
      <c r="GV12" s="96">
        <f t="shared" ca="1" si="34"/>
        <v>281675.52460219205</v>
      </c>
      <c r="GW12" s="96">
        <f t="shared" ca="1" si="34"/>
        <v>241436.16394473604</v>
      </c>
      <c r="GX12" s="96">
        <f t="shared" ca="1" si="34"/>
        <v>281675.52460219205</v>
      </c>
      <c r="GY12" s="96">
        <f t="shared" ca="1" si="34"/>
        <v>261935.46088344007</v>
      </c>
      <c r="GZ12" s="96">
        <f t="shared" ca="1" si="34"/>
        <v>241436.16394473604</v>
      </c>
      <c r="HA12" s="96">
        <f t="shared" ca="1" si="34"/>
        <v>230617.09056042004</v>
      </c>
      <c r="HB12" s="96">
        <f t="shared" ca="1" si="34"/>
        <v>261555.84427346403</v>
      </c>
      <c r="HC12" s="96">
        <f t="shared" ca="1" si="34"/>
        <v>261555.84427346403</v>
      </c>
      <c r="HD12" s="96">
        <f t="shared" ca="1" si="35"/>
        <v>261555.84427346403</v>
      </c>
      <c r="HE12" s="96">
        <f t="shared" ca="1" si="35"/>
        <v>261555.84427346403</v>
      </c>
      <c r="HF12" s="96">
        <f t="shared" ca="1" si="34"/>
        <v>212585.30158656003</v>
      </c>
      <c r="HG12" s="96">
        <f t="shared" ca="1" si="34"/>
        <v>241436.16394473604</v>
      </c>
      <c r="HH12" s="96">
        <f t="shared" ca="1" si="34"/>
        <v>281675.52460219205</v>
      </c>
      <c r="HI12" s="96">
        <f t="shared" ca="1" si="35"/>
        <v>213154.72650152404</v>
      </c>
      <c r="HJ12" s="96">
        <f t="shared" ca="1" si="35"/>
        <v>233464.21513524005</v>
      </c>
      <c r="HK12" s="96">
        <f t="shared" ca="1" si="35"/>
        <v>235362.29818512005</v>
      </c>
      <c r="HL12" s="96">
        <f t="shared" ca="1" si="35"/>
        <v>0</v>
      </c>
      <c r="HM12" s="96">
        <f t="shared" ca="1" si="35"/>
        <v>0</v>
      </c>
      <c r="HN12" s="96">
        <f t="shared" ca="1" si="35"/>
        <v>0</v>
      </c>
      <c r="HO12" s="96">
        <f t="shared" ca="1" si="35"/>
        <v>0</v>
      </c>
      <c r="HP12" s="96">
        <f t="shared" ca="1" si="35"/>
        <v>0</v>
      </c>
      <c r="HQ12" s="96">
        <f t="shared" ca="1" si="35"/>
        <v>0</v>
      </c>
      <c r="HS12" s="97">
        <f t="shared" ca="1" si="21"/>
        <v>80617.505882000012</v>
      </c>
    </row>
    <row r="13" spans="1:227" ht="17.25" thickTop="1" thickBot="1" x14ac:dyDescent="0.3">
      <c r="A13" s="16" t="s">
        <v>31</v>
      </c>
      <c r="B13" s="73" t="s">
        <v>340</v>
      </c>
      <c r="C13" s="73" t="s">
        <v>340</v>
      </c>
      <c r="D13" s="74" t="s">
        <v>1</v>
      </c>
      <c r="E13" s="74" t="s">
        <v>341</v>
      </c>
      <c r="F13" s="73"/>
      <c r="G13" s="75">
        <f ca="1">120+32</f>
        <v>152</v>
      </c>
      <c r="H13" s="75">
        <v>66</v>
      </c>
      <c r="I13" s="75">
        <f ca="1">G13+H13</f>
        <v>218</v>
      </c>
      <c r="J13" s="76">
        <f ca="1">[1]Parameters!$C$3+G13</f>
        <v>45983</v>
      </c>
      <c r="K13" s="77">
        <f t="shared" ca="1" si="23"/>
        <v>11</v>
      </c>
      <c r="L13" s="77">
        <f t="shared" ca="1" si="24"/>
        <v>2025</v>
      </c>
      <c r="M13" s="76">
        <f ca="1">[1]Parameters!$C$3+I13</f>
        <v>46049</v>
      </c>
      <c r="N13" s="77">
        <f t="shared" ca="1" si="25"/>
        <v>1</v>
      </c>
      <c r="O13" s="77">
        <f t="shared" ca="1" si="26"/>
        <v>2026</v>
      </c>
      <c r="P13" s="78">
        <v>0.95</v>
      </c>
      <c r="Q13" s="79" t="str">
        <f ca="1">VLOOKUP(A13,[1]ABC!N:T,7,0)</f>
        <v>B</v>
      </c>
      <c r="R13" s="80">
        <f t="shared" ca="1" si="9"/>
        <v>33.611156737055069</v>
      </c>
      <c r="S13" s="81">
        <v>64.209999999999994</v>
      </c>
      <c r="T13" s="82">
        <f t="shared" ca="1" si="10"/>
        <v>400</v>
      </c>
      <c r="U13" s="83">
        <f ca="1">IF((ROUND(AVERAGE(BI13:BR13)*2/100,0)*100)&lt;T13,T13,ROUND(AVERAGE(BI13:BR13)*2/100,0)*100)</f>
        <v>600</v>
      </c>
      <c r="V13" s="80">
        <v>1000</v>
      </c>
      <c r="W13" s="80">
        <f ca="1">IF(U13&gt;=V13,(ROUND(U13/V13,0))*V13,V13)</f>
        <v>1000</v>
      </c>
      <c r="X13" s="80"/>
      <c r="Y13" s="84">
        <v>8.52</v>
      </c>
      <c r="Z13" s="85">
        <v>150</v>
      </c>
      <c r="AA13" s="85">
        <v>540</v>
      </c>
      <c r="AB13" s="85">
        <v>269</v>
      </c>
      <c r="AC13" s="85">
        <v>86</v>
      </c>
      <c r="AD13" s="85">
        <v>215</v>
      </c>
      <c r="AE13" s="85">
        <v>271</v>
      </c>
      <c r="AF13" s="85">
        <v>303</v>
      </c>
      <c r="AG13" s="85">
        <v>420</v>
      </c>
      <c r="AH13" s="85">
        <v>725</v>
      </c>
      <c r="AI13" s="75">
        <v>83</v>
      </c>
      <c r="AJ13" s="75">
        <f t="shared" ca="1" si="11"/>
        <v>817</v>
      </c>
      <c r="AK13" s="75">
        <f t="shared" ca="1" si="11"/>
        <v>1445</v>
      </c>
      <c r="AL13" s="75">
        <f t="shared" ca="1" si="11"/>
        <v>1064</v>
      </c>
      <c r="AM13" s="75">
        <f t="shared" ca="1" si="11"/>
        <v>1701</v>
      </c>
      <c r="AN13" s="75">
        <f t="shared" ca="1" si="11"/>
        <v>1338</v>
      </c>
      <c r="AO13" s="75">
        <f t="shared" ca="1" si="11"/>
        <v>1074</v>
      </c>
      <c r="AP13" s="75">
        <f t="shared" ca="1" si="11"/>
        <v>810</v>
      </c>
      <c r="AQ13" s="75">
        <f t="shared" ca="1" si="11"/>
        <v>491</v>
      </c>
      <c r="AR13" s="75">
        <f t="shared" ca="1" si="11"/>
        <v>1359</v>
      </c>
      <c r="AS13" s="75">
        <f t="shared" ca="1" si="11"/>
        <v>996</v>
      </c>
      <c r="AT13" s="75">
        <f t="shared" ca="1" si="11"/>
        <v>901</v>
      </c>
      <c r="AU13" s="75">
        <f t="shared" ca="1" si="11"/>
        <v>538</v>
      </c>
      <c r="AV13" s="75">
        <f t="shared" ca="1" si="11"/>
        <v>208</v>
      </c>
      <c r="AW13" s="75">
        <f t="shared" ca="1" si="11"/>
        <v>208</v>
      </c>
      <c r="AX13" s="75">
        <f t="shared" ca="1" si="11"/>
        <v>208</v>
      </c>
      <c r="AY13" s="75">
        <f t="shared" ca="1" si="11"/>
        <v>208</v>
      </c>
      <c r="AZ13" s="75">
        <f t="shared" ca="1" si="12"/>
        <v>208</v>
      </c>
      <c r="BA13" s="75">
        <f t="shared" ca="1" si="12"/>
        <v>208</v>
      </c>
      <c r="BB13" s="166"/>
      <c r="BC13" s="86">
        <v>150</v>
      </c>
      <c r="BD13" s="86">
        <v>535</v>
      </c>
      <c r="BE13" s="86">
        <v>350</v>
      </c>
      <c r="BF13" s="86">
        <v>350</v>
      </c>
      <c r="BG13" s="86">
        <v>98</v>
      </c>
      <c r="BH13" s="86">
        <v>266</v>
      </c>
      <c r="BI13" s="86">
        <v>319</v>
      </c>
      <c r="BJ13" s="86">
        <v>132</v>
      </c>
      <c r="BK13" s="86">
        <v>363</v>
      </c>
      <c r="BL13" s="86">
        <v>266</v>
      </c>
      <c r="BM13" s="86">
        <v>372</v>
      </c>
      <c r="BN13" s="86">
        <v>381</v>
      </c>
      <c r="BO13" s="86">
        <v>363</v>
      </c>
      <c r="BP13" s="86">
        <v>363</v>
      </c>
      <c r="BQ13" s="86">
        <v>264</v>
      </c>
      <c r="BR13" s="86">
        <v>264</v>
      </c>
      <c r="BS13" s="86">
        <v>319</v>
      </c>
      <c r="BT13" s="86">
        <v>132</v>
      </c>
      <c r="BU13" s="86">
        <v>363</v>
      </c>
      <c r="BV13" s="86">
        <v>95</v>
      </c>
      <c r="BW13" s="86">
        <v>363</v>
      </c>
      <c r="BX13" s="86">
        <v>330</v>
      </c>
      <c r="BY13" s="86">
        <v>0</v>
      </c>
      <c r="BZ13" s="86">
        <v>0</v>
      </c>
      <c r="CA13" s="86">
        <v>0</v>
      </c>
      <c r="CB13" s="86">
        <v>0</v>
      </c>
      <c r="CC13" s="86">
        <v>0</v>
      </c>
      <c r="CD13" s="86">
        <v>0</v>
      </c>
      <c r="CE13" s="86">
        <f t="shared" ca="1" si="28"/>
        <v>92.570208975369525</v>
      </c>
      <c r="CF13" s="87"/>
      <c r="CG13" s="86">
        <v>0</v>
      </c>
      <c r="CH13" s="86">
        <v>0</v>
      </c>
      <c r="CI13" s="86">
        <v>0</v>
      </c>
      <c r="CJ13" s="86">
        <v>0</v>
      </c>
      <c r="CK13" s="86">
        <v>0</v>
      </c>
      <c r="CL13" s="86">
        <v>0</v>
      </c>
      <c r="CM13" s="86">
        <v>0</v>
      </c>
      <c r="CN13" s="86">
        <v>0</v>
      </c>
      <c r="CO13" s="89">
        <v>1000</v>
      </c>
      <c r="CP13" s="89">
        <v>1000</v>
      </c>
      <c r="CQ13" s="99">
        <v>0</v>
      </c>
      <c r="CR13" s="99">
        <v>1000</v>
      </c>
      <c r="CS13" s="86">
        <v>0</v>
      </c>
      <c r="CT13" s="100">
        <v>0</v>
      </c>
      <c r="CU13" s="100">
        <v>0</v>
      </c>
      <c r="CV13" s="90">
        <v>0</v>
      </c>
      <c r="CW13" s="90">
        <v>1000</v>
      </c>
      <c r="CX13" s="90">
        <v>0</v>
      </c>
      <c r="CY13" s="90">
        <v>0</v>
      </c>
      <c r="CZ13" s="90">
        <v>0</v>
      </c>
      <c r="DA13" s="90">
        <v>0</v>
      </c>
      <c r="DB13" s="90">
        <v>0</v>
      </c>
      <c r="DC13" s="90">
        <v>0</v>
      </c>
      <c r="DD13" s="90">
        <v>0</v>
      </c>
      <c r="DE13" s="90">
        <v>0</v>
      </c>
      <c r="DF13" s="90">
        <v>0</v>
      </c>
      <c r="DG13" s="86">
        <v>0</v>
      </c>
      <c r="DI13" s="91">
        <f ca="1">VLOOKUP(A13,'[2]2-Relatório'!$A:$J,9,0)</f>
        <v>83.56</v>
      </c>
      <c r="DJ13" s="92">
        <f t="shared" ca="1" si="29"/>
        <v>22477.64</v>
      </c>
      <c r="DK13" s="92">
        <f t="shared" ca="1" si="29"/>
        <v>7186.16</v>
      </c>
      <c r="DL13" s="92">
        <f t="shared" ca="1" si="29"/>
        <v>17965.400000000001</v>
      </c>
      <c r="DM13" s="92">
        <f t="shared" ca="1" si="29"/>
        <v>22644.760000000002</v>
      </c>
      <c r="DN13" s="92">
        <f t="shared" ca="1" si="29"/>
        <v>25318.68</v>
      </c>
      <c r="DO13" s="92">
        <f t="shared" ca="1" si="13"/>
        <v>35095.200000000004</v>
      </c>
      <c r="DP13" s="92">
        <f t="shared" ca="1" si="13"/>
        <v>60581</v>
      </c>
      <c r="DQ13" s="92">
        <f t="shared" ca="1" si="13"/>
        <v>6935.4800000000005</v>
      </c>
      <c r="DR13" s="92">
        <f t="shared" ca="1" si="13"/>
        <v>68268.52</v>
      </c>
      <c r="DS13" s="92">
        <f t="shared" ca="1" si="13"/>
        <v>120744.2</v>
      </c>
      <c r="DT13" s="92">
        <f t="shared" ca="1" si="13"/>
        <v>88907.839999999997</v>
      </c>
      <c r="DU13" s="92">
        <f t="shared" ca="1" si="13"/>
        <v>142135.56</v>
      </c>
      <c r="DV13" s="92">
        <f t="shared" ca="1" si="13"/>
        <v>111803.28</v>
      </c>
      <c r="DW13" s="92">
        <f t="shared" ca="1" si="13"/>
        <v>89743.44</v>
      </c>
      <c r="DX13" s="92">
        <f t="shared" ca="1" si="13"/>
        <v>67683.600000000006</v>
      </c>
      <c r="DY13" s="92">
        <f t="shared" ca="1" si="13"/>
        <v>41027.96</v>
      </c>
      <c r="DZ13" s="92">
        <f t="shared" ca="1" si="13"/>
        <v>113558.04000000001</v>
      </c>
      <c r="EA13" s="92">
        <f t="shared" ca="1" si="13"/>
        <v>83225.760000000009</v>
      </c>
      <c r="EB13" s="92">
        <f t="shared" ca="1" si="13"/>
        <v>75287.56</v>
      </c>
      <c r="EC13" s="92">
        <f t="shared" ca="1" si="13"/>
        <v>44955.28</v>
      </c>
      <c r="ED13" s="92">
        <f t="shared" ca="1" si="13"/>
        <v>17380.48</v>
      </c>
      <c r="EE13" s="92">
        <f t="shared" ca="1" si="13"/>
        <v>17380.48</v>
      </c>
      <c r="EF13" s="92">
        <f t="shared" ca="1" si="13"/>
        <v>17380.48</v>
      </c>
      <c r="EG13" s="92">
        <f t="shared" ca="1" si="13"/>
        <v>17380.48</v>
      </c>
      <c r="EH13" s="92">
        <f t="shared" ca="1" si="13"/>
        <v>17380.48</v>
      </c>
      <c r="EI13" s="92">
        <f t="shared" ca="1" si="13"/>
        <v>17380.48</v>
      </c>
      <c r="EL13" s="93">
        <f t="shared" ca="1" si="14"/>
        <v>9631.4999999999982</v>
      </c>
      <c r="EM13" s="93">
        <f t="shared" ca="1" si="14"/>
        <v>34352.35</v>
      </c>
      <c r="EN13" s="92">
        <f t="shared" ca="1" si="30"/>
        <v>29246</v>
      </c>
      <c r="EO13" s="92">
        <f t="shared" ca="1" si="30"/>
        <v>29246</v>
      </c>
      <c r="EP13" s="92">
        <f t="shared" ca="1" si="30"/>
        <v>8188.88</v>
      </c>
      <c r="EQ13" s="92">
        <f t="shared" ca="1" si="30"/>
        <v>22226.959999999999</v>
      </c>
      <c r="ER13" s="92">
        <f t="shared" ca="1" si="30"/>
        <v>26655.64</v>
      </c>
      <c r="ES13" s="92">
        <f t="shared" ca="1" si="15"/>
        <v>11029.92</v>
      </c>
      <c r="ET13" s="92">
        <f t="shared" ca="1" si="15"/>
        <v>30332.280000000002</v>
      </c>
      <c r="EU13" s="92">
        <f t="shared" ca="1" si="15"/>
        <v>22226.959999999999</v>
      </c>
      <c r="EV13" s="92">
        <f t="shared" ca="1" si="15"/>
        <v>31084.32</v>
      </c>
      <c r="EW13" s="92">
        <f t="shared" ca="1" si="15"/>
        <v>31836.36</v>
      </c>
      <c r="EX13" s="92">
        <f t="shared" ca="1" si="15"/>
        <v>30332.280000000002</v>
      </c>
      <c r="EY13" s="92">
        <f t="shared" ca="1" si="15"/>
        <v>30332.280000000002</v>
      </c>
      <c r="EZ13" s="92">
        <f t="shared" ca="1" si="15"/>
        <v>22059.84</v>
      </c>
      <c r="FA13" s="92">
        <f t="shared" ca="1" si="15"/>
        <v>22059.84</v>
      </c>
      <c r="FB13" s="92">
        <f t="shared" ca="1" si="15"/>
        <v>26655.64</v>
      </c>
      <c r="FC13" s="92">
        <f t="shared" ca="1" si="15"/>
        <v>11029.92</v>
      </c>
      <c r="FD13" s="92">
        <f t="shared" ca="1" si="15"/>
        <v>30332.280000000002</v>
      </c>
      <c r="FE13" s="92">
        <f t="shared" ca="1" si="15"/>
        <v>7938.2</v>
      </c>
      <c r="FF13" s="92">
        <f t="shared" ca="1" si="15"/>
        <v>30332.280000000002</v>
      </c>
      <c r="FG13" s="92">
        <f t="shared" ca="1" si="15"/>
        <v>27574.799999999999</v>
      </c>
      <c r="FH13" s="92">
        <f t="shared" ca="1" si="15"/>
        <v>0</v>
      </c>
      <c r="FI13" s="92">
        <f t="shared" ca="1" si="16"/>
        <v>0</v>
      </c>
      <c r="FJ13" s="92">
        <f t="shared" ca="1" si="16"/>
        <v>0</v>
      </c>
      <c r="FK13" s="92">
        <f t="shared" ca="1" si="16"/>
        <v>0</v>
      </c>
      <c r="FL13" s="92">
        <f t="shared" ca="1" si="16"/>
        <v>0</v>
      </c>
      <c r="FM13" s="92">
        <f t="shared" ca="1" si="16"/>
        <v>0</v>
      </c>
      <c r="FN13" s="94">
        <f ca="1">SUM(CN13:CU13)</f>
        <v>3000</v>
      </c>
      <c r="FO13" s="94">
        <f ca="1">SUM(CV13:DA13)</f>
        <v>1000</v>
      </c>
      <c r="FP13" s="95">
        <f t="shared" ca="1" si="17"/>
        <v>30</v>
      </c>
      <c r="FQ13" s="95">
        <f t="shared" ca="1" si="17"/>
        <v>30.280373831775698</v>
      </c>
      <c r="FR13" s="95">
        <f t="shared" ca="1" si="18"/>
        <v>23.057142857142857</v>
      </c>
      <c r="FS13" s="95">
        <f t="shared" ca="1" si="18"/>
        <v>7.3714285714285719</v>
      </c>
      <c r="FT13" s="95">
        <f t="shared" ca="1" si="18"/>
        <v>65.816326530612258</v>
      </c>
      <c r="FU13" s="95">
        <f t="shared" ca="1" si="18"/>
        <v>30.563909774436091</v>
      </c>
      <c r="FV13" s="95">
        <f t="shared" ca="1" si="18"/>
        <v>28.495297805642636</v>
      </c>
      <c r="FW13" s="95">
        <f t="shared" ca="1" si="18"/>
        <v>95.454545454545467</v>
      </c>
      <c r="FX13" s="95">
        <f t="shared" ca="1" si="18"/>
        <v>59.917355371900825</v>
      </c>
      <c r="FY13" s="95">
        <f t="shared" ca="1" si="18"/>
        <v>9.3609022556390986</v>
      </c>
      <c r="FZ13" s="95">
        <f t="shared" ca="1" si="18"/>
        <v>65.887096774193552</v>
      </c>
      <c r="GA13" s="95">
        <f t="shared" ca="1" si="18"/>
        <v>113.77952755905511</v>
      </c>
      <c r="GB13" s="95">
        <f t="shared" ca="1" si="18"/>
        <v>87.933884297520663</v>
      </c>
      <c r="GC13" s="95">
        <f t="shared" ca="1" si="18"/>
        <v>140.57851239669421</v>
      </c>
      <c r="GD13" s="95">
        <f t="shared" ca="1" si="18"/>
        <v>152.04545454545456</v>
      </c>
      <c r="GE13" s="95">
        <f t="shared" ca="1" si="18"/>
        <v>122.04545454545455</v>
      </c>
      <c r="GF13" s="95">
        <f t="shared" ca="1" si="18"/>
        <v>76.175548589341702</v>
      </c>
      <c r="GG13" s="95">
        <f t="shared" ca="1" si="18"/>
        <v>111.59090909090909</v>
      </c>
      <c r="GH13" s="95">
        <f t="shared" ca="1" si="18"/>
        <v>112.31404958677685</v>
      </c>
      <c r="GI13" s="95">
        <f t="shared" ca="1" si="18"/>
        <v>314.5263157894737</v>
      </c>
      <c r="GJ13" s="95">
        <f t="shared" ca="1" si="18"/>
        <v>74.462809917355358</v>
      </c>
      <c r="GK13" s="95">
        <f t="shared" ca="1" si="18"/>
        <v>48.909090909090914</v>
      </c>
      <c r="GL13" s="95">
        <f t="shared" ca="1" si="18"/>
        <v>0</v>
      </c>
      <c r="GM13" s="95">
        <f t="shared" ca="1" si="18"/>
        <v>0</v>
      </c>
      <c r="GN13" s="95">
        <f t="shared" ca="1" si="18"/>
        <v>0</v>
      </c>
      <c r="GO13" s="95">
        <f t="shared" ca="1" si="18"/>
        <v>0</v>
      </c>
      <c r="GP13" s="95">
        <f t="shared" ca="1" si="18"/>
        <v>0</v>
      </c>
      <c r="GQ13" s="95">
        <f t="shared" ca="1" si="18"/>
        <v>0</v>
      </c>
      <c r="GS13" s="7">
        <v>126.63233812999995</v>
      </c>
      <c r="GT13" s="96">
        <f t="shared" ref="GT13:HI14" ca="1" si="36">($GS13*BG13)-($GS13*BG13)*8.4%</f>
        <v>11367.531729253837</v>
      </c>
      <c r="GU13" s="96">
        <f t="shared" ca="1" si="36"/>
        <v>30854.728979403269</v>
      </c>
      <c r="GV13" s="96">
        <f t="shared" ca="1" si="36"/>
        <v>37002.475730938502</v>
      </c>
      <c r="GW13" s="96">
        <f t="shared" ca="1" si="36"/>
        <v>15311.369267974555</v>
      </c>
      <c r="GX13" s="96">
        <f t="shared" ca="1" si="36"/>
        <v>42106.265486930024</v>
      </c>
      <c r="GY13" s="96">
        <f t="shared" ca="1" si="36"/>
        <v>30854.728979403269</v>
      </c>
      <c r="GZ13" s="96">
        <f t="shared" ca="1" si="36"/>
        <v>43150.222482473742</v>
      </c>
      <c r="HA13" s="96">
        <f t="shared" ca="1" si="36"/>
        <v>44194.17947801746</v>
      </c>
      <c r="HB13" s="96">
        <f t="shared" ca="1" si="36"/>
        <v>42106.265486930024</v>
      </c>
      <c r="HC13" s="96">
        <f t="shared" ca="1" si="36"/>
        <v>42106.265486930024</v>
      </c>
      <c r="HD13" s="96">
        <f t="shared" ca="1" si="36"/>
        <v>30622.738535949109</v>
      </c>
      <c r="HE13" s="96">
        <f t="shared" ca="1" si="36"/>
        <v>30622.738535949109</v>
      </c>
      <c r="HF13" s="96">
        <f t="shared" ca="1" si="36"/>
        <v>37002.475730938502</v>
      </c>
      <c r="HG13" s="96">
        <f t="shared" ca="1" si="36"/>
        <v>15311.369267974555</v>
      </c>
      <c r="HH13" s="96">
        <f t="shared" ca="1" si="36"/>
        <v>42106.265486930024</v>
      </c>
      <c r="HI13" s="96">
        <f t="shared" ca="1" si="36"/>
        <v>11019.546064072596</v>
      </c>
      <c r="HJ13" s="96">
        <f t="shared" ref="HD13:HQ14" ca="1" si="37">($GS13*BW13)-($GS13*BW13)*8.4%</f>
        <v>42106.265486930024</v>
      </c>
      <c r="HK13" s="96">
        <f t="shared" ca="1" si="37"/>
        <v>38278.423169936381</v>
      </c>
      <c r="HL13" s="96">
        <f t="shared" ca="1" si="37"/>
        <v>0</v>
      </c>
      <c r="HM13" s="96">
        <f t="shared" ca="1" si="37"/>
        <v>0</v>
      </c>
      <c r="HN13" s="96">
        <f t="shared" ca="1" si="37"/>
        <v>0</v>
      </c>
      <c r="HO13" s="96">
        <f t="shared" ca="1" si="37"/>
        <v>0</v>
      </c>
      <c r="HP13" s="96">
        <f t="shared" ca="1" si="37"/>
        <v>0</v>
      </c>
      <c r="HQ13" s="96">
        <f t="shared" ca="1" si="37"/>
        <v>0</v>
      </c>
      <c r="HS13" s="97">
        <f t="shared" ca="1" si="21"/>
        <v>27225.95269794999</v>
      </c>
    </row>
    <row r="14" spans="1:227" ht="17.25" thickTop="1" thickBot="1" x14ac:dyDescent="0.3">
      <c r="A14" s="16" t="s">
        <v>23</v>
      </c>
      <c r="B14" s="73" t="s">
        <v>342</v>
      </c>
      <c r="C14" s="73" t="s">
        <v>342</v>
      </c>
      <c r="D14" s="74" t="s">
        <v>1</v>
      </c>
      <c r="E14" s="74" t="s">
        <v>341</v>
      </c>
      <c r="F14" s="73"/>
      <c r="G14" s="75">
        <f ca="1">120+32</f>
        <v>152</v>
      </c>
      <c r="H14" s="75">
        <v>66</v>
      </c>
      <c r="I14" s="75">
        <f ca="1">G14+H14</f>
        <v>218</v>
      </c>
      <c r="J14" s="76">
        <f ca="1">[1]Parameters!$C$3+G14</f>
        <v>45983</v>
      </c>
      <c r="K14" s="77">
        <f t="shared" ca="1" si="23"/>
        <v>11</v>
      </c>
      <c r="L14" s="77">
        <f t="shared" ca="1" si="24"/>
        <v>2025</v>
      </c>
      <c r="M14" s="76">
        <f ca="1">[1]Parameters!$C$3+I14</f>
        <v>46049</v>
      </c>
      <c r="N14" s="77">
        <f t="shared" ca="1" si="25"/>
        <v>1</v>
      </c>
      <c r="O14" s="77">
        <f t="shared" ca="1" si="26"/>
        <v>2026</v>
      </c>
      <c r="P14" s="78">
        <v>0.95</v>
      </c>
      <c r="Q14" s="79" t="str">
        <f ca="1">VLOOKUP(A14,[1]ABC!N:T,7,0)</f>
        <v>B</v>
      </c>
      <c r="R14" s="80">
        <f t="shared" ca="1" si="9"/>
        <v>26.458824754571772</v>
      </c>
      <c r="S14" s="81">
        <v>71.650000000000006</v>
      </c>
      <c r="T14" s="82">
        <f t="shared" ca="1" si="10"/>
        <v>800</v>
      </c>
      <c r="U14" s="83">
        <f ca="1">IF((ROUND(AVERAGE(BI14:BR14)*2/100,0)*100)&lt;T14,T14,ROUND(AVERAGE(BI14:BR14)*2/100,0)*100)</f>
        <v>2200</v>
      </c>
      <c r="V14" s="80">
        <v>1000</v>
      </c>
      <c r="W14" s="80">
        <f t="shared" ca="1" si="27"/>
        <v>2000</v>
      </c>
      <c r="X14" s="80"/>
      <c r="Y14" s="84">
        <v>9.57</v>
      </c>
      <c r="Z14" s="85">
        <v>316</v>
      </c>
      <c r="AA14" s="85">
        <v>1117</v>
      </c>
      <c r="AB14" s="85">
        <v>624</v>
      </c>
      <c r="AC14" s="85">
        <v>796</v>
      </c>
      <c r="AD14" s="85">
        <v>1346</v>
      </c>
      <c r="AE14" s="85">
        <v>383</v>
      </c>
      <c r="AF14" s="85">
        <v>895</v>
      </c>
      <c r="AG14" s="85">
        <v>760</v>
      </c>
      <c r="AH14" s="85">
        <v>593</v>
      </c>
      <c r="AI14" s="75">
        <v>2242</v>
      </c>
      <c r="AJ14" s="75">
        <f t="shared" ca="1" si="11"/>
        <v>6032</v>
      </c>
      <c r="AK14" s="75">
        <f t="shared" ca="1" si="11"/>
        <v>4736</v>
      </c>
      <c r="AL14" s="75">
        <f t="shared" ca="1" si="11"/>
        <v>3678</v>
      </c>
      <c r="AM14" s="75">
        <f t="shared" ca="1" si="11"/>
        <v>7614</v>
      </c>
      <c r="AN14" s="75">
        <f t="shared" ca="1" si="11"/>
        <v>6556</v>
      </c>
      <c r="AO14" s="75">
        <f t="shared" ca="1" si="11"/>
        <v>5498</v>
      </c>
      <c r="AP14" s="75">
        <f t="shared" ca="1" si="11"/>
        <v>6440</v>
      </c>
      <c r="AQ14" s="75">
        <f t="shared" ca="1" si="11"/>
        <v>5252</v>
      </c>
      <c r="AR14" s="75">
        <f t="shared" ca="1" si="11"/>
        <v>4488</v>
      </c>
      <c r="AS14" s="75">
        <f t="shared" ca="1" si="11"/>
        <v>3300</v>
      </c>
      <c r="AT14" s="75">
        <f t="shared" ca="1" si="11"/>
        <v>2556</v>
      </c>
      <c r="AU14" s="75">
        <f t="shared" ca="1" si="11"/>
        <v>1616</v>
      </c>
      <c r="AV14" s="75">
        <f t="shared" ca="1" si="11"/>
        <v>776</v>
      </c>
      <c r="AW14" s="75">
        <f t="shared" ca="1" si="11"/>
        <v>776</v>
      </c>
      <c r="AX14" s="75">
        <f t="shared" ca="1" si="11"/>
        <v>776</v>
      </c>
      <c r="AY14" s="75">
        <f t="shared" ca="1" si="11"/>
        <v>776</v>
      </c>
      <c r="AZ14" s="75">
        <f t="shared" ca="1" si="12"/>
        <v>776</v>
      </c>
      <c r="BA14" s="75">
        <f t="shared" ca="1" si="12"/>
        <v>776</v>
      </c>
      <c r="BB14" s="166"/>
      <c r="BC14" s="86">
        <v>311</v>
      </c>
      <c r="BD14" s="86">
        <v>1099</v>
      </c>
      <c r="BE14" s="86">
        <v>1100</v>
      </c>
      <c r="BF14" s="86">
        <v>1100</v>
      </c>
      <c r="BG14" s="86">
        <v>562</v>
      </c>
      <c r="BH14" s="86">
        <v>1099</v>
      </c>
      <c r="BI14" s="86">
        <v>1188</v>
      </c>
      <c r="BJ14" s="86">
        <v>864</v>
      </c>
      <c r="BK14" s="86">
        <v>1188</v>
      </c>
      <c r="BL14" s="86">
        <v>1210</v>
      </c>
      <c r="BM14" s="86">
        <v>1296</v>
      </c>
      <c r="BN14" s="86">
        <v>1058</v>
      </c>
      <c r="BO14" s="86">
        <v>1064</v>
      </c>
      <c r="BP14" s="86">
        <v>1058</v>
      </c>
      <c r="BQ14" s="86">
        <v>1058</v>
      </c>
      <c r="BR14" s="86">
        <v>1058</v>
      </c>
      <c r="BS14" s="86">
        <v>1188</v>
      </c>
      <c r="BT14" s="86">
        <v>764</v>
      </c>
      <c r="BU14" s="86">
        <v>1188</v>
      </c>
      <c r="BV14" s="86">
        <v>744</v>
      </c>
      <c r="BW14" s="86">
        <v>940</v>
      </c>
      <c r="BX14" s="86">
        <v>840</v>
      </c>
      <c r="BY14" s="86">
        <v>0</v>
      </c>
      <c r="BZ14" s="86">
        <v>0</v>
      </c>
      <c r="CA14" s="86">
        <v>0</v>
      </c>
      <c r="CB14" s="86">
        <v>0</v>
      </c>
      <c r="CC14" s="86">
        <v>0</v>
      </c>
      <c r="CD14" s="86">
        <v>0</v>
      </c>
      <c r="CE14" s="86">
        <f t="shared" ca="1" si="28"/>
        <v>171.67888928357209</v>
      </c>
      <c r="CF14" s="87"/>
      <c r="CG14" s="86">
        <v>0</v>
      </c>
      <c r="CH14" s="86">
        <v>0</v>
      </c>
      <c r="CI14" s="86">
        <v>0</v>
      </c>
      <c r="CJ14" s="86">
        <v>0</v>
      </c>
      <c r="CK14" s="86">
        <v>0</v>
      </c>
      <c r="CL14" s="86">
        <v>0</v>
      </c>
      <c r="CM14" s="86">
        <v>0</v>
      </c>
      <c r="CN14" s="86">
        <v>0</v>
      </c>
      <c r="CO14" s="89">
        <v>5000</v>
      </c>
      <c r="CP14" s="89">
        <v>0</v>
      </c>
      <c r="CQ14" s="99">
        <v>0</v>
      </c>
      <c r="CR14" s="99">
        <f ca="1">2000+3000</f>
        <v>5000</v>
      </c>
      <c r="CS14" s="86">
        <v>0</v>
      </c>
      <c r="CT14" s="100">
        <v>0</v>
      </c>
      <c r="CU14" s="100">
        <v>2000</v>
      </c>
      <c r="CV14" s="90">
        <v>0</v>
      </c>
      <c r="CW14" s="90">
        <v>0</v>
      </c>
      <c r="CX14" s="90">
        <v>0</v>
      </c>
      <c r="CY14" s="90">
        <v>0</v>
      </c>
      <c r="CZ14" s="90">
        <v>0</v>
      </c>
      <c r="DA14" s="90">
        <v>0</v>
      </c>
      <c r="DB14" s="90">
        <v>0</v>
      </c>
      <c r="DC14" s="90">
        <v>0</v>
      </c>
      <c r="DD14" s="90">
        <v>0</v>
      </c>
      <c r="DE14" s="90">
        <v>0</v>
      </c>
      <c r="DF14" s="90">
        <v>0</v>
      </c>
      <c r="DG14" s="86">
        <v>0</v>
      </c>
      <c r="DI14" s="91">
        <f ca="1">VLOOKUP(A14,'[2]2-Relatório'!$A:$J,9,0)</f>
        <v>87.95</v>
      </c>
      <c r="DJ14" s="92">
        <f t="shared" ca="1" si="29"/>
        <v>54880.800000000003</v>
      </c>
      <c r="DK14" s="92">
        <f t="shared" ca="1" si="29"/>
        <v>70008.2</v>
      </c>
      <c r="DL14" s="92">
        <f t="shared" ca="1" si="29"/>
        <v>118380.7</v>
      </c>
      <c r="DM14" s="92">
        <f t="shared" ca="1" si="29"/>
        <v>33684.85</v>
      </c>
      <c r="DN14" s="92">
        <f t="shared" ca="1" si="29"/>
        <v>78715.25</v>
      </c>
      <c r="DO14" s="92">
        <f t="shared" ca="1" si="13"/>
        <v>66842</v>
      </c>
      <c r="DP14" s="92">
        <f t="shared" ca="1" si="13"/>
        <v>52154.35</v>
      </c>
      <c r="DQ14" s="92">
        <f t="shared" ca="1" si="13"/>
        <v>197183.9</v>
      </c>
      <c r="DR14" s="92">
        <f t="shared" ca="1" si="13"/>
        <v>530514.4</v>
      </c>
      <c r="DS14" s="92">
        <f t="shared" ca="1" si="13"/>
        <v>416531.20000000001</v>
      </c>
      <c r="DT14" s="92">
        <f t="shared" ca="1" si="13"/>
        <v>323480.10000000003</v>
      </c>
      <c r="DU14" s="92">
        <f t="shared" ca="1" si="13"/>
        <v>669651.30000000005</v>
      </c>
      <c r="DV14" s="92">
        <f t="shared" ca="1" si="13"/>
        <v>576600.20000000007</v>
      </c>
      <c r="DW14" s="92">
        <f t="shared" ca="1" si="13"/>
        <v>483549.10000000003</v>
      </c>
      <c r="DX14" s="92">
        <f t="shared" ca="1" si="13"/>
        <v>566398</v>
      </c>
      <c r="DY14" s="92">
        <f t="shared" ca="1" si="13"/>
        <v>461913.4</v>
      </c>
      <c r="DZ14" s="92">
        <f t="shared" ca="1" si="13"/>
        <v>394719.60000000003</v>
      </c>
      <c r="EA14" s="92">
        <f t="shared" ca="1" si="13"/>
        <v>290235</v>
      </c>
      <c r="EB14" s="92">
        <f t="shared" ca="1" si="13"/>
        <v>224800.2</v>
      </c>
      <c r="EC14" s="92">
        <f t="shared" ca="1" si="13"/>
        <v>142127.20000000001</v>
      </c>
      <c r="ED14" s="92">
        <f t="shared" ca="1" si="13"/>
        <v>68249.2</v>
      </c>
      <c r="EE14" s="92">
        <f t="shared" ca="1" si="13"/>
        <v>68249.2</v>
      </c>
      <c r="EF14" s="92">
        <f t="shared" ca="1" si="13"/>
        <v>68249.2</v>
      </c>
      <c r="EG14" s="92">
        <f t="shared" ca="1" si="13"/>
        <v>68249.2</v>
      </c>
      <c r="EH14" s="92">
        <f t="shared" ca="1" si="13"/>
        <v>68249.2</v>
      </c>
      <c r="EI14" s="92">
        <f t="shared" ca="1" si="13"/>
        <v>68249.2</v>
      </c>
      <c r="EL14" s="93">
        <f t="shared" ca="1" si="14"/>
        <v>22283.15</v>
      </c>
      <c r="EM14" s="93">
        <f t="shared" ca="1" si="14"/>
        <v>78743.350000000006</v>
      </c>
      <c r="EN14" s="92">
        <f t="shared" ca="1" si="30"/>
        <v>96745</v>
      </c>
      <c r="EO14" s="92">
        <f t="shared" ca="1" si="30"/>
        <v>96745</v>
      </c>
      <c r="EP14" s="92">
        <f t="shared" ca="1" si="30"/>
        <v>49427.9</v>
      </c>
      <c r="EQ14" s="92">
        <f t="shared" ca="1" si="30"/>
        <v>96657.05</v>
      </c>
      <c r="ER14" s="92">
        <f t="shared" ca="1" si="30"/>
        <v>104484.6</v>
      </c>
      <c r="ES14" s="92">
        <f t="shared" ca="1" si="15"/>
        <v>75988.800000000003</v>
      </c>
      <c r="ET14" s="92">
        <f t="shared" ca="1" si="15"/>
        <v>104484.6</v>
      </c>
      <c r="EU14" s="92">
        <f t="shared" ca="1" si="15"/>
        <v>106419.5</v>
      </c>
      <c r="EV14" s="92">
        <f t="shared" ca="1" si="15"/>
        <v>113983.2</v>
      </c>
      <c r="EW14" s="92">
        <f t="shared" ca="1" si="15"/>
        <v>93051.1</v>
      </c>
      <c r="EX14" s="92">
        <f t="shared" ca="1" si="15"/>
        <v>93578.8</v>
      </c>
      <c r="EY14" s="92">
        <f t="shared" ca="1" si="15"/>
        <v>93051.1</v>
      </c>
      <c r="EZ14" s="92">
        <f t="shared" ca="1" si="15"/>
        <v>93051.1</v>
      </c>
      <c r="FA14" s="92">
        <f t="shared" ca="1" si="15"/>
        <v>93051.1</v>
      </c>
      <c r="FB14" s="92">
        <f t="shared" ca="1" si="15"/>
        <v>104484.6</v>
      </c>
      <c r="FC14" s="92">
        <f t="shared" ca="1" si="15"/>
        <v>67193.8</v>
      </c>
      <c r="FD14" s="92">
        <f t="shared" ca="1" si="15"/>
        <v>104484.6</v>
      </c>
      <c r="FE14" s="92">
        <f t="shared" ca="1" si="15"/>
        <v>65434.8</v>
      </c>
      <c r="FF14" s="92">
        <f t="shared" ca="1" si="15"/>
        <v>82673</v>
      </c>
      <c r="FG14" s="92">
        <f t="shared" ca="1" si="15"/>
        <v>73878</v>
      </c>
      <c r="FH14" s="92">
        <f t="shared" ca="1" si="15"/>
        <v>0</v>
      </c>
      <c r="FI14" s="92">
        <f t="shared" ca="1" si="16"/>
        <v>0</v>
      </c>
      <c r="FJ14" s="92">
        <f t="shared" ca="1" si="16"/>
        <v>0</v>
      </c>
      <c r="FK14" s="92">
        <f t="shared" ca="1" si="16"/>
        <v>0</v>
      </c>
      <c r="FL14" s="92">
        <f t="shared" ca="1" si="16"/>
        <v>0</v>
      </c>
      <c r="FM14" s="92">
        <f t="shared" ca="1" si="16"/>
        <v>0</v>
      </c>
      <c r="FN14" s="94">
        <f ca="1">SUM(CN14:CU14)</f>
        <v>12000</v>
      </c>
      <c r="FO14" s="94">
        <f ca="1">SUM(CV14:DA14)</f>
        <v>0</v>
      </c>
      <c r="FP14" s="95">
        <f t="shared" ca="1" si="17"/>
        <v>30.482315112540196</v>
      </c>
      <c r="FQ14" s="95">
        <f t="shared" ca="1" si="17"/>
        <v>30.491355777979983</v>
      </c>
      <c r="FR14" s="95">
        <f t="shared" ca="1" si="18"/>
        <v>17.018181818181819</v>
      </c>
      <c r="FS14" s="95">
        <f t="shared" ca="1" si="18"/>
        <v>21.709090909090911</v>
      </c>
      <c r="FT14" s="95">
        <f t="shared" ca="1" si="18"/>
        <v>71.85053380782918</v>
      </c>
      <c r="FU14" s="95">
        <f t="shared" ca="1" si="18"/>
        <v>10.454959053685167</v>
      </c>
      <c r="FV14" s="95">
        <f t="shared" ca="1" si="18"/>
        <v>22.6010101010101</v>
      </c>
      <c r="FW14" s="95">
        <f t="shared" ca="1" si="18"/>
        <v>26.388888888888889</v>
      </c>
      <c r="FX14" s="95">
        <f t="shared" ca="1" si="18"/>
        <v>14.974747474747474</v>
      </c>
      <c r="FY14" s="95">
        <f t="shared" ca="1" si="18"/>
        <v>55.586776859504134</v>
      </c>
      <c r="FZ14" s="95">
        <f t="shared" ca="1" si="18"/>
        <v>139.62962962962965</v>
      </c>
      <c r="GA14" s="95">
        <f t="shared" ca="1" si="18"/>
        <v>134.29111531190927</v>
      </c>
      <c r="GB14" s="95">
        <f t="shared" ca="1" si="18"/>
        <v>103.70300751879699</v>
      </c>
      <c r="GC14" s="95">
        <f t="shared" ca="1" si="18"/>
        <v>215.89792060491493</v>
      </c>
      <c r="GD14" s="95">
        <f t="shared" ca="1" si="18"/>
        <v>185.89792060491493</v>
      </c>
      <c r="GE14" s="95">
        <f t="shared" ca="1" si="18"/>
        <v>155.89792060491493</v>
      </c>
      <c r="GF14" s="95">
        <f t="shared" ca="1" si="18"/>
        <v>162.62626262626262</v>
      </c>
      <c r="GG14" s="95">
        <f t="shared" ca="1" si="18"/>
        <v>206.2303664921466</v>
      </c>
      <c r="GH14" s="95">
        <f t="shared" ca="1" si="18"/>
        <v>113.33333333333334</v>
      </c>
      <c r="GI14" s="95">
        <f t="shared" ca="1" si="18"/>
        <v>133.06451612903226</v>
      </c>
      <c r="GJ14" s="95">
        <f t="shared" ca="1" si="18"/>
        <v>81.574468085106389</v>
      </c>
      <c r="GK14" s="95">
        <f t="shared" ca="1" si="18"/>
        <v>57.714285714285715</v>
      </c>
      <c r="GL14" s="95">
        <f t="shared" ca="1" si="18"/>
        <v>0</v>
      </c>
      <c r="GM14" s="95">
        <f t="shared" ref="GM14:GQ29" ca="1" si="38">IFERROR((EE14/FI14)*30,0)</f>
        <v>0</v>
      </c>
      <c r="GN14" s="95">
        <f t="shared" ca="1" si="38"/>
        <v>0</v>
      </c>
      <c r="GO14" s="95">
        <f t="shared" ca="1" si="38"/>
        <v>0</v>
      </c>
      <c r="GP14" s="95">
        <f t="shared" ca="1" si="38"/>
        <v>0</v>
      </c>
      <c r="GQ14" s="95">
        <f t="shared" ca="1" si="38"/>
        <v>0</v>
      </c>
      <c r="GS14" s="7">
        <v>134.18611983000002</v>
      </c>
      <c r="GT14" s="96">
        <f t="shared" ca="1" si="36"/>
        <v>69077.940999525381</v>
      </c>
      <c r="GU14" s="96">
        <f t="shared" ca="1" si="36"/>
        <v>135083.01985494373</v>
      </c>
      <c r="GV14" s="96">
        <f t="shared" ca="1" si="36"/>
        <v>146022.40908796465</v>
      </c>
      <c r="GW14" s="96">
        <f t="shared" ca="1" si="36"/>
        <v>106198.11570033795</v>
      </c>
      <c r="GX14" s="96">
        <f t="shared" ca="1" si="36"/>
        <v>146022.40908796465</v>
      </c>
      <c r="GY14" s="96">
        <f t="shared" ca="1" si="36"/>
        <v>148726.52777477884</v>
      </c>
      <c r="GZ14" s="96">
        <f t="shared" ca="1" si="36"/>
        <v>159297.17355050691</v>
      </c>
      <c r="HA14" s="96">
        <f t="shared" ca="1" si="36"/>
        <v>130043.52593860828</v>
      </c>
      <c r="HB14" s="96">
        <f t="shared" ca="1" si="36"/>
        <v>130781.01285319394</v>
      </c>
      <c r="HC14" s="96">
        <f t="shared" ca="1" si="36"/>
        <v>130043.52593860828</v>
      </c>
      <c r="HD14" s="96">
        <f t="shared" ca="1" si="37"/>
        <v>130043.52593860828</v>
      </c>
      <c r="HE14" s="96">
        <f t="shared" ca="1" si="37"/>
        <v>130043.52593860828</v>
      </c>
      <c r="HF14" s="96">
        <f t="shared" ca="1" si="36"/>
        <v>146022.40908796465</v>
      </c>
      <c r="HG14" s="96">
        <f t="shared" ca="1" si="36"/>
        <v>93906.667123909938</v>
      </c>
      <c r="HH14" s="96">
        <f t="shared" ca="1" si="36"/>
        <v>146022.40908796465</v>
      </c>
      <c r="HI14" s="96">
        <f t="shared" ca="1" si="37"/>
        <v>91448.377408624336</v>
      </c>
      <c r="HJ14" s="96">
        <f t="shared" ca="1" si="37"/>
        <v>115539.61661842321</v>
      </c>
      <c r="HK14" s="96">
        <f t="shared" ca="1" si="37"/>
        <v>103248.16804199522</v>
      </c>
      <c r="HL14" s="96">
        <f t="shared" ca="1" si="37"/>
        <v>0</v>
      </c>
      <c r="HM14" s="96">
        <f t="shared" ca="1" si="37"/>
        <v>0</v>
      </c>
      <c r="HN14" s="96">
        <f t="shared" ca="1" si="37"/>
        <v>0</v>
      </c>
      <c r="HO14" s="96">
        <f t="shared" ca="1" si="37"/>
        <v>0</v>
      </c>
      <c r="HP14" s="96">
        <f t="shared" ca="1" si="37"/>
        <v>0</v>
      </c>
      <c r="HQ14" s="96">
        <f t="shared" ca="1" si="37"/>
        <v>0</v>
      </c>
      <c r="HS14" s="97">
        <f t="shared" ca="1" si="21"/>
        <v>180614.51729118003</v>
      </c>
    </row>
    <row r="15" spans="1:227" ht="17.25" thickTop="1" thickBot="1" x14ac:dyDescent="0.3">
      <c r="A15" s="16" t="s">
        <v>35</v>
      </c>
      <c r="B15" s="73" t="s">
        <v>343</v>
      </c>
      <c r="C15" s="73" t="s">
        <v>343</v>
      </c>
      <c r="D15" s="74" t="s">
        <v>0</v>
      </c>
      <c r="E15" s="74" t="s">
        <v>344</v>
      </c>
      <c r="F15" s="73"/>
      <c r="G15" s="75">
        <v>60</v>
      </c>
      <c r="H15" s="75">
        <v>10</v>
      </c>
      <c r="I15" s="75">
        <v>70</v>
      </c>
      <c r="J15" s="76">
        <f ca="1">[1]Parameters!$C$3+G15</f>
        <v>45891</v>
      </c>
      <c r="K15" s="77">
        <f t="shared" ca="1" si="23"/>
        <v>8</v>
      </c>
      <c r="L15" s="77">
        <f t="shared" ca="1" si="24"/>
        <v>2025</v>
      </c>
      <c r="M15" s="76">
        <f ca="1">[1]Parameters!$C$3+I15</f>
        <v>45901</v>
      </c>
      <c r="N15" s="77">
        <f t="shared" ca="1" si="25"/>
        <v>9</v>
      </c>
      <c r="O15" s="77">
        <f t="shared" ca="1" si="26"/>
        <v>2025</v>
      </c>
      <c r="P15" s="78">
        <v>0.9</v>
      </c>
      <c r="Q15" s="79" t="str">
        <f ca="1">VLOOKUP(A15,[1]ABC!N:T,7,0)</f>
        <v>C</v>
      </c>
      <c r="R15" s="80">
        <f t="shared" ca="1" si="9"/>
        <v>39.948988600687301</v>
      </c>
      <c r="S15" s="81">
        <v>33.99</v>
      </c>
      <c r="T15" s="82">
        <f t="shared" ca="1" si="10"/>
        <v>300</v>
      </c>
      <c r="U15" s="83">
        <f ca="1">IF((ROUND(AVERAGE(BI15:BR15)/10,0)*10)&lt;T15,T15,ROUND(AVERAGE(BI15:BR15)/10,0)*10)</f>
        <v>510</v>
      </c>
      <c r="V15" s="80">
        <v>1000</v>
      </c>
      <c r="W15" s="80">
        <f t="shared" ca="1" si="27"/>
        <v>1000</v>
      </c>
      <c r="X15" s="80"/>
      <c r="Y15" s="84">
        <v>7</v>
      </c>
      <c r="Z15" s="85">
        <v>884</v>
      </c>
      <c r="AA15" s="85">
        <v>596</v>
      </c>
      <c r="AB15" s="85">
        <v>620</v>
      </c>
      <c r="AC15" s="85">
        <v>993</v>
      </c>
      <c r="AD15" s="85">
        <v>335</v>
      </c>
      <c r="AE15" s="85">
        <v>561</v>
      </c>
      <c r="AF15" s="85">
        <v>950</v>
      </c>
      <c r="AG15" s="85">
        <v>433</v>
      </c>
      <c r="AH15" s="85">
        <v>559</v>
      </c>
      <c r="AI15" s="75">
        <v>1275</v>
      </c>
      <c r="AJ15" s="75">
        <f t="shared" ca="1" si="11"/>
        <v>610.45600000000002</v>
      </c>
      <c r="AK15" s="75">
        <f t="shared" ca="1" si="11"/>
        <v>176.53500000000003</v>
      </c>
      <c r="AL15" s="75">
        <f t="shared" ca="1" si="11"/>
        <v>0</v>
      </c>
      <c r="AM15" s="75">
        <f t="shared" ca="1" si="11"/>
        <v>0</v>
      </c>
      <c r="AN15" s="75">
        <f t="shared" ca="1" si="11"/>
        <v>0</v>
      </c>
      <c r="AO15" s="75">
        <f t="shared" ca="1" si="11"/>
        <v>0</v>
      </c>
      <c r="AP15" s="75">
        <f t="shared" ca="1" si="11"/>
        <v>0</v>
      </c>
      <c r="AQ15" s="75">
        <f t="shared" ca="1" si="11"/>
        <v>0</v>
      </c>
      <c r="AR15" s="75">
        <f t="shared" ca="1" si="11"/>
        <v>0</v>
      </c>
      <c r="AS15" s="75">
        <f t="shared" ca="1" si="11"/>
        <v>0</v>
      </c>
      <c r="AT15" s="75">
        <f t="shared" ca="1" si="11"/>
        <v>0</v>
      </c>
      <c r="AU15" s="75">
        <f t="shared" ca="1" si="11"/>
        <v>0</v>
      </c>
      <c r="AV15" s="75">
        <f t="shared" ca="1" si="11"/>
        <v>0</v>
      </c>
      <c r="AW15" s="75">
        <f t="shared" ca="1" si="11"/>
        <v>0</v>
      </c>
      <c r="AX15" s="75">
        <f t="shared" ca="1" si="11"/>
        <v>0</v>
      </c>
      <c r="AY15" s="75">
        <f t="shared" ca="1" si="11"/>
        <v>0</v>
      </c>
      <c r="AZ15" s="75">
        <f t="shared" ca="1" si="12"/>
        <v>0</v>
      </c>
      <c r="BA15" s="75">
        <f t="shared" ca="1" si="12"/>
        <v>0</v>
      </c>
      <c r="BB15" s="166"/>
      <c r="BC15" s="86">
        <v>865.88</v>
      </c>
      <c r="BD15" s="86">
        <v>424.92</v>
      </c>
      <c r="BE15" s="86">
        <v>466.58333333333331</v>
      </c>
      <c r="BF15" s="86">
        <v>466.58333333333331</v>
      </c>
      <c r="BG15" s="86">
        <v>440.47899999999998</v>
      </c>
      <c r="BH15" s="86">
        <v>560.70900000000006</v>
      </c>
      <c r="BI15" s="86">
        <v>842.70299999999997</v>
      </c>
      <c r="BJ15" s="86">
        <v>425.17700000000002</v>
      </c>
      <c r="BK15" s="86">
        <v>462.339</v>
      </c>
      <c r="BL15" s="86">
        <v>664.54399999999998</v>
      </c>
      <c r="BM15" s="86">
        <v>433.92099999999999</v>
      </c>
      <c r="BN15" s="86">
        <v>426.27</v>
      </c>
      <c r="BO15" s="86">
        <v>496.22199999999998</v>
      </c>
      <c r="BP15" s="86">
        <v>487.47800000000001</v>
      </c>
      <c r="BQ15" s="86">
        <v>434</v>
      </c>
      <c r="BR15" s="86">
        <v>426</v>
      </c>
      <c r="BS15" s="86">
        <v>496</v>
      </c>
      <c r="BT15" s="86">
        <v>487</v>
      </c>
      <c r="BU15" s="86">
        <v>477</v>
      </c>
      <c r="BV15" s="86">
        <v>935</v>
      </c>
      <c r="BW15" s="86">
        <f ca="1">VLOOKUP(A15,[3]Export!$B:$Q,16,0)</f>
        <v>633</v>
      </c>
      <c r="BX15" s="86">
        <v>600</v>
      </c>
      <c r="BY15" s="86">
        <v>0</v>
      </c>
      <c r="BZ15" s="86">
        <v>0</v>
      </c>
      <c r="CA15" s="86">
        <v>0</v>
      </c>
      <c r="CB15" s="86">
        <v>0</v>
      </c>
      <c r="CC15" s="86">
        <v>0</v>
      </c>
      <c r="CD15" s="86">
        <v>0</v>
      </c>
      <c r="CE15" s="86">
        <f t="shared" ca="1" si="28"/>
        <v>143.04743757193793</v>
      </c>
      <c r="CF15" s="87"/>
      <c r="CG15" s="86">
        <v>0</v>
      </c>
      <c r="CH15" s="86">
        <v>0</v>
      </c>
      <c r="CI15" s="86">
        <v>0</v>
      </c>
      <c r="CJ15" s="86">
        <v>0</v>
      </c>
      <c r="CK15" s="86">
        <v>0</v>
      </c>
      <c r="CL15" s="86">
        <v>0</v>
      </c>
      <c r="CM15" s="86">
        <v>0</v>
      </c>
      <c r="CN15" s="86">
        <v>0</v>
      </c>
      <c r="CO15" s="86">
        <v>0</v>
      </c>
      <c r="CP15" s="86">
        <v>0</v>
      </c>
      <c r="CQ15" s="86">
        <v>0</v>
      </c>
      <c r="CR15" s="86">
        <v>0</v>
      </c>
      <c r="CS15" s="89">
        <v>0</v>
      </c>
      <c r="CT15" s="86">
        <v>0</v>
      </c>
      <c r="CU15" s="90">
        <v>0</v>
      </c>
      <c r="CV15" s="90">
        <v>0</v>
      </c>
      <c r="CW15" s="90">
        <v>0</v>
      </c>
      <c r="CX15" s="90">
        <v>0</v>
      </c>
      <c r="CY15" s="90">
        <v>0</v>
      </c>
      <c r="CZ15" s="90">
        <v>0</v>
      </c>
      <c r="DA15" s="90">
        <v>0</v>
      </c>
      <c r="DB15" s="90">
        <v>0</v>
      </c>
      <c r="DC15" s="90">
        <v>0</v>
      </c>
      <c r="DD15" s="90">
        <v>0</v>
      </c>
      <c r="DE15" s="90">
        <v>0</v>
      </c>
      <c r="DF15" s="90">
        <v>0</v>
      </c>
      <c r="DG15" s="86">
        <v>0</v>
      </c>
      <c r="DI15" s="91">
        <f ca="1">VLOOKUP(A15,'[2]2-Relatório'!$A:$J,9,0)</f>
        <v>33.43</v>
      </c>
      <c r="DJ15" s="92">
        <f t="shared" ca="1" si="29"/>
        <v>20726.599999999999</v>
      </c>
      <c r="DK15" s="92">
        <f t="shared" ca="1" si="29"/>
        <v>33195.99</v>
      </c>
      <c r="DL15" s="92">
        <f t="shared" ca="1" si="29"/>
        <v>11199.05</v>
      </c>
      <c r="DM15" s="92">
        <f t="shared" ca="1" si="29"/>
        <v>18754.23</v>
      </c>
      <c r="DN15" s="92">
        <f t="shared" ca="1" si="29"/>
        <v>31758.5</v>
      </c>
      <c r="DO15" s="92">
        <f t="shared" ca="1" si="13"/>
        <v>14475.19</v>
      </c>
      <c r="DP15" s="92">
        <f t="shared" ca="1" si="13"/>
        <v>18687.37</v>
      </c>
      <c r="DQ15" s="92">
        <f t="shared" ca="1" si="13"/>
        <v>42623.25</v>
      </c>
      <c r="DR15" s="92">
        <f t="shared" ca="1" si="13"/>
        <v>20407.54408</v>
      </c>
      <c r="DS15" s="92">
        <f t="shared" ca="1" si="13"/>
        <v>5901.5650500000011</v>
      </c>
      <c r="DT15" s="92">
        <f t="shared" ca="1" si="13"/>
        <v>0</v>
      </c>
      <c r="DU15" s="92">
        <f t="shared" ca="1" si="13"/>
        <v>0</v>
      </c>
      <c r="DV15" s="92">
        <f t="shared" ca="1" si="13"/>
        <v>0</v>
      </c>
      <c r="DW15" s="92">
        <f t="shared" ca="1" si="13"/>
        <v>0</v>
      </c>
      <c r="DX15" s="92">
        <f t="shared" ca="1" si="13"/>
        <v>0</v>
      </c>
      <c r="DY15" s="92">
        <f t="shared" ca="1" si="13"/>
        <v>0</v>
      </c>
      <c r="DZ15" s="92">
        <f t="shared" ca="1" si="13"/>
        <v>0</v>
      </c>
      <c r="EA15" s="92">
        <f t="shared" ca="1" si="13"/>
        <v>0</v>
      </c>
      <c r="EB15" s="92">
        <f t="shared" ca="1" si="13"/>
        <v>0</v>
      </c>
      <c r="EC15" s="92">
        <f t="shared" ca="1" si="13"/>
        <v>0</v>
      </c>
      <c r="ED15" s="92">
        <f t="shared" ca="1" si="13"/>
        <v>0</v>
      </c>
      <c r="EE15" s="92">
        <f t="shared" ca="1" si="13"/>
        <v>0</v>
      </c>
      <c r="EF15" s="92">
        <f t="shared" ca="1" si="13"/>
        <v>0</v>
      </c>
      <c r="EG15" s="92">
        <f t="shared" ca="1" si="13"/>
        <v>0</v>
      </c>
      <c r="EH15" s="92">
        <f t="shared" ca="1" si="13"/>
        <v>0</v>
      </c>
      <c r="EI15" s="92">
        <f t="shared" ca="1" si="13"/>
        <v>0</v>
      </c>
      <c r="EL15" s="93">
        <f t="shared" ca="1" si="14"/>
        <v>29431.261200000001</v>
      </c>
      <c r="EM15" s="93">
        <f t="shared" ca="1" si="14"/>
        <v>14443.030800000002</v>
      </c>
      <c r="EN15" s="92">
        <f t="shared" ca="1" si="30"/>
        <v>15597.880833333333</v>
      </c>
      <c r="EO15" s="92">
        <f t="shared" ca="1" si="30"/>
        <v>15597.880833333333</v>
      </c>
      <c r="EP15" s="92">
        <f t="shared" ca="1" si="30"/>
        <v>14725.212969999999</v>
      </c>
      <c r="EQ15" s="92">
        <f t="shared" ca="1" si="30"/>
        <v>18744.50187</v>
      </c>
      <c r="ER15" s="92">
        <f t="shared" ca="1" si="30"/>
        <v>28171.561289999998</v>
      </c>
      <c r="ES15" s="92">
        <f t="shared" ca="1" si="15"/>
        <v>14213.66711</v>
      </c>
      <c r="ET15" s="92">
        <f t="shared" ca="1" si="15"/>
        <v>15455.992769999999</v>
      </c>
      <c r="EU15" s="92">
        <f t="shared" ca="1" si="15"/>
        <v>22215.70592</v>
      </c>
      <c r="EV15" s="92">
        <f t="shared" ca="1" si="15"/>
        <v>14505.97903</v>
      </c>
      <c r="EW15" s="92">
        <f t="shared" ca="1" si="15"/>
        <v>14250.206099999999</v>
      </c>
      <c r="EX15" s="92">
        <f t="shared" ca="1" si="15"/>
        <v>16588.70146</v>
      </c>
      <c r="EY15" s="92">
        <f t="shared" ca="1" si="15"/>
        <v>16296.38954</v>
      </c>
      <c r="EZ15" s="92">
        <f t="shared" ca="1" si="15"/>
        <v>14508.619999999999</v>
      </c>
      <c r="FA15" s="92">
        <f t="shared" ca="1" si="15"/>
        <v>14241.18</v>
      </c>
      <c r="FB15" s="92">
        <f t="shared" ca="1" si="15"/>
        <v>16581.28</v>
      </c>
      <c r="FC15" s="92">
        <f t="shared" ca="1" si="15"/>
        <v>16280.41</v>
      </c>
      <c r="FD15" s="92">
        <f t="shared" ca="1" si="15"/>
        <v>15946.11</v>
      </c>
      <c r="FE15" s="92">
        <f t="shared" ca="1" si="15"/>
        <v>31257.05</v>
      </c>
      <c r="FF15" s="92">
        <f t="shared" ca="1" si="15"/>
        <v>21161.19</v>
      </c>
      <c r="FG15" s="92">
        <f t="shared" ca="1" si="15"/>
        <v>20058</v>
      </c>
      <c r="FH15" s="92">
        <f t="shared" ca="1" si="15"/>
        <v>0</v>
      </c>
      <c r="FI15" s="92">
        <f t="shared" ca="1" si="16"/>
        <v>0</v>
      </c>
      <c r="FJ15" s="92">
        <f t="shared" ca="1" si="16"/>
        <v>0</v>
      </c>
      <c r="FK15" s="92">
        <f t="shared" ca="1" si="16"/>
        <v>0</v>
      </c>
      <c r="FL15" s="92">
        <f t="shared" ca="1" si="16"/>
        <v>0</v>
      </c>
      <c r="FM15" s="92">
        <f t="shared" ca="1" si="16"/>
        <v>0</v>
      </c>
      <c r="FN15" s="94">
        <f t="shared" ref="FN15:FN53" ca="1" si="39">SUM(CN15:CR15)</f>
        <v>0</v>
      </c>
      <c r="FO15" s="94">
        <f ca="1">SUM(CU15:CZ16)</f>
        <v>0</v>
      </c>
      <c r="FP15" s="95">
        <f t="shared" ca="1" si="17"/>
        <v>30.627800619023422</v>
      </c>
      <c r="FQ15" s="95">
        <f t="shared" ca="1" si="17"/>
        <v>42.078508895792147</v>
      </c>
      <c r="FR15" s="95">
        <f t="shared" ref="FR15:GG30" ca="1" si="40">IFERROR((DJ15/EN15)*30,0)</f>
        <v>39.86426147526344</v>
      </c>
      <c r="FS15" s="95">
        <f t="shared" ca="1" si="40"/>
        <v>63.847115556349351</v>
      </c>
      <c r="FT15" s="95">
        <f t="shared" ca="1" si="40"/>
        <v>22.816070686684267</v>
      </c>
      <c r="FU15" s="95">
        <f t="shared" ca="1" si="40"/>
        <v>30.015569573522093</v>
      </c>
      <c r="FV15" s="95">
        <f t="shared" ca="1" si="40"/>
        <v>33.819744322732923</v>
      </c>
      <c r="FW15" s="95">
        <f t="shared" ca="1" si="40"/>
        <v>30.551981880487421</v>
      </c>
      <c r="FX15" s="95">
        <f t="shared" ca="1" si="40"/>
        <v>36.272086066717279</v>
      </c>
      <c r="FY15" s="95">
        <f t="shared" ca="1" si="40"/>
        <v>57.55826551740742</v>
      </c>
      <c r="FZ15" s="95">
        <f t="shared" ca="1" si="40"/>
        <v>42.20510185033681</v>
      </c>
      <c r="GA15" s="95">
        <f t="shared" ca="1" si="40"/>
        <v>12.424167780983886</v>
      </c>
      <c r="GB15" s="95">
        <f t="shared" ca="1" si="40"/>
        <v>0</v>
      </c>
      <c r="GC15" s="95">
        <f t="shared" ca="1" si="40"/>
        <v>0</v>
      </c>
      <c r="GD15" s="95">
        <f t="shared" ca="1" si="40"/>
        <v>0</v>
      </c>
      <c r="GE15" s="95">
        <f t="shared" ca="1" si="40"/>
        <v>0</v>
      </c>
      <c r="GF15" s="95">
        <f t="shared" ca="1" si="40"/>
        <v>0</v>
      </c>
      <c r="GG15" s="95">
        <f t="shared" ca="1" si="40"/>
        <v>0</v>
      </c>
      <c r="GH15" s="95">
        <f t="shared" ref="GH15:GQ48" ca="1" si="41">IFERROR((DZ15/FD15)*30,0)</f>
        <v>0</v>
      </c>
      <c r="GI15" s="95">
        <f t="shared" ca="1" si="41"/>
        <v>0</v>
      </c>
      <c r="GJ15" s="95">
        <f t="shared" ca="1" si="41"/>
        <v>0</v>
      </c>
      <c r="GK15" s="95">
        <f t="shared" ca="1" si="41"/>
        <v>0</v>
      </c>
      <c r="GL15" s="95">
        <f t="shared" ca="1" si="41"/>
        <v>0</v>
      </c>
      <c r="GM15" s="95">
        <f t="shared" ca="1" si="38"/>
        <v>0</v>
      </c>
      <c r="GN15" s="95">
        <f t="shared" ca="1" si="38"/>
        <v>0</v>
      </c>
      <c r="GO15" s="95">
        <f t="shared" ca="1" si="38"/>
        <v>0</v>
      </c>
      <c r="GP15" s="95">
        <f t="shared" ca="1" si="38"/>
        <v>0</v>
      </c>
      <c r="GQ15" s="95">
        <f t="shared" ca="1" si="38"/>
        <v>0</v>
      </c>
      <c r="GS15" s="7">
        <v>99.406626422766678</v>
      </c>
      <c r="GT15" s="96">
        <f t="shared" ref="GT15:HQ15" ca="1" si="42">$GS15*BG15</f>
        <v>43786.531400073844</v>
      </c>
      <c r="GU15" s="96">
        <f t="shared" ca="1" si="42"/>
        <v>55738.190094883088</v>
      </c>
      <c r="GV15" s="96">
        <f t="shared" ca="1" si="42"/>
        <v>83770.262306344739</v>
      </c>
      <c r="GW15" s="96">
        <f t="shared" ca="1" si="42"/>
        <v>42265.41120255267</v>
      </c>
      <c r="GX15" s="96">
        <f t="shared" ca="1" si="42"/>
        <v>45959.560253675525</v>
      </c>
      <c r="GY15" s="96">
        <f t="shared" ca="1" si="42"/>
        <v>66060.077149491059</v>
      </c>
      <c r="GZ15" s="96">
        <f t="shared" ca="1" si="42"/>
        <v>43134.622743993335</v>
      </c>
      <c r="HA15" s="96">
        <f t="shared" ca="1" si="42"/>
        <v>42374.062645232749</v>
      </c>
      <c r="HB15" s="96">
        <f t="shared" ca="1" si="42"/>
        <v>49327.754976758122</v>
      </c>
      <c r="HC15" s="96">
        <f t="shared" ca="1" si="42"/>
        <v>48458.543435317457</v>
      </c>
      <c r="HD15" s="96">
        <f t="shared" ca="1" si="42"/>
        <v>43142.475867480738</v>
      </c>
      <c r="HE15" s="96">
        <f t="shared" ca="1" si="42"/>
        <v>42347.222856098604</v>
      </c>
      <c r="HF15" s="96">
        <f t="shared" ca="1" si="42"/>
        <v>49305.686705692271</v>
      </c>
      <c r="HG15" s="96">
        <f t="shared" ca="1" si="42"/>
        <v>48411.027067887371</v>
      </c>
      <c r="HH15" s="96">
        <f t="shared" ca="1" si="42"/>
        <v>47416.960803659706</v>
      </c>
      <c r="HI15" s="96">
        <f t="shared" ca="1" si="42"/>
        <v>92945.195705286838</v>
      </c>
      <c r="HJ15" s="96">
        <f t="shared" ca="1" si="42"/>
        <v>62924.394525611307</v>
      </c>
      <c r="HK15" s="96">
        <f t="shared" ca="1" si="42"/>
        <v>59643.975853660006</v>
      </c>
      <c r="HL15" s="96">
        <f t="shared" ca="1" si="42"/>
        <v>0</v>
      </c>
      <c r="HM15" s="96">
        <f t="shared" ca="1" si="42"/>
        <v>0</v>
      </c>
      <c r="HN15" s="96">
        <f t="shared" ca="1" si="42"/>
        <v>0</v>
      </c>
      <c r="HO15" s="96">
        <f t="shared" ca="1" si="42"/>
        <v>0</v>
      </c>
      <c r="HP15" s="96">
        <f t="shared" ca="1" si="42"/>
        <v>0</v>
      </c>
      <c r="HQ15" s="96">
        <f t="shared" ca="1" si="42"/>
        <v>0</v>
      </c>
      <c r="HS15" s="97">
        <f t="shared" ca="1" si="21"/>
        <v>33301.21985162684</v>
      </c>
    </row>
    <row r="16" spans="1:227" ht="17.25" thickTop="1" thickBot="1" x14ac:dyDescent="0.3">
      <c r="A16" s="16" t="s">
        <v>15</v>
      </c>
      <c r="B16" s="73" t="s">
        <v>345</v>
      </c>
      <c r="C16" s="73" t="s">
        <v>345</v>
      </c>
      <c r="D16" s="74" t="s">
        <v>1</v>
      </c>
      <c r="E16" s="74" t="s">
        <v>346</v>
      </c>
      <c r="F16" s="73"/>
      <c r="G16" s="75">
        <v>180</v>
      </c>
      <c r="H16" s="75">
        <v>10</v>
      </c>
      <c r="I16" s="75">
        <v>190</v>
      </c>
      <c r="J16" s="76">
        <f ca="1">[1]Parameters!$C$3+G16</f>
        <v>46011</v>
      </c>
      <c r="K16" s="77">
        <f t="shared" ca="1" si="23"/>
        <v>12</v>
      </c>
      <c r="L16" s="77">
        <f t="shared" ca="1" si="24"/>
        <v>2025</v>
      </c>
      <c r="M16" s="76">
        <f ca="1">[1]Parameters!$C$3+I16</f>
        <v>46021</v>
      </c>
      <c r="N16" s="77">
        <f t="shared" ca="1" si="25"/>
        <v>12</v>
      </c>
      <c r="O16" s="77">
        <f t="shared" ca="1" si="26"/>
        <v>2025</v>
      </c>
      <c r="P16" s="78">
        <v>0.98</v>
      </c>
      <c r="Q16" s="79" t="str">
        <f ca="1">VLOOKUP(A16,[1]ABC!N:T,7,0)</f>
        <v>A</v>
      </c>
      <c r="R16" s="80">
        <f t="shared" ca="1" si="9"/>
        <v>2.4725274725274722</v>
      </c>
      <c r="S16" s="81">
        <v>22.52</v>
      </c>
      <c r="T16" s="82">
        <f t="shared" ca="1" si="10"/>
        <v>1000</v>
      </c>
      <c r="U16" s="83">
        <f t="shared" ref="U16:U18" ca="1" si="43">IF((ROUND(AVERAGE(BL16:BX16)*3/100,0)*100)&lt;T16,T16,ROUND(AVERAGE(BL16:BX16)*3/100,0)*100)</f>
        <v>2800</v>
      </c>
      <c r="V16" s="80">
        <v>124000</v>
      </c>
      <c r="W16" s="80">
        <f t="shared" ca="1" si="27"/>
        <v>124000</v>
      </c>
      <c r="X16" s="80"/>
      <c r="Y16" s="84">
        <v>3.4</v>
      </c>
      <c r="Z16" s="85">
        <v>1100</v>
      </c>
      <c r="AA16" s="85">
        <v>500</v>
      </c>
      <c r="AB16" s="85">
        <v>1700</v>
      </c>
      <c r="AC16" s="85">
        <v>600</v>
      </c>
      <c r="AD16" s="85">
        <v>300</v>
      </c>
      <c r="AE16" s="85">
        <v>3000</v>
      </c>
      <c r="AF16" s="85">
        <v>8700</v>
      </c>
      <c r="AG16" s="85">
        <v>800</v>
      </c>
      <c r="AH16" s="85">
        <v>3300</v>
      </c>
      <c r="AI16" s="75">
        <v>37800</v>
      </c>
      <c r="AJ16" s="75">
        <f t="shared" ca="1" si="11"/>
        <v>36800</v>
      </c>
      <c r="AK16" s="75">
        <f t="shared" ca="1" si="11"/>
        <v>35800</v>
      </c>
      <c r="AL16" s="75">
        <f t="shared" ca="1" si="11"/>
        <v>34800</v>
      </c>
      <c r="AM16" s="75">
        <f t="shared" ca="1" si="11"/>
        <v>33800</v>
      </c>
      <c r="AN16" s="75">
        <f t="shared" ca="1" si="11"/>
        <v>32800</v>
      </c>
      <c r="AO16" s="75">
        <f t="shared" ca="1" si="11"/>
        <v>31800</v>
      </c>
      <c r="AP16" s="75">
        <f t="shared" ca="1" si="11"/>
        <v>30800</v>
      </c>
      <c r="AQ16" s="75">
        <f t="shared" ca="1" si="11"/>
        <v>30300</v>
      </c>
      <c r="AR16" s="75">
        <f t="shared" ca="1" si="11"/>
        <v>29800</v>
      </c>
      <c r="AS16" s="75">
        <f t="shared" ca="1" si="11"/>
        <v>28800</v>
      </c>
      <c r="AT16" s="75">
        <f t="shared" ca="1" si="11"/>
        <v>27800</v>
      </c>
      <c r="AU16" s="75">
        <f t="shared" ca="1" si="11"/>
        <v>26800</v>
      </c>
      <c r="AV16" s="75">
        <f t="shared" ca="1" si="11"/>
        <v>25800</v>
      </c>
      <c r="AW16" s="75">
        <f t="shared" ca="1" si="11"/>
        <v>25800</v>
      </c>
      <c r="AX16" s="75">
        <f t="shared" ca="1" si="11"/>
        <v>25800</v>
      </c>
      <c r="AY16" s="75">
        <f t="shared" ca="1" si="11"/>
        <v>25800</v>
      </c>
      <c r="AZ16" s="75">
        <f t="shared" ca="1" si="12"/>
        <v>25800</v>
      </c>
      <c r="BA16" s="75">
        <f t="shared" ca="1" si="12"/>
        <v>25800</v>
      </c>
      <c r="BB16" s="166"/>
      <c r="BC16" s="86">
        <v>1100</v>
      </c>
      <c r="BD16" s="86">
        <v>500</v>
      </c>
      <c r="BE16" s="86">
        <v>8700</v>
      </c>
      <c r="BF16" s="86">
        <v>9000</v>
      </c>
      <c r="BG16" s="86">
        <v>3000</v>
      </c>
      <c r="BH16" s="86">
        <v>4000</v>
      </c>
      <c r="BI16" s="86">
        <v>10000</v>
      </c>
      <c r="BJ16" s="86">
        <v>4000</v>
      </c>
      <c r="BK16" s="86">
        <v>1000</v>
      </c>
      <c r="BL16" s="86">
        <v>1000</v>
      </c>
      <c r="BM16" s="86">
        <v>1000</v>
      </c>
      <c r="BN16" s="86">
        <v>1000</v>
      </c>
      <c r="BO16" s="86">
        <v>1000</v>
      </c>
      <c r="BP16" s="86">
        <v>1000</v>
      </c>
      <c r="BQ16" s="86">
        <v>1000</v>
      </c>
      <c r="BR16" s="86">
        <v>1000</v>
      </c>
      <c r="BS16" s="86">
        <v>500</v>
      </c>
      <c r="BT16" s="86">
        <v>500</v>
      </c>
      <c r="BU16" s="86">
        <v>1000</v>
      </c>
      <c r="BV16" s="86">
        <v>1000</v>
      </c>
      <c r="BW16" s="86">
        <v>1000</v>
      </c>
      <c r="BX16" s="86">
        <v>1000</v>
      </c>
      <c r="BY16" s="86">
        <v>0</v>
      </c>
      <c r="BZ16" s="86">
        <v>0</v>
      </c>
      <c r="CA16" s="86">
        <v>0</v>
      </c>
      <c r="CB16" s="86">
        <v>0</v>
      </c>
      <c r="CC16" s="86">
        <v>0</v>
      </c>
      <c r="CD16" s="86">
        <v>0</v>
      </c>
      <c r="CE16" s="86">
        <f t="shared" ca="1" si="28"/>
        <v>187.76690404970287</v>
      </c>
      <c r="CF16" s="87"/>
      <c r="CG16" s="86">
        <v>0</v>
      </c>
      <c r="CH16" s="86">
        <v>0</v>
      </c>
      <c r="CI16" s="86">
        <v>0</v>
      </c>
      <c r="CJ16" s="86">
        <v>0</v>
      </c>
      <c r="CK16" s="86">
        <v>0</v>
      </c>
      <c r="CL16" s="86">
        <v>0</v>
      </c>
      <c r="CM16" s="86">
        <v>0</v>
      </c>
      <c r="CN16" s="86">
        <v>0</v>
      </c>
      <c r="CO16" s="86">
        <v>0</v>
      </c>
      <c r="CP16" s="86">
        <v>0</v>
      </c>
      <c r="CQ16" s="86">
        <v>0</v>
      </c>
      <c r="CR16" s="86">
        <v>0</v>
      </c>
      <c r="CS16" s="86">
        <v>0</v>
      </c>
      <c r="CT16" s="86">
        <v>0</v>
      </c>
      <c r="CU16" s="90">
        <v>0</v>
      </c>
      <c r="CV16" s="90">
        <v>0</v>
      </c>
      <c r="CW16" s="90">
        <v>0</v>
      </c>
      <c r="CX16" s="90">
        <v>0</v>
      </c>
      <c r="CY16" s="90">
        <v>0</v>
      </c>
      <c r="CZ16" s="90">
        <v>0</v>
      </c>
      <c r="DA16" s="90">
        <v>0</v>
      </c>
      <c r="DB16" s="90">
        <v>0</v>
      </c>
      <c r="DC16" s="90">
        <v>0</v>
      </c>
      <c r="DD16" s="90">
        <v>0</v>
      </c>
      <c r="DE16" s="90">
        <v>0</v>
      </c>
      <c r="DF16" s="90">
        <v>0</v>
      </c>
      <c r="DG16" s="86">
        <v>0</v>
      </c>
      <c r="DI16" s="91">
        <f ca="1">VLOOKUP(A16,'[2]2-Relatório'!$A:$J,9,0)</f>
        <v>22.52</v>
      </c>
      <c r="DJ16" s="92">
        <f t="shared" ca="1" si="29"/>
        <v>38284</v>
      </c>
      <c r="DK16" s="92">
        <f t="shared" ca="1" si="29"/>
        <v>13512</v>
      </c>
      <c r="DL16" s="92">
        <f t="shared" ca="1" si="29"/>
        <v>6756</v>
      </c>
      <c r="DM16" s="92">
        <f t="shared" ca="1" si="29"/>
        <v>67560</v>
      </c>
      <c r="DN16" s="92">
        <f t="shared" ca="1" si="29"/>
        <v>195924</v>
      </c>
      <c r="DO16" s="92">
        <f t="shared" ca="1" si="13"/>
        <v>18016</v>
      </c>
      <c r="DP16" s="92">
        <f t="shared" ca="1" si="13"/>
        <v>74316</v>
      </c>
      <c r="DQ16" s="92">
        <f t="shared" ca="1" si="13"/>
        <v>851256</v>
      </c>
      <c r="DR16" s="92">
        <f t="shared" ca="1" si="13"/>
        <v>828736</v>
      </c>
      <c r="DS16" s="92">
        <f t="shared" ca="1" si="13"/>
        <v>806216</v>
      </c>
      <c r="DT16" s="92">
        <f t="shared" ca="1" si="13"/>
        <v>783696</v>
      </c>
      <c r="DU16" s="92">
        <f t="shared" ca="1" si="13"/>
        <v>761176</v>
      </c>
      <c r="DV16" s="92">
        <f t="shared" ca="1" si="13"/>
        <v>738656</v>
      </c>
      <c r="DW16" s="92">
        <f t="shared" ca="1" si="13"/>
        <v>716136</v>
      </c>
      <c r="DX16" s="92">
        <f t="shared" ca="1" si="13"/>
        <v>693616</v>
      </c>
      <c r="DY16" s="92">
        <f t="shared" ca="1" si="13"/>
        <v>682356</v>
      </c>
      <c r="DZ16" s="92">
        <f t="shared" ca="1" si="13"/>
        <v>671096</v>
      </c>
      <c r="EA16" s="92">
        <f t="shared" ca="1" si="13"/>
        <v>648576</v>
      </c>
      <c r="EB16" s="92">
        <f t="shared" ca="1" si="13"/>
        <v>626056</v>
      </c>
      <c r="EC16" s="92">
        <f t="shared" ca="1" si="13"/>
        <v>603536</v>
      </c>
      <c r="ED16" s="92">
        <f t="shared" ca="1" si="13"/>
        <v>581016</v>
      </c>
      <c r="EE16" s="92">
        <f t="shared" ca="1" si="13"/>
        <v>581016</v>
      </c>
      <c r="EF16" s="92">
        <f t="shared" ca="1" si="13"/>
        <v>581016</v>
      </c>
      <c r="EG16" s="92">
        <f t="shared" ca="1" si="13"/>
        <v>581016</v>
      </c>
      <c r="EH16" s="92">
        <f t="shared" ca="1" si="13"/>
        <v>581016</v>
      </c>
      <c r="EI16" s="92">
        <f t="shared" ca="1" si="13"/>
        <v>581016</v>
      </c>
      <c r="EL16" s="93">
        <f t="shared" ca="1" si="14"/>
        <v>24772</v>
      </c>
      <c r="EM16" s="93">
        <f t="shared" ca="1" si="14"/>
        <v>11260</v>
      </c>
      <c r="EN16" s="92">
        <f t="shared" ca="1" si="30"/>
        <v>195924</v>
      </c>
      <c r="EO16" s="92">
        <f t="shared" ca="1" si="30"/>
        <v>202680</v>
      </c>
      <c r="EP16" s="92">
        <f t="shared" ca="1" si="30"/>
        <v>67560</v>
      </c>
      <c r="EQ16" s="92">
        <f t="shared" ca="1" si="30"/>
        <v>90080</v>
      </c>
      <c r="ER16" s="92">
        <f t="shared" ca="1" si="30"/>
        <v>225200</v>
      </c>
      <c r="ES16" s="92">
        <f t="shared" ca="1" si="15"/>
        <v>90080</v>
      </c>
      <c r="ET16" s="92">
        <f t="shared" ca="1" si="15"/>
        <v>22520</v>
      </c>
      <c r="EU16" s="92">
        <f t="shared" ca="1" si="15"/>
        <v>22520</v>
      </c>
      <c r="EV16" s="92">
        <f t="shared" ca="1" si="15"/>
        <v>22520</v>
      </c>
      <c r="EW16" s="92">
        <f t="shared" ca="1" si="15"/>
        <v>22520</v>
      </c>
      <c r="EX16" s="92">
        <f t="shared" ca="1" si="15"/>
        <v>22520</v>
      </c>
      <c r="EY16" s="92">
        <f t="shared" ca="1" si="15"/>
        <v>22520</v>
      </c>
      <c r="EZ16" s="92">
        <f t="shared" ca="1" si="15"/>
        <v>22520</v>
      </c>
      <c r="FA16" s="92">
        <f t="shared" ca="1" si="15"/>
        <v>22520</v>
      </c>
      <c r="FB16" s="92">
        <f t="shared" ca="1" si="15"/>
        <v>11260</v>
      </c>
      <c r="FC16" s="92">
        <f t="shared" ca="1" si="15"/>
        <v>11260</v>
      </c>
      <c r="FD16" s="92">
        <f t="shared" ca="1" si="15"/>
        <v>22520</v>
      </c>
      <c r="FE16" s="92">
        <f t="shared" ca="1" si="15"/>
        <v>22520</v>
      </c>
      <c r="FF16" s="92">
        <f t="shared" ca="1" si="15"/>
        <v>22520</v>
      </c>
      <c r="FG16" s="92">
        <f t="shared" ca="1" si="15"/>
        <v>22520</v>
      </c>
      <c r="FH16" s="92">
        <f t="shared" ca="1" si="15"/>
        <v>0</v>
      </c>
      <c r="FI16" s="92">
        <f t="shared" ca="1" si="16"/>
        <v>0</v>
      </c>
      <c r="FJ16" s="92">
        <f t="shared" ca="1" si="16"/>
        <v>0</v>
      </c>
      <c r="FK16" s="92">
        <f t="shared" ca="1" si="16"/>
        <v>0</v>
      </c>
      <c r="FL16" s="92">
        <f t="shared" ca="1" si="16"/>
        <v>0</v>
      </c>
      <c r="FM16" s="92">
        <f t="shared" ca="1" si="16"/>
        <v>0</v>
      </c>
      <c r="FN16" s="94">
        <f t="shared" ca="1" si="39"/>
        <v>0</v>
      </c>
      <c r="FP16" s="95">
        <f t="shared" ca="1" si="17"/>
        <v>30</v>
      </c>
      <c r="FQ16" s="95">
        <f t="shared" ca="1" si="17"/>
        <v>30</v>
      </c>
      <c r="FR16" s="95">
        <f t="shared" ca="1" si="40"/>
        <v>5.862068965517242</v>
      </c>
      <c r="FS16" s="95">
        <f t="shared" ca="1" si="40"/>
        <v>2</v>
      </c>
      <c r="FT16" s="95">
        <f t="shared" ca="1" si="40"/>
        <v>3</v>
      </c>
      <c r="FU16" s="95">
        <f t="shared" ca="1" si="40"/>
        <v>22.5</v>
      </c>
      <c r="FV16" s="95">
        <f t="shared" ca="1" si="40"/>
        <v>26.1</v>
      </c>
      <c r="FW16" s="95">
        <f t="shared" ca="1" si="40"/>
        <v>6</v>
      </c>
      <c r="FX16" s="95">
        <f t="shared" ca="1" si="40"/>
        <v>99</v>
      </c>
      <c r="FY16" s="95">
        <f t="shared" ca="1" si="40"/>
        <v>1134</v>
      </c>
      <c r="FZ16" s="95">
        <f t="shared" ca="1" si="40"/>
        <v>1104</v>
      </c>
      <c r="GA16" s="95">
        <f t="shared" ca="1" si="40"/>
        <v>1074</v>
      </c>
      <c r="GB16" s="95">
        <f t="shared" ca="1" si="40"/>
        <v>1044</v>
      </c>
      <c r="GC16" s="95">
        <f t="shared" ca="1" si="40"/>
        <v>1013.9999999999999</v>
      </c>
      <c r="GD16" s="95">
        <f t="shared" ca="1" si="40"/>
        <v>983.99999999999989</v>
      </c>
      <c r="GE16" s="95">
        <f t="shared" ca="1" si="40"/>
        <v>954</v>
      </c>
      <c r="GF16" s="95">
        <f t="shared" ca="1" si="40"/>
        <v>1848</v>
      </c>
      <c r="GG16" s="95">
        <f t="shared" ca="1" si="40"/>
        <v>1818</v>
      </c>
      <c r="GH16" s="95">
        <f t="shared" ca="1" si="41"/>
        <v>894</v>
      </c>
      <c r="GI16" s="95">
        <f t="shared" ca="1" si="41"/>
        <v>864</v>
      </c>
      <c r="GJ16" s="95">
        <f t="shared" ca="1" si="41"/>
        <v>834</v>
      </c>
      <c r="GK16" s="95">
        <f t="shared" ca="1" si="41"/>
        <v>804</v>
      </c>
      <c r="GL16" s="95">
        <f t="shared" ca="1" si="41"/>
        <v>0</v>
      </c>
      <c r="GM16" s="95">
        <f t="shared" ca="1" si="38"/>
        <v>0</v>
      </c>
      <c r="GN16" s="95">
        <f t="shared" ca="1" si="38"/>
        <v>0</v>
      </c>
      <c r="GO16" s="95">
        <f t="shared" ca="1" si="38"/>
        <v>0</v>
      </c>
      <c r="GP16" s="95">
        <f t="shared" ca="1" si="38"/>
        <v>0</v>
      </c>
      <c r="GQ16" s="95">
        <f t="shared" ca="1" si="38"/>
        <v>0</v>
      </c>
      <c r="GS16" s="7">
        <v>18.497497060000001</v>
      </c>
      <c r="GT16" s="96">
        <f ca="1">$GS16*BG16/2</f>
        <v>27746.245590000002</v>
      </c>
      <c r="GU16" s="96">
        <f t="shared" ref="GU16:HH16" ca="1" si="44">$GS16*BH16/2</f>
        <v>36994.994120000003</v>
      </c>
      <c r="GV16" s="96">
        <f t="shared" ca="1" si="44"/>
        <v>92487.4853</v>
      </c>
      <c r="GW16" s="96">
        <f t="shared" ca="1" si="44"/>
        <v>36994.994120000003</v>
      </c>
      <c r="GX16" s="96">
        <f t="shared" ca="1" si="44"/>
        <v>9248.7485300000008</v>
      </c>
      <c r="GY16" s="96">
        <f t="shared" ca="1" si="44"/>
        <v>9248.7485300000008</v>
      </c>
      <c r="GZ16" s="96">
        <f t="shared" ca="1" si="44"/>
        <v>9248.7485300000008</v>
      </c>
      <c r="HA16" s="96">
        <f t="shared" ca="1" si="44"/>
        <v>9248.7485300000008</v>
      </c>
      <c r="HB16" s="96">
        <f t="shared" ca="1" si="44"/>
        <v>9248.7485300000008</v>
      </c>
      <c r="HC16" s="96">
        <f t="shared" ca="1" si="44"/>
        <v>9248.7485300000008</v>
      </c>
      <c r="HD16" s="96">
        <f t="shared" ca="1" si="44"/>
        <v>9248.7485300000008</v>
      </c>
      <c r="HE16" s="96">
        <f t="shared" ca="1" si="44"/>
        <v>9248.7485300000008</v>
      </c>
      <c r="HF16" s="96">
        <f t="shared" ca="1" si="44"/>
        <v>4624.3742650000004</v>
      </c>
      <c r="HG16" s="96">
        <f t="shared" ca="1" si="44"/>
        <v>4624.3742650000004</v>
      </c>
      <c r="HH16" s="96">
        <f t="shared" ca="1" si="44"/>
        <v>9248.7485300000008</v>
      </c>
      <c r="HI16" s="96">
        <v>0</v>
      </c>
      <c r="HJ16" s="96">
        <v>0</v>
      </c>
      <c r="HK16" s="96">
        <v>0</v>
      </c>
      <c r="HL16" s="96">
        <v>0</v>
      </c>
      <c r="HM16" s="96">
        <v>0</v>
      </c>
      <c r="HN16" s="96">
        <v>0</v>
      </c>
      <c r="HO16" s="96">
        <v>0</v>
      </c>
      <c r="HP16" s="96">
        <v>0</v>
      </c>
      <c r="HQ16" s="96">
        <v>0</v>
      </c>
      <c r="HS16" s="97">
        <f t="shared" ca="1" si="21"/>
        <v>5549.2491179999997</v>
      </c>
    </row>
    <row r="17" spans="1:227" ht="17.25" thickTop="1" thickBot="1" x14ac:dyDescent="0.3">
      <c r="A17" s="16" t="s">
        <v>44</v>
      </c>
      <c r="B17" s="73" t="s">
        <v>347</v>
      </c>
      <c r="C17" s="73" t="s">
        <v>348</v>
      </c>
      <c r="D17" s="74" t="s">
        <v>0</v>
      </c>
      <c r="E17" s="74" t="s">
        <v>349</v>
      </c>
      <c r="F17" s="73"/>
      <c r="G17" s="75">
        <f ca="1">127+6</f>
        <v>133</v>
      </c>
      <c r="H17" s="75">
        <v>133</v>
      </c>
      <c r="I17" s="75">
        <f ca="1">G17+H17</f>
        <v>266</v>
      </c>
      <c r="J17" s="76">
        <f ca="1">[1]Parameters!$C$3+G17</f>
        <v>45964</v>
      </c>
      <c r="K17" s="77">
        <f t="shared" ca="1" si="23"/>
        <v>11</v>
      </c>
      <c r="L17" s="77">
        <f t="shared" ca="1" si="24"/>
        <v>2025</v>
      </c>
      <c r="M17" s="76">
        <f ca="1">[1]Parameters!$C$3+I17</f>
        <v>46097</v>
      </c>
      <c r="N17" s="77">
        <f t="shared" ca="1" si="25"/>
        <v>3</v>
      </c>
      <c r="O17" s="77">
        <f t="shared" ca="1" si="26"/>
        <v>2026</v>
      </c>
      <c r="P17" s="78">
        <v>0.98</v>
      </c>
      <c r="Q17" s="79" t="str">
        <f ca="1">VLOOKUP(A17,[1]ABC!A:G,7,0)</f>
        <v>B</v>
      </c>
      <c r="R17" s="80">
        <f t="shared" ca="1" si="9"/>
        <v>1.2543820801207908</v>
      </c>
      <c r="S17" s="81">
        <v>74.56</v>
      </c>
      <c r="T17" s="82">
        <f t="shared" ca="1" si="10"/>
        <v>1300</v>
      </c>
      <c r="U17" s="83">
        <f t="shared" ca="1" si="43"/>
        <v>5400</v>
      </c>
      <c r="V17" s="80">
        <v>2100</v>
      </c>
      <c r="W17" s="80">
        <f t="shared" ca="1" si="27"/>
        <v>6300</v>
      </c>
      <c r="X17" s="101" t="s">
        <v>350</v>
      </c>
      <c r="Y17" s="84">
        <v>8.1999999999999993</v>
      </c>
      <c r="Z17" s="85">
        <v>2039</v>
      </c>
      <c r="AA17" s="85">
        <v>45</v>
      </c>
      <c r="AB17" s="85">
        <v>4100</v>
      </c>
      <c r="AC17" s="85">
        <v>2277</v>
      </c>
      <c r="AD17" s="85">
        <v>1975</v>
      </c>
      <c r="AE17" s="85">
        <v>2153</v>
      </c>
      <c r="AF17" s="85">
        <v>2811</v>
      </c>
      <c r="AG17" s="85">
        <v>984</v>
      </c>
      <c r="AH17" s="85">
        <v>1444</v>
      </c>
      <c r="AI17" s="75">
        <v>5915</v>
      </c>
      <c r="AJ17" s="75">
        <f t="shared" ca="1" si="11"/>
        <v>6094.5990000000002</v>
      </c>
      <c r="AK17" s="75">
        <f t="shared" ca="1" si="11"/>
        <v>6598.8190000000004</v>
      </c>
      <c r="AL17" s="75">
        <f t="shared" ca="1" si="11"/>
        <v>6960.9489999999996</v>
      </c>
      <c r="AM17" s="75">
        <f t="shared" ca="1" si="11"/>
        <v>9209.9439999999995</v>
      </c>
      <c r="AN17" s="75">
        <f t="shared" ca="1" si="11"/>
        <v>9432.17</v>
      </c>
      <c r="AO17" s="75">
        <f t="shared" ca="1" si="11"/>
        <v>7836.17</v>
      </c>
      <c r="AP17" s="75">
        <f t="shared" ca="1" si="11"/>
        <v>6098.17</v>
      </c>
      <c r="AQ17" s="75">
        <f t="shared" ca="1" si="11"/>
        <v>8347.17</v>
      </c>
      <c r="AR17" s="75">
        <f t="shared" ca="1" si="11"/>
        <v>8569.17</v>
      </c>
      <c r="AS17" s="75">
        <f t="shared" ca="1" si="11"/>
        <v>6369.17</v>
      </c>
      <c r="AT17" s="75">
        <f t="shared" ca="1" si="11"/>
        <v>5039.17</v>
      </c>
      <c r="AU17" s="75">
        <f t="shared" ca="1" si="11"/>
        <v>3236.17</v>
      </c>
      <c r="AV17" s="75">
        <f t="shared" ca="1" si="11"/>
        <v>1433.17</v>
      </c>
      <c r="AW17" s="75">
        <f t="shared" ca="1" si="11"/>
        <v>1433.17</v>
      </c>
      <c r="AX17" s="75">
        <f t="shared" ca="1" si="11"/>
        <v>1433.17</v>
      </c>
      <c r="AY17" s="75">
        <f t="shared" ca="1" si="11"/>
        <v>1433.17</v>
      </c>
      <c r="AZ17" s="75">
        <f t="shared" ca="1" si="12"/>
        <v>1433.17</v>
      </c>
      <c r="BA17" s="75">
        <f t="shared" ca="1" si="12"/>
        <v>1433.17</v>
      </c>
      <c r="BB17" s="166"/>
      <c r="BC17" s="86">
        <v>2054.88</v>
      </c>
      <c r="BD17" s="86">
        <v>42.83</v>
      </c>
      <c r="BE17" s="86">
        <v>1681.0833333333333</v>
      </c>
      <c r="BF17" s="86">
        <v>1681.0833333333333</v>
      </c>
      <c r="BG17" s="86">
        <v>1322.53</v>
      </c>
      <c r="BH17" s="86">
        <v>2123.6990000000001</v>
      </c>
      <c r="BI17" s="86">
        <v>2929.24</v>
      </c>
      <c r="BJ17" s="86">
        <v>1138.9059999999999</v>
      </c>
      <c r="BK17" s="86">
        <v>1628.57</v>
      </c>
      <c r="BL17" s="86">
        <v>1920.4010000000001</v>
      </c>
      <c r="BM17" s="86">
        <v>1595.78</v>
      </c>
      <c r="BN17" s="86">
        <v>1737.87</v>
      </c>
      <c r="BO17" s="86">
        <v>1951.0050000000001</v>
      </c>
      <c r="BP17" s="86">
        <v>1877.7739999999999</v>
      </c>
      <c r="BQ17" s="86">
        <v>1596</v>
      </c>
      <c r="BR17" s="86">
        <v>1738</v>
      </c>
      <c r="BS17" s="86">
        <v>1951</v>
      </c>
      <c r="BT17" s="86">
        <v>1878</v>
      </c>
      <c r="BU17" s="86">
        <v>2200</v>
      </c>
      <c r="BV17" s="86">
        <v>1330</v>
      </c>
      <c r="BW17" s="86">
        <f ca="1">VLOOKUP(A17,[3]Export!$B:$Q,16,0)</f>
        <v>1803</v>
      </c>
      <c r="BX17" s="86">
        <v>1803</v>
      </c>
      <c r="BY17" s="86">
        <v>0</v>
      </c>
      <c r="BZ17" s="86">
        <v>0</v>
      </c>
      <c r="CA17" s="86">
        <v>0</v>
      </c>
      <c r="CB17" s="86">
        <v>0</v>
      </c>
      <c r="CC17" s="86">
        <v>0</v>
      </c>
      <c r="CD17" s="86">
        <v>0</v>
      </c>
      <c r="CE17" s="86">
        <f t="shared" ca="1" si="28"/>
        <v>212.94585679869516</v>
      </c>
      <c r="CF17" s="87"/>
      <c r="CG17" s="86">
        <v>0</v>
      </c>
      <c r="CH17" s="86">
        <v>0</v>
      </c>
      <c r="CI17" s="86">
        <v>0</v>
      </c>
      <c r="CJ17" s="86">
        <v>0</v>
      </c>
      <c r="CK17" s="86">
        <v>0</v>
      </c>
      <c r="CL17" s="86">
        <v>0</v>
      </c>
      <c r="CM17" s="86">
        <v>0</v>
      </c>
      <c r="CN17" s="86">
        <v>0</v>
      </c>
      <c r="CO17" s="89">
        <v>2100</v>
      </c>
      <c r="CP17" s="89">
        <f ca="1">2100</f>
        <v>2100</v>
      </c>
      <c r="CQ17" s="86">
        <v>2100</v>
      </c>
      <c r="CR17" s="89">
        <v>4200</v>
      </c>
      <c r="CS17" s="86">
        <v>2100</v>
      </c>
      <c r="CT17" s="86">
        <v>0</v>
      </c>
      <c r="CU17" s="90">
        <v>0</v>
      </c>
      <c r="CV17" s="86">
        <f ca="1">2100*2</f>
        <v>4200</v>
      </c>
      <c r="CW17" s="90">
        <v>2100</v>
      </c>
      <c r="CX17" s="90">
        <v>0</v>
      </c>
      <c r="CY17" s="90">
        <v>0</v>
      </c>
      <c r="CZ17" s="90">
        <v>0</v>
      </c>
      <c r="DA17" s="90">
        <v>0</v>
      </c>
      <c r="DB17" s="90">
        <v>0</v>
      </c>
      <c r="DC17" s="90">
        <v>0</v>
      </c>
      <c r="DD17" s="90">
        <v>0</v>
      </c>
      <c r="DE17" s="90">
        <v>0</v>
      </c>
      <c r="DF17" s="90">
        <v>0</v>
      </c>
      <c r="DG17" s="86">
        <v>0</v>
      </c>
      <c r="DI17" s="91">
        <f ca="1">VLOOKUP(A17,'[2]2-Relatório'!$A:$J,9,0)</f>
        <v>70.650000000000006</v>
      </c>
      <c r="DJ17" s="92">
        <f t="shared" ca="1" si="29"/>
        <v>289665</v>
      </c>
      <c r="DK17" s="92">
        <f t="shared" ca="1" si="29"/>
        <v>160870.05000000002</v>
      </c>
      <c r="DL17" s="92">
        <f t="shared" ca="1" si="29"/>
        <v>139533.75</v>
      </c>
      <c r="DM17" s="92">
        <f t="shared" ca="1" si="29"/>
        <v>152109.45000000001</v>
      </c>
      <c r="DN17" s="92">
        <f t="shared" ca="1" si="29"/>
        <v>198597.15000000002</v>
      </c>
      <c r="DO17" s="92">
        <f t="shared" ca="1" si="13"/>
        <v>69519.600000000006</v>
      </c>
      <c r="DP17" s="92">
        <f t="shared" ca="1" si="13"/>
        <v>102018.6</v>
      </c>
      <c r="DQ17" s="92">
        <f t="shared" ca="1" si="13"/>
        <v>417894.75000000006</v>
      </c>
      <c r="DR17" s="92">
        <f t="shared" ref="DR17:EG34" ca="1" si="45">AJ17*$DI17</f>
        <v>430583.41935000004</v>
      </c>
      <c r="DS17" s="92">
        <f t="shared" ca="1" si="45"/>
        <v>466206.56235000008</v>
      </c>
      <c r="DT17" s="92">
        <f t="shared" ca="1" si="45"/>
        <v>491791.04684999998</v>
      </c>
      <c r="DU17" s="92">
        <f t="shared" ca="1" si="45"/>
        <v>650682.54359999998</v>
      </c>
      <c r="DV17" s="92">
        <f t="shared" ca="1" si="45"/>
        <v>666382.81050000002</v>
      </c>
      <c r="DW17" s="92">
        <f t="shared" ca="1" si="45"/>
        <v>553625.4105</v>
      </c>
      <c r="DX17" s="92">
        <f t="shared" ca="1" si="45"/>
        <v>430835.71050000004</v>
      </c>
      <c r="DY17" s="92">
        <f t="shared" ca="1" si="45"/>
        <v>589727.56050000002</v>
      </c>
      <c r="DZ17" s="92">
        <f t="shared" ca="1" si="45"/>
        <v>605411.86050000007</v>
      </c>
      <c r="EA17" s="92">
        <f t="shared" ca="1" si="45"/>
        <v>449981.86050000007</v>
      </c>
      <c r="EB17" s="92">
        <f t="shared" ca="1" si="45"/>
        <v>356017.36050000001</v>
      </c>
      <c r="EC17" s="92">
        <f t="shared" ca="1" si="45"/>
        <v>228635.41050000003</v>
      </c>
      <c r="ED17" s="92">
        <f t="shared" ca="1" si="45"/>
        <v>101253.46050000002</v>
      </c>
      <c r="EE17" s="92">
        <f t="shared" ca="1" si="45"/>
        <v>101253.46050000002</v>
      </c>
      <c r="EF17" s="92">
        <f t="shared" ca="1" si="45"/>
        <v>101253.46050000002</v>
      </c>
      <c r="EG17" s="92">
        <f t="shared" ca="1" si="45"/>
        <v>101253.46050000002</v>
      </c>
      <c r="EH17" s="92">
        <f t="shared" ref="EH17:EI51" ca="1" si="46">AZ17*$DI17</f>
        <v>101253.46050000002</v>
      </c>
      <c r="EI17" s="92">
        <f t="shared" ca="1" si="46"/>
        <v>101253.46050000002</v>
      </c>
      <c r="EL17" s="93">
        <f t="shared" ca="1" si="14"/>
        <v>153211.85280000002</v>
      </c>
      <c r="EM17" s="93">
        <f t="shared" ca="1" si="14"/>
        <v>3193.4047999999998</v>
      </c>
      <c r="EN17" s="92">
        <f t="shared" ca="1" si="30"/>
        <v>118768.53750000001</v>
      </c>
      <c r="EO17" s="92">
        <f t="shared" ca="1" si="30"/>
        <v>118768.53750000001</v>
      </c>
      <c r="EP17" s="92">
        <f t="shared" ca="1" si="30"/>
        <v>93436.744500000001</v>
      </c>
      <c r="EQ17" s="92">
        <f t="shared" ca="1" si="30"/>
        <v>150039.33435000002</v>
      </c>
      <c r="ER17" s="92">
        <f t="shared" ca="1" si="30"/>
        <v>206950.80600000001</v>
      </c>
      <c r="ES17" s="92">
        <f t="shared" ca="1" si="15"/>
        <v>80463.708899999998</v>
      </c>
      <c r="ET17" s="92">
        <f t="shared" ca="1" si="15"/>
        <v>115058.47050000001</v>
      </c>
      <c r="EU17" s="92">
        <f t="shared" ca="1" si="15"/>
        <v>135676.33065000002</v>
      </c>
      <c r="EV17" s="92">
        <f t="shared" ca="1" si="15"/>
        <v>112741.857</v>
      </c>
      <c r="EW17" s="92">
        <f t="shared" ca="1" si="15"/>
        <v>122780.51550000001</v>
      </c>
      <c r="EX17" s="92">
        <f t="shared" ca="1" si="15"/>
        <v>137838.50325000001</v>
      </c>
      <c r="EY17" s="92">
        <f t="shared" ca="1" si="15"/>
        <v>132664.73310000001</v>
      </c>
      <c r="EZ17" s="92">
        <f t="shared" ca="1" si="15"/>
        <v>112757.40000000001</v>
      </c>
      <c r="FA17" s="92">
        <f t="shared" ca="1" si="15"/>
        <v>122789.70000000001</v>
      </c>
      <c r="FB17" s="92">
        <f t="shared" ca="1" si="15"/>
        <v>137838.15000000002</v>
      </c>
      <c r="FC17" s="92">
        <f t="shared" ca="1" si="15"/>
        <v>132680.70000000001</v>
      </c>
      <c r="FD17" s="92">
        <f t="shared" ca="1" si="15"/>
        <v>155430</v>
      </c>
      <c r="FE17" s="92">
        <f t="shared" ca="1" si="15"/>
        <v>93964.500000000015</v>
      </c>
      <c r="FF17" s="92">
        <f t="shared" ca="1" si="15"/>
        <v>127381.95000000001</v>
      </c>
      <c r="FG17" s="92">
        <f t="shared" ca="1" si="15"/>
        <v>127381.95000000001</v>
      </c>
      <c r="FH17" s="92">
        <f t="shared" ca="1" si="15"/>
        <v>0</v>
      </c>
      <c r="FI17" s="92">
        <f t="shared" ca="1" si="16"/>
        <v>0</v>
      </c>
      <c r="FJ17" s="92">
        <f t="shared" ca="1" si="16"/>
        <v>0</v>
      </c>
      <c r="FK17" s="92">
        <f t="shared" ca="1" si="16"/>
        <v>0</v>
      </c>
      <c r="FL17" s="92">
        <f t="shared" ca="1" si="16"/>
        <v>0</v>
      </c>
      <c r="FM17" s="92">
        <f t="shared" ca="1" si="16"/>
        <v>0</v>
      </c>
      <c r="FN17" s="94">
        <f ca="1">SUM(CO17:CU17)</f>
        <v>12600</v>
      </c>
      <c r="FO17" s="94">
        <f ca="1">SUM(CV17:DA17)</f>
        <v>6300</v>
      </c>
      <c r="FP17" s="95">
        <f t="shared" ca="1" si="17"/>
        <v>29.768161644475587</v>
      </c>
      <c r="FQ17" s="95">
        <f t="shared" ca="1" si="17"/>
        <v>31.51996264300724</v>
      </c>
      <c r="FR17" s="95">
        <f t="shared" ca="1" si="40"/>
        <v>73.167104545679862</v>
      </c>
      <c r="FS17" s="95">
        <f t="shared" ca="1" si="40"/>
        <v>40.634511475734897</v>
      </c>
      <c r="FT17" s="95">
        <f t="shared" ca="1" si="40"/>
        <v>44.800496018993897</v>
      </c>
      <c r="FU17" s="95">
        <f t="shared" ca="1" si="40"/>
        <v>30.413914589591084</v>
      </c>
      <c r="FV17" s="95">
        <f t="shared" ca="1" si="40"/>
        <v>28.7890374295039</v>
      </c>
      <c r="FW17" s="95">
        <f t="shared" ca="1" si="40"/>
        <v>25.919610573655774</v>
      </c>
      <c r="FX17" s="95">
        <f t="shared" ca="1" si="40"/>
        <v>26.6000233333538</v>
      </c>
      <c r="FY17" s="95">
        <f t="shared" ca="1" si="40"/>
        <v>92.4025763369213</v>
      </c>
      <c r="FZ17" s="95">
        <f t="shared" ca="1" si="40"/>
        <v>114.5759252528544</v>
      </c>
      <c r="GA17" s="95">
        <f t="shared" ca="1" si="40"/>
        <v>113.91218560651834</v>
      </c>
      <c r="GB17" s="95">
        <f t="shared" ca="1" si="40"/>
        <v>107.0363581846279</v>
      </c>
      <c r="GC17" s="95">
        <f t="shared" ca="1" si="40"/>
        <v>147.14141318390816</v>
      </c>
      <c r="GD17" s="95">
        <f t="shared" ca="1" si="40"/>
        <v>177.29642857142858</v>
      </c>
      <c r="GE17" s="95">
        <f t="shared" ca="1" si="40"/>
        <v>135.26185270425773</v>
      </c>
      <c r="GF17" s="95">
        <f t="shared" ca="1" si="40"/>
        <v>93.769912865197327</v>
      </c>
      <c r="GG17" s="95">
        <f t="shared" ca="1" si="40"/>
        <v>133.34137380191692</v>
      </c>
      <c r="GH17" s="95">
        <f t="shared" ca="1" si="41"/>
        <v>116.85231818181821</v>
      </c>
      <c r="GI17" s="95">
        <f t="shared" ca="1" si="41"/>
        <v>143.66548872180451</v>
      </c>
      <c r="GJ17" s="95">
        <f t="shared" ca="1" si="41"/>
        <v>83.846422628951743</v>
      </c>
      <c r="GK17" s="95">
        <f t="shared" ca="1" si="41"/>
        <v>53.84642262895175</v>
      </c>
      <c r="GL17" s="95">
        <f t="shared" ca="1" si="41"/>
        <v>0</v>
      </c>
      <c r="GM17" s="95">
        <f t="shared" ca="1" si="38"/>
        <v>0</v>
      </c>
      <c r="GN17" s="95">
        <f t="shared" ca="1" si="38"/>
        <v>0</v>
      </c>
      <c r="GO17" s="95">
        <f t="shared" ca="1" si="38"/>
        <v>0</v>
      </c>
      <c r="GP17" s="95">
        <f t="shared" ca="1" si="38"/>
        <v>0</v>
      </c>
      <c r="GQ17" s="95">
        <f t="shared" ca="1" si="38"/>
        <v>0</v>
      </c>
      <c r="GS17" s="7">
        <v>164.27945243049999</v>
      </c>
      <c r="GT17" s="96">
        <f t="shared" ref="GT17:HI34" ca="1" si="47">$GS17*BG17</f>
        <v>217264.50422290913</v>
      </c>
      <c r="GU17" s="96">
        <f t="shared" ca="1" si="47"/>
        <v>348880.1088472004</v>
      </c>
      <c r="GV17" s="96">
        <f t="shared" ca="1" si="47"/>
        <v>481213.94323751773</v>
      </c>
      <c r="GW17" s="96">
        <f t="shared" ca="1" si="47"/>
        <v>187098.85404981102</v>
      </c>
      <c r="GX17" s="96">
        <f t="shared" ca="1" si="47"/>
        <v>267540.58784473938</v>
      </c>
      <c r="GY17" s="96">
        <f t="shared" ca="1" si="47"/>
        <v>315482.42472698464</v>
      </c>
      <c r="GZ17" s="96">
        <f t="shared" ca="1" si="47"/>
        <v>262153.86459954327</v>
      </c>
      <c r="HA17" s="96">
        <f t="shared" ca="1" si="47"/>
        <v>285496.33199539297</v>
      </c>
      <c r="HB17" s="96">
        <f t="shared" ca="1" si="47"/>
        <v>320510.03308916767</v>
      </c>
      <c r="HC17" s="96">
        <f t="shared" ca="1" si="47"/>
        <v>308479.68450822966</v>
      </c>
      <c r="HD17" s="96">
        <f t="shared" ca="1" si="47"/>
        <v>262190.00607907795</v>
      </c>
      <c r="HE17" s="96">
        <f t="shared" ca="1" si="47"/>
        <v>285517.68832420895</v>
      </c>
      <c r="HF17" s="96">
        <f t="shared" ca="1" si="47"/>
        <v>320509.21169190545</v>
      </c>
      <c r="HG17" s="96">
        <f t="shared" ca="1" si="47"/>
        <v>308516.81166447897</v>
      </c>
      <c r="HH17" s="96">
        <f t="shared" ca="1" si="47"/>
        <v>361414.79534709995</v>
      </c>
      <c r="HI17" s="96">
        <f t="shared" ca="1" si="47"/>
        <v>218491.67173256498</v>
      </c>
      <c r="HJ17" s="96">
        <f t="shared" ref="HJ17:HQ51" ca="1" si="48">$GS17*BW17</f>
        <v>296195.8527321915</v>
      </c>
      <c r="HK17" s="96">
        <f t="shared" ca="1" si="48"/>
        <v>296195.8527321915</v>
      </c>
      <c r="HL17" s="96">
        <f t="shared" ca="1" si="48"/>
        <v>0</v>
      </c>
      <c r="HM17" s="96">
        <f t="shared" ca="1" si="48"/>
        <v>0</v>
      </c>
      <c r="HN17" s="96">
        <f t="shared" ca="1" si="48"/>
        <v>0</v>
      </c>
      <c r="HO17" s="96">
        <f t="shared" ca="1" si="48"/>
        <v>0</v>
      </c>
      <c r="HP17" s="96">
        <f t="shared" ca="1" si="48"/>
        <v>0</v>
      </c>
      <c r="HQ17" s="96">
        <f t="shared" ca="1" si="48"/>
        <v>0</v>
      </c>
      <c r="HS17" s="97">
        <f t="shared" ca="1" si="21"/>
        <v>324451.91855023749</v>
      </c>
    </row>
    <row r="18" spans="1:227" ht="17.25" thickTop="1" thickBot="1" x14ac:dyDescent="0.3">
      <c r="A18" s="16" t="s">
        <v>24</v>
      </c>
      <c r="B18" s="73" t="s">
        <v>351</v>
      </c>
      <c r="C18" s="73" t="s">
        <v>352</v>
      </c>
      <c r="D18" s="74" t="s">
        <v>0</v>
      </c>
      <c r="E18" s="74" t="s">
        <v>349</v>
      </c>
      <c r="F18" s="73"/>
      <c r="G18" s="75">
        <f t="shared" ref="G18:G21" ca="1" si="49">127+6</f>
        <v>133</v>
      </c>
      <c r="H18" s="75">
        <v>133</v>
      </c>
      <c r="I18" s="75">
        <f t="shared" ref="I18:I26" ca="1" si="50">G18+H18</f>
        <v>266</v>
      </c>
      <c r="J18" s="76">
        <f ca="1">[1]Parameters!$C$3+G18</f>
        <v>45964</v>
      </c>
      <c r="K18" s="77">
        <f t="shared" ca="1" si="23"/>
        <v>11</v>
      </c>
      <c r="L18" s="77">
        <f t="shared" ca="1" si="24"/>
        <v>2025</v>
      </c>
      <c r="M18" s="76">
        <f ca="1">[1]Parameters!$C$3+I18</f>
        <v>46097</v>
      </c>
      <c r="N18" s="77">
        <f t="shared" ca="1" si="25"/>
        <v>3</v>
      </c>
      <c r="O18" s="77">
        <f t="shared" ca="1" si="26"/>
        <v>2026</v>
      </c>
      <c r="P18" s="78">
        <v>0.98</v>
      </c>
      <c r="Q18" s="79" t="str">
        <f ca="1">VLOOKUP(A18,[1]ABC!A:G,7,0)</f>
        <v>A</v>
      </c>
      <c r="R18" s="80">
        <f t="shared" ca="1" si="9"/>
        <v>0.64943289534585713</v>
      </c>
      <c r="S18" s="81">
        <v>71.58</v>
      </c>
      <c r="T18" s="82">
        <f t="shared" ca="1" si="10"/>
        <v>5800</v>
      </c>
      <c r="U18" s="83">
        <f t="shared" ca="1" si="43"/>
        <v>13500</v>
      </c>
      <c r="V18" s="80">
        <v>3000</v>
      </c>
      <c r="W18" s="80">
        <f t="shared" ca="1" si="27"/>
        <v>15000</v>
      </c>
      <c r="X18" s="80"/>
      <c r="Y18" s="84">
        <v>6.72</v>
      </c>
      <c r="Z18" s="85">
        <v>3024</v>
      </c>
      <c r="AA18" s="85">
        <v>37</v>
      </c>
      <c r="AB18" s="85">
        <v>6025</v>
      </c>
      <c r="AC18" s="85">
        <v>5993</v>
      </c>
      <c r="AD18" s="85">
        <v>3032</v>
      </c>
      <c r="AE18" s="85">
        <v>4612</v>
      </c>
      <c r="AF18" s="85">
        <v>5281</v>
      </c>
      <c r="AG18" s="85">
        <v>2133</v>
      </c>
      <c r="AH18" s="85">
        <v>3323</v>
      </c>
      <c r="AI18" s="75">
        <v>2360</v>
      </c>
      <c r="AJ18" s="75">
        <f t="shared" ca="1" si="11"/>
        <v>2369</v>
      </c>
      <c r="AK18" s="75">
        <f t="shared" ca="1" si="11"/>
        <v>5382</v>
      </c>
      <c r="AL18" s="75">
        <f t="shared" ca="1" si="11"/>
        <v>7962</v>
      </c>
      <c r="AM18" s="75">
        <f t="shared" ca="1" si="11"/>
        <v>12908</v>
      </c>
      <c r="AN18" s="75">
        <f t="shared" ca="1" si="11"/>
        <v>13908</v>
      </c>
      <c r="AO18" s="75">
        <f t="shared" ca="1" si="11"/>
        <v>14908</v>
      </c>
      <c r="AP18" s="75">
        <f t="shared" ca="1" si="11"/>
        <v>18908</v>
      </c>
      <c r="AQ18" s="75">
        <f t="shared" ca="1" si="11"/>
        <v>19908</v>
      </c>
      <c r="AR18" s="75">
        <f t="shared" ca="1" si="11"/>
        <v>23908</v>
      </c>
      <c r="AS18" s="75">
        <f t="shared" ca="1" si="11"/>
        <v>20408</v>
      </c>
      <c r="AT18" s="75">
        <f t="shared" ca="1" si="11"/>
        <v>16908</v>
      </c>
      <c r="AU18" s="75">
        <f t="shared" ca="1" si="11"/>
        <v>11908</v>
      </c>
      <c r="AV18" s="75">
        <f t="shared" ca="1" si="11"/>
        <v>7908</v>
      </c>
      <c r="AW18" s="75">
        <f t="shared" ca="1" si="11"/>
        <v>7908</v>
      </c>
      <c r="AX18" s="75">
        <f t="shared" ca="1" si="11"/>
        <v>7908</v>
      </c>
      <c r="AY18" s="75">
        <f t="shared" ca="1" si="11"/>
        <v>7908</v>
      </c>
      <c r="AZ18" s="75">
        <f t="shared" ca="1" si="12"/>
        <v>7908</v>
      </c>
      <c r="BA18" s="75">
        <f t="shared" ca="1" si="12"/>
        <v>7908</v>
      </c>
      <c r="BB18" s="166"/>
      <c r="BC18" s="86">
        <v>2979.98</v>
      </c>
      <c r="BD18" s="86">
        <v>24.98</v>
      </c>
      <c r="BE18" s="86">
        <v>3100</v>
      </c>
      <c r="BF18" s="86">
        <v>3100</v>
      </c>
      <c r="BG18" s="86">
        <v>1044</v>
      </c>
      <c r="BH18" s="86">
        <v>2660</v>
      </c>
      <c r="BI18" s="86">
        <v>5092</v>
      </c>
      <c r="BJ18" s="86">
        <v>3047</v>
      </c>
      <c r="BK18" s="86">
        <v>2620</v>
      </c>
      <c r="BL18" s="86">
        <v>2991</v>
      </c>
      <c r="BM18" s="86">
        <v>4007</v>
      </c>
      <c r="BN18" s="86">
        <v>3420</v>
      </c>
      <c r="BO18" s="86">
        <v>4054</v>
      </c>
      <c r="BP18" s="86">
        <v>5000</v>
      </c>
      <c r="BQ18" s="86">
        <v>5000</v>
      </c>
      <c r="BR18" s="86">
        <v>5000</v>
      </c>
      <c r="BS18" s="86">
        <v>5000</v>
      </c>
      <c r="BT18" s="86">
        <v>5000</v>
      </c>
      <c r="BU18" s="86">
        <v>6500</v>
      </c>
      <c r="BV18" s="86">
        <v>3500</v>
      </c>
      <c r="BW18" s="86">
        <f ca="1">VLOOKUP(A18,[3]Export!$B:$Q,16,0)</f>
        <v>5000</v>
      </c>
      <c r="BX18" s="86">
        <v>4000</v>
      </c>
      <c r="BY18" s="86">
        <v>0</v>
      </c>
      <c r="BZ18" s="86">
        <v>0</v>
      </c>
      <c r="CA18" s="86">
        <v>0</v>
      </c>
      <c r="CB18" s="86">
        <v>0</v>
      </c>
      <c r="CC18" s="86">
        <v>0</v>
      </c>
      <c r="CD18" s="86">
        <v>0</v>
      </c>
      <c r="CE18" s="86">
        <f t="shared" ca="1" si="28"/>
        <v>941.42558974442591</v>
      </c>
      <c r="CF18" s="87"/>
      <c r="CG18" s="86">
        <v>0</v>
      </c>
      <c r="CH18" s="86">
        <v>0</v>
      </c>
      <c r="CI18" s="86">
        <v>0</v>
      </c>
      <c r="CJ18" s="86">
        <v>0</v>
      </c>
      <c r="CK18" s="86">
        <v>0</v>
      </c>
      <c r="CL18" s="86">
        <v>0</v>
      </c>
      <c r="CM18" s="86">
        <v>0</v>
      </c>
      <c r="CN18" s="86">
        <v>0</v>
      </c>
      <c r="CO18" s="89">
        <v>3000</v>
      </c>
      <c r="CP18" s="89">
        <v>7020</v>
      </c>
      <c r="CQ18" s="89">
        <v>6000</v>
      </c>
      <c r="CR18" s="89">
        <v>9000</v>
      </c>
      <c r="CS18" s="86">
        <v>6000</v>
      </c>
      <c r="CT18" s="86">
        <v>6000</v>
      </c>
      <c r="CU18" s="90">
        <v>9000</v>
      </c>
      <c r="CV18" s="86">
        <v>6000</v>
      </c>
      <c r="CW18" s="86">
        <v>9000</v>
      </c>
      <c r="CX18" s="90">
        <v>3000</v>
      </c>
      <c r="CY18" s="90">
        <v>0</v>
      </c>
      <c r="CZ18" s="90">
        <v>0</v>
      </c>
      <c r="DA18" s="90">
        <v>0</v>
      </c>
      <c r="DB18" s="90">
        <v>0</v>
      </c>
      <c r="DC18" s="90">
        <v>0</v>
      </c>
      <c r="DD18" s="90">
        <v>0</v>
      </c>
      <c r="DE18" s="90">
        <v>0</v>
      </c>
      <c r="DF18" s="90">
        <v>0</v>
      </c>
      <c r="DG18" s="86">
        <v>0</v>
      </c>
      <c r="DI18" s="91">
        <f ca="1">VLOOKUP(A18,'[2]2-Relatório'!$A:$J,9,0)</f>
        <v>58.91</v>
      </c>
      <c r="DJ18" s="92">
        <f t="shared" ca="1" si="29"/>
        <v>354932.75</v>
      </c>
      <c r="DK18" s="92">
        <f t="shared" ca="1" si="29"/>
        <v>353047.63</v>
      </c>
      <c r="DL18" s="92">
        <f t="shared" ca="1" si="29"/>
        <v>178615.12</v>
      </c>
      <c r="DM18" s="92">
        <f t="shared" ca="1" si="29"/>
        <v>271692.92</v>
      </c>
      <c r="DN18" s="92">
        <f t="shared" ca="1" si="29"/>
        <v>311103.70999999996</v>
      </c>
      <c r="DO18" s="92">
        <f t="shared" ca="1" si="29"/>
        <v>125655.03</v>
      </c>
      <c r="DP18" s="92">
        <f t="shared" ca="1" si="29"/>
        <v>195757.93</v>
      </c>
      <c r="DQ18" s="92">
        <f t="shared" ca="1" si="29"/>
        <v>139027.6</v>
      </c>
      <c r="DR18" s="92">
        <f t="shared" ca="1" si="45"/>
        <v>139557.78999999998</v>
      </c>
      <c r="DS18" s="92">
        <f t="shared" ca="1" si="45"/>
        <v>317053.62</v>
      </c>
      <c r="DT18" s="92">
        <f t="shared" ca="1" si="45"/>
        <v>469041.42</v>
      </c>
      <c r="DU18" s="92">
        <f t="shared" ca="1" si="45"/>
        <v>760410.27999999991</v>
      </c>
      <c r="DV18" s="92">
        <f t="shared" ca="1" si="45"/>
        <v>819320.27999999991</v>
      </c>
      <c r="DW18" s="92">
        <f t="shared" ca="1" si="45"/>
        <v>878230.27999999991</v>
      </c>
      <c r="DX18" s="92">
        <f t="shared" ca="1" si="45"/>
        <v>1113870.28</v>
      </c>
      <c r="DY18" s="92">
        <f t="shared" ca="1" si="45"/>
        <v>1172780.28</v>
      </c>
      <c r="DZ18" s="92">
        <f t="shared" ca="1" si="45"/>
        <v>1408420.28</v>
      </c>
      <c r="EA18" s="92">
        <f t="shared" ca="1" si="45"/>
        <v>1202235.28</v>
      </c>
      <c r="EB18" s="92">
        <f t="shared" ca="1" si="45"/>
        <v>996050.27999999991</v>
      </c>
      <c r="EC18" s="92">
        <f t="shared" ca="1" si="45"/>
        <v>701500.27999999991</v>
      </c>
      <c r="ED18" s="92">
        <f t="shared" ca="1" si="45"/>
        <v>465860.27999999997</v>
      </c>
      <c r="EE18" s="92">
        <f t="shared" ca="1" si="45"/>
        <v>465860.27999999997</v>
      </c>
      <c r="EF18" s="92">
        <f t="shared" ca="1" si="45"/>
        <v>465860.27999999997</v>
      </c>
      <c r="EG18" s="92">
        <f t="shared" ca="1" si="45"/>
        <v>465860.27999999997</v>
      </c>
      <c r="EH18" s="92">
        <f t="shared" ca="1" si="46"/>
        <v>465860.27999999997</v>
      </c>
      <c r="EI18" s="92">
        <f t="shared" ca="1" si="46"/>
        <v>465860.27999999997</v>
      </c>
      <c r="EL18" s="93">
        <f t="shared" ca="1" si="14"/>
        <v>213306.96839999998</v>
      </c>
      <c r="EM18" s="93">
        <f t="shared" ca="1" si="14"/>
        <v>1788.0683999999999</v>
      </c>
      <c r="EN18" s="92">
        <f t="shared" ca="1" si="30"/>
        <v>182621</v>
      </c>
      <c r="EO18" s="92">
        <f t="shared" ca="1" si="30"/>
        <v>182621</v>
      </c>
      <c r="EP18" s="92">
        <f t="shared" ca="1" si="30"/>
        <v>61502.039999999994</v>
      </c>
      <c r="EQ18" s="92">
        <f t="shared" ca="1" si="30"/>
        <v>156700.59999999998</v>
      </c>
      <c r="ER18" s="92">
        <f t="shared" ca="1" si="30"/>
        <v>299969.71999999997</v>
      </c>
      <c r="ES18" s="92">
        <f t="shared" ca="1" si="15"/>
        <v>179498.77</v>
      </c>
      <c r="ET18" s="92">
        <f t="shared" ca="1" si="15"/>
        <v>154344.19999999998</v>
      </c>
      <c r="EU18" s="92">
        <f t="shared" ca="1" si="15"/>
        <v>176199.81</v>
      </c>
      <c r="EV18" s="92">
        <f t="shared" ca="1" si="15"/>
        <v>236052.37</v>
      </c>
      <c r="EW18" s="92">
        <f t="shared" ca="1" si="15"/>
        <v>201472.19999999998</v>
      </c>
      <c r="EX18" s="92">
        <f t="shared" ca="1" si="15"/>
        <v>238821.13999999998</v>
      </c>
      <c r="EY18" s="92">
        <f t="shared" ca="1" si="15"/>
        <v>294550</v>
      </c>
      <c r="EZ18" s="92">
        <f t="shared" ca="1" si="15"/>
        <v>294550</v>
      </c>
      <c r="FA18" s="92">
        <f t="shared" ca="1" si="15"/>
        <v>294550</v>
      </c>
      <c r="FB18" s="92">
        <f t="shared" ca="1" si="15"/>
        <v>294550</v>
      </c>
      <c r="FC18" s="92">
        <f t="shared" ca="1" si="15"/>
        <v>294550</v>
      </c>
      <c r="FD18" s="92">
        <f t="shared" ca="1" si="15"/>
        <v>382915</v>
      </c>
      <c r="FE18" s="92">
        <f t="shared" ca="1" si="15"/>
        <v>206185</v>
      </c>
      <c r="FF18" s="92">
        <f t="shared" ca="1" si="15"/>
        <v>294550</v>
      </c>
      <c r="FG18" s="92">
        <f t="shared" ca="1" si="15"/>
        <v>235640</v>
      </c>
      <c r="FH18" s="92">
        <f t="shared" ca="1" si="15"/>
        <v>0</v>
      </c>
      <c r="FI18" s="92">
        <f t="shared" ca="1" si="16"/>
        <v>0</v>
      </c>
      <c r="FJ18" s="92">
        <f t="shared" ca="1" si="16"/>
        <v>0</v>
      </c>
      <c r="FK18" s="92">
        <f t="shared" ca="1" si="16"/>
        <v>0</v>
      </c>
      <c r="FL18" s="92">
        <f t="shared" ca="1" si="16"/>
        <v>0</v>
      </c>
      <c r="FM18" s="92">
        <f t="shared" ca="1" si="16"/>
        <v>0</v>
      </c>
      <c r="FN18" s="94">
        <f t="shared" ref="FN18:FN21" ca="1" si="51">SUM(CO18:CU18)</f>
        <v>46020</v>
      </c>
      <c r="FO18" s="94">
        <f t="shared" ref="FO18:FO21" ca="1" si="52">SUM(CV18:DA18)</f>
        <v>18000</v>
      </c>
      <c r="FP18" s="95">
        <f t="shared" ca="1" si="17"/>
        <v>30.44315733662642</v>
      </c>
      <c r="FQ18" s="95">
        <f t="shared" ca="1" si="17"/>
        <v>44.435548438750999</v>
      </c>
      <c r="FR18" s="95">
        <f t="shared" ca="1" si="40"/>
        <v>58.306451612903224</v>
      </c>
      <c r="FS18" s="95">
        <f t="shared" ca="1" si="40"/>
        <v>57.99677419354839</v>
      </c>
      <c r="FT18" s="95">
        <f t="shared" ca="1" si="40"/>
        <v>87.1264367816092</v>
      </c>
      <c r="FU18" s="95">
        <f t="shared" ca="1" si="40"/>
        <v>52.015037593984964</v>
      </c>
      <c r="FV18" s="95">
        <f t="shared" ca="1" si="40"/>
        <v>31.113511390416338</v>
      </c>
      <c r="FW18" s="95">
        <f t="shared" ca="1" si="40"/>
        <v>21.000984574991797</v>
      </c>
      <c r="FX18" s="95">
        <f t="shared" ca="1" si="40"/>
        <v>38.049618320610691</v>
      </c>
      <c r="FY18" s="95">
        <f t="shared" ca="1" si="40"/>
        <v>23.671013039117355</v>
      </c>
      <c r="FZ18" s="95">
        <f t="shared" ca="1" si="40"/>
        <v>17.736461192912401</v>
      </c>
      <c r="GA18" s="95">
        <f t="shared" ca="1" si="40"/>
        <v>47.210526315789473</v>
      </c>
      <c r="GB18" s="95">
        <f t="shared" ca="1" si="40"/>
        <v>58.919585594474597</v>
      </c>
      <c r="GC18" s="95">
        <f t="shared" ca="1" si="40"/>
        <v>77.447999999999993</v>
      </c>
      <c r="GD18" s="95">
        <f t="shared" ca="1" si="40"/>
        <v>83.447999999999993</v>
      </c>
      <c r="GE18" s="95">
        <f t="shared" ca="1" si="40"/>
        <v>89.447999999999993</v>
      </c>
      <c r="GF18" s="95">
        <f t="shared" ca="1" si="40"/>
        <v>113.44800000000001</v>
      </c>
      <c r="GG18" s="95">
        <f t="shared" ca="1" si="40"/>
        <v>119.44800000000001</v>
      </c>
      <c r="GH18" s="95">
        <f t="shared" ca="1" si="41"/>
        <v>110.34461538461538</v>
      </c>
      <c r="GI18" s="95">
        <f t="shared" ca="1" si="41"/>
        <v>174.92571428571429</v>
      </c>
      <c r="GJ18" s="95">
        <f t="shared" ca="1" si="41"/>
        <v>101.44799999999999</v>
      </c>
      <c r="GK18" s="95">
        <f t="shared" ca="1" si="41"/>
        <v>89.309999999999988</v>
      </c>
      <c r="GL18" s="95">
        <f t="shared" ca="1" si="41"/>
        <v>0</v>
      </c>
      <c r="GM18" s="95">
        <f t="shared" ca="1" si="38"/>
        <v>0</v>
      </c>
      <c r="GN18" s="95">
        <f t="shared" ca="1" si="38"/>
        <v>0</v>
      </c>
      <c r="GO18" s="95">
        <f t="shared" ca="1" si="38"/>
        <v>0</v>
      </c>
      <c r="GP18" s="95">
        <f t="shared" ca="1" si="38"/>
        <v>0</v>
      </c>
      <c r="GQ18" s="95">
        <f t="shared" ca="1" si="38"/>
        <v>0</v>
      </c>
      <c r="GS18" s="7">
        <v>183.43419673809993</v>
      </c>
      <c r="GT18" s="96">
        <f t="shared" ca="1" si="47"/>
        <v>191505.30139457632</v>
      </c>
      <c r="GU18" s="96">
        <f t="shared" ca="1" si="47"/>
        <v>487934.96332334582</v>
      </c>
      <c r="GV18" s="96">
        <f t="shared" ca="1" si="47"/>
        <v>934046.92979040486</v>
      </c>
      <c r="GW18" s="96">
        <f t="shared" ca="1" si="47"/>
        <v>558923.99746099045</v>
      </c>
      <c r="GX18" s="96">
        <f t="shared" ca="1" si="47"/>
        <v>480597.59545382182</v>
      </c>
      <c r="GY18" s="96">
        <f t="shared" ca="1" si="47"/>
        <v>548651.68244365684</v>
      </c>
      <c r="GZ18" s="96">
        <f t="shared" ca="1" si="47"/>
        <v>735020.82632956642</v>
      </c>
      <c r="HA18" s="96">
        <f t="shared" ca="1" si="47"/>
        <v>627344.9528443017</v>
      </c>
      <c r="HB18" s="96">
        <f t="shared" ca="1" si="47"/>
        <v>743642.23357625713</v>
      </c>
      <c r="HC18" s="96">
        <f t="shared" ca="1" si="47"/>
        <v>917170.98369049968</v>
      </c>
      <c r="HD18" s="96">
        <f t="shared" ca="1" si="47"/>
        <v>917170.98369049968</v>
      </c>
      <c r="HE18" s="96">
        <f t="shared" ca="1" si="47"/>
        <v>917170.98369049968</v>
      </c>
      <c r="HF18" s="96">
        <f t="shared" ca="1" si="47"/>
        <v>917170.98369049968</v>
      </c>
      <c r="HG18" s="96">
        <f t="shared" ca="1" si="47"/>
        <v>917170.98369049968</v>
      </c>
      <c r="HH18" s="96">
        <f t="shared" ca="1" si="47"/>
        <v>1192322.2787976495</v>
      </c>
      <c r="HI18" s="96">
        <f t="shared" ca="1" si="47"/>
        <v>642019.68858334969</v>
      </c>
      <c r="HJ18" s="96">
        <f t="shared" ca="1" si="48"/>
        <v>917170.98369049968</v>
      </c>
      <c r="HK18" s="96">
        <f t="shared" ca="1" si="48"/>
        <v>733736.78695239977</v>
      </c>
      <c r="HL18" s="96">
        <f t="shared" ca="1" si="48"/>
        <v>0</v>
      </c>
      <c r="HM18" s="96">
        <f t="shared" ca="1" si="48"/>
        <v>0</v>
      </c>
      <c r="HN18" s="96">
        <f t="shared" ca="1" si="48"/>
        <v>0</v>
      </c>
      <c r="HO18" s="96">
        <f t="shared" ca="1" si="48"/>
        <v>0</v>
      </c>
      <c r="HP18" s="96">
        <f t="shared" ca="1" si="48"/>
        <v>0</v>
      </c>
      <c r="HQ18" s="96">
        <f t="shared" ca="1" si="48"/>
        <v>0</v>
      </c>
      <c r="HS18" s="97">
        <f t="shared" ca="1" si="21"/>
        <v>556172.48450991896</v>
      </c>
    </row>
    <row r="19" spans="1:227" ht="17.25" thickTop="1" thickBot="1" x14ac:dyDescent="0.3">
      <c r="A19" s="16" t="s">
        <v>42</v>
      </c>
      <c r="B19" s="73" t="s">
        <v>353</v>
      </c>
      <c r="C19" s="73" t="s">
        <v>354</v>
      </c>
      <c r="D19" s="74" t="s">
        <v>0</v>
      </c>
      <c r="E19" s="74" t="s">
        <v>349</v>
      </c>
      <c r="F19" s="73"/>
      <c r="G19" s="75">
        <f t="shared" ca="1" si="49"/>
        <v>133</v>
      </c>
      <c r="H19" s="75">
        <v>133</v>
      </c>
      <c r="I19" s="75">
        <f t="shared" ca="1" si="50"/>
        <v>266</v>
      </c>
      <c r="J19" s="76">
        <f ca="1">[1]Parameters!$C$3+G19</f>
        <v>45964</v>
      </c>
      <c r="K19" s="77">
        <f t="shared" ca="1" si="23"/>
        <v>11</v>
      </c>
      <c r="L19" s="77">
        <f t="shared" ca="1" si="24"/>
        <v>2025</v>
      </c>
      <c r="M19" s="76">
        <f ca="1">[1]Parameters!$C$3+I19</f>
        <v>46097</v>
      </c>
      <c r="N19" s="77">
        <f t="shared" ca="1" si="25"/>
        <v>3</v>
      </c>
      <c r="O19" s="77">
        <f t="shared" ca="1" si="26"/>
        <v>2026</v>
      </c>
      <c r="P19" s="78">
        <v>0.95</v>
      </c>
      <c r="Q19" s="79" t="str">
        <f ca="1">VLOOKUP(A19,[1]ABC!A:G,7,0)</f>
        <v>B</v>
      </c>
      <c r="R19" s="80">
        <f t="shared" ca="1" si="9"/>
        <v>6.9714401224503814E-2</v>
      </c>
      <c r="S19" s="81">
        <v>79.61</v>
      </c>
      <c r="T19" s="82">
        <f t="shared" ca="1" si="10"/>
        <v>4400</v>
      </c>
      <c r="U19" s="83">
        <f ca="1">IF((ROUND(AVERAGE(BI19:BR19)*2/100,0)*100)&lt;T19,T19,ROUND(AVERAGE(BI19:BR19)*2/100,0)*100)</f>
        <v>4400</v>
      </c>
      <c r="V19" s="80">
        <v>3000</v>
      </c>
      <c r="W19" s="80">
        <f t="shared" ca="1" si="27"/>
        <v>3000</v>
      </c>
      <c r="X19" s="80"/>
      <c r="Y19" s="84">
        <v>7.2</v>
      </c>
      <c r="Z19" s="85">
        <v>5</v>
      </c>
      <c r="AA19" s="85">
        <v>2</v>
      </c>
      <c r="AB19" s="85">
        <v>2974</v>
      </c>
      <c r="AC19" s="85">
        <v>3961</v>
      </c>
      <c r="AD19" s="85">
        <v>2031</v>
      </c>
      <c r="AE19" s="85">
        <v>2145</v>
      </c>
      <c r="AF19" s="85">
        <v>2159</v>
      </c>
      <c r="AG19" s="85">
        <v>1294</v>
      </c>
      <c r="AH19" s="85">
        <v>1761</v>
      </c>
      <c r="AI19" s="75">
        <v>1984</v>
      </c>
      <c r="AJ19" s="75">
        <f t="shared" ca="1" si="11"/>
        <v>7579</v>
      </c>
      <c r="AK19" s="75">
        <f t="shared" ca="1" si="11"/>
        <v>5164</v>
      </c>
      <c r="AL19" s="75">
        <f t="shared" ca="1" si="11"/>
        <v>8827</v>
      </c>
      <c r="AM19" s="75">
        <f t="shared" ca="1" si="11"/>
        <v>5694</v>
      </c>
      <c r="AN19" s="75">
        <f t="shared" ca="1" si="11"/>
        <v>3694</v>
      </c>
      <c r="AO19" s="75">
        <f t="shared" ca="1" si="11"/>
        <v>4672</v>
      </c>
      <c r="AP19" s="75">
        <f t="shared" ca="1" si="11"/>
        <v>5767</v>
      </c>
      <c r="AQ19" s="75">
        <f t="shared" ca="1" si="11"/>
        <v>3488</v>
      </c>
      <c r="AR19" s="75">
        <f t="shared" ca="1" si="11"/>
        <v>7681</v>
      </c>
      <c r="AS19" s="75">
        <f t="shared" ca="1" si="11"/>
        <v>7967</v>
      </c>
      <c r="AT19" s="75">
        <f t="shared" ca="1" si="11"/>
        <v>6598</v>
      </c>
      <c r="AU19" s="75">
        <f t="shared" ca="1" si="11"/>
        <v>4635</v>
      </c>
      <c r="AV19" s="75">
        <f t="shared" ca="1" si="11"/>
        <v>2672</v>
      </c>
      <c r="AW19" s="75">
        <f t="shared" ca="1" si="11"/>
        <v>2672</v>
      </c>
      <c r="AX19" s="75">
        <f t="shared" ca="1" si="11"/>
        <v>2672</v>
      </c>
      <c r="AY19" s="75">
        <f t="shared" ca="1" si="11"/>
        <v>2672</v>
      </c>
      <c r="AZ19" s="75">
        <f t="shared" ca="1" si="12"/>
        <v>2672</v>
      </c>
      <c r="BA19" s="75">
        <f t="shared" ca="1" si="12"/>
        <v>2672</v>
      </c>
      <c r="BB19" s="166"/>
      <c r="BC19" s="86">
        <v>4.2</v>
      </c>
      <c r="BD19" s="86">
        <v>-0.02</v>
      </c>
      <c r="BE19" s="86">
        <v>1651.0173611111113</v>
      </c>
      <c r="BF19" s="86">
        <v>1651.0173611111113</v>
      </c>
      <c r="BG19" s="86">
        <v>735</v>
      </c>
      <c r="BH19" s="86">
        <v>1193</v>
      </c>
      <c r="BI19" s="86">
        <v>2819</v>
      </c>
      <c r="BJ19" s="86">
        <v>1964</v>
      </c>
      <c r="BK19" s="86">
        <v>1036</v>
      </c>
      <c r="BL19" s="86">
        <v>405</v>
      </c>
      <c r="BM19" s="86">
        <v>4295</v>
      </c>
      <c r="BN19" s="86">
        <v>2337</v>
      </c>
      <c r="BO19" s="86">
        <v>3133</v>
      </c>
      <c r="BP19" s="86">
        <v>2000</v>
      </c>
      <c r="BQ19" s="86">
        <v>2022</v>
      </c>
      <c r="BR19" s="86">
        <v>1905</v>
      </c>
      <c r="BS19" s="86">
        <v>2279</v>
      </c>
      <c r="BT19" s="86">
        <v>1807</v>
      </c>
      <c r="BU19" s="86">
        <v>2714</v>
      </c>
      <c r="BV19" s="86">
        <v>1369</v>
      </c>
      <c r="BW19" s="86">
        <f ca="1">VLOOKUP(A19,[3]Export!$B:$Q,16,0)</f>
        <v>1963</v>
      </c>
      <c r="BX19" s="86">
        <v>1963</v>
      </c>
      <c r="BY19" s="86">
        <v>0</v>
      </c>
      <c r="BZ19" s="86">
        <v>0</v>
      </c>
      <c r="CA19" s="86">
        <v>0</v>
      </c>
      <c r="CB19" s="86">
        <v>0</v>
      </c>
      <c r="CC19" s="86">
        <v>0</v>
      </c>
      <c r="CD19" s="86">
        <v>0</v>
      </c>
      <c r="CE19" s="86">
        <f t="shared" ca="1" si="28"/>
        <v>907.1014770926073</v>
      </c>
      <c r="CF19" s="87"/>
      <c r="CG19" s="86">
        <v>0</v>
      </c>
      <c r="CH19" s="86">
        <v>0</v>
      </c>
      <c r="CI19" s="86">
        <v>0</v>
      </c>
      <c r="CJ19" s="86">
        <v>0</v>
      </c>
      <c r="CK19" s="86">
        <v>0</v>
      </c>
      <c r="CL19" s="86">
        <v>0</v>
      </c>
      <c r="CM19" s="86">
        <v>0</v>
      </c>
      <c r="CN19" s="86">
        <v>0</v>
      </c>
      <c r="CO19" s="86">
        <v>6000</v>
      </c>
      <c r="CP19" s="89">
        <v>1880</v>
      </c>
      <c r="CQ19" s="89">
        <v>6000</v>
      </c>
      <c r="CR19" s="89">
        <v>0</v>
      </c>
      <c r="CS19" s="86">
        <v>0</v>
      </c>
      <c r="CT19" s="86">
        <v>3000</v>
      </c>
      <c r="CU19" s="90">
        <v>3000</v>
      </c>
      <c r="CV19" s="90">
        <v>0</v>
      </c>
      <c r="CW19" s="86">
        <v>6000</v>
      </c>
      <c r="CX19" s="90">
        <v>3000</v>
      </c>
      <c r="CY19" s="90">
        <v>0</v>
      </c>
      <c r="CZ19" s="90">
        <v>0</v>
      </c>
      <c r="DA19" s="90">
        <v>0</v>
      </c>
      <c r="DB19" s="90">
        <v>0</v>
      </c>
      <c r="DC19" s="90">
        <v>0</v>
      </c>
      <c r="DD19" s="90">
        <v>0</v>
      </c>
      <c r="DE19" s="90">
        <v>0</v>
      </c>
      <c r="DF19" s="90">
        <v>0</v>
      </c>
      <c r="DG19" s="86">
        <v>0</v>
      </c>
      <c r="DI19" s="91">
        <f ca="1">VLOOKUP(A19,'[2]2-Relatório'!$A:$J,9,0)</f>
        <v>62.25</v>
      </c>
      <c r="DJ19" s="92">
        <f t="shared" ca="1" si="29"/>
        <v>185131.5</v>
      </c>
      <c r="DK19" s="92">
        <f t="shared" ca="1" si="29"/>
        <v>246572.25</v>
      </c>
      <c r="DL19" s="92">
        <f t="shared" ca="1" si="29"/>
        <v>126429.75</v>
      </c>
      <c r="DM19" s="92">
        <f t="shared" ca="1" si="29"/>
        <v>133526.25</v>
      </c>
      <c r="DN19" s="92">
        <f t="shared" ca="1" si="29"/>
        <v>134397.75</v>
      </c>
      <c r="DO19" s="92">
        <f t="shared" ca="1" si="29"/>
        <v>80551.5</v>
      </c>
      <c r="DP19" s="92">
        <f t="shared" ca="1" si="29"/>
        <v>109622.25</v>
      </c>
      <c r="DQ19" s="92">
        <f t="shared" ca="1" si="29"/>
        <v>123504</v>
      </c>
      <c r="DR19" s="92">
        <f t="shared" ca="1" si="45"/>
        <v>471792.75</v>
      </c>
      <c r="DS19" s="92">
        <f t="shared" ca="1" si="45"/>
        <v>321459</v>
      </c>
      <c r="DT19" s="92">
        <f t="shared" ca="1" si="45"/>
        <v>549480.75</v>
      </c>
      <c r="DU19" s="92">
        <f t="shared" ca="1" si="45"/>
        <v>354451.5</v>
      </c>
      <c r="DV19" s="92">
        <f t="shared" ca="1" si="45"/>
        <v>229951.5</v>
      </c>
      <c r="DW19" s="92">
        <f t="shared" ca="1" si="45"/>
        <v>290832</v>
      </c>
      <c r="DX19" s="92">
        <f t="shared" ca="1" si="45"/>
        <v>358995.75</v>
      </c>
      <c r="DY19" s="92">
        <f t="shared" ca="1" si="45"/>
        <v>217128</v>
      </c>
      <c r="DZ19" s="92">
        <f t="shared" ca="1" si="45"/>
        <v>478142.25</v>
      </c>
      <c r="EA19" s="92">
        <f t="shared" ca="1" si="45"/>
        <v>495945.75</v>
      </c>
      <c r="EB19" s="92">
        <f t="shared" ca="1" si="45"/>
        <v>410725.5</v>
      </c>
      <c r="EC19" s="92">
        <f t="shared" ca="1" si="45"/>
        <v>288528.75</v>
      </c>
      <c r="ED19" s="92">
        <f t="shared" ca="1" si="45"/>
        <v>166332</v>
      </c>
      <c r="EE19" s="92">
        <f t="shared" ca="1" si="45"/>
        <v>166332</v>
      </c>
      <c r="EF19" s="92">
        <f t="shared" ca="1" si="45"/>
        <v>166332</v>
      </c>
      <c r="EG19" s="92">
        <f t="shared" ca="1" si="45"/>
        <v>166332</v>
      </c>
      <c r="EH19" s="92">
        <f t="shared" ca="1" si="46"/>
        <v>166332</v>
      </c>
      <c r="EI19" s="92">
        <f t="shared" ca="1" si="46"/>
        <v>166332</v>
      </c>
      <c r="EL19" s="93">
        <f t="shared" ca="1" si="14"/>
        <v>334.36200000000002</v>
      </c>
      <c r="EM19" s="93">
        <f t="shared" ca="1" si="14"/>
        <v>-1.5922000000000001</v>
      </c>
      <c r="EN19" s="92">
        <f t="shared" ca="1" si="30"/>
        <v>102775.83072916669</v>
      </c>
      <c r="EO19" s="92">
        <f t="shared" ca="1" si="30"/>
        <v>102775.83072916669</v>
      </c>
      <c r="EP19" s="92">
        <f t="shared" ca="1" si="30"/>
        <v>45753.75</v>
      </c>
      <c r="EQ19" s="92">
        <f t="shared" ca="1" si="30"/>
        <v>74264.25</v>
      </c>
      <c r="ER19" s="92">
        <f t="shared" ca="1" si="30"/>
        <v>175482.75</v>
      </c>
      <c r="ES19" s="92">
        <f t="shared" ca="1" si="15"/>
        <v>122259</v>
      </c>
      <c r="ET19" s="92">
        <f t="shared" ca="1" si="15"/>
        <v>64491</v>
      </c>
      <c r="EU19" s="92">
        <f t="shared" ca="1" si="15"/>
        <v>25211.25</v>
      </c>
      <c r="EV19" s="92">
        <f t="shared" ca="1" si="15"/>
        <v>267363.75</v>
      </c>
      <c r="EW19" s="92">
        <f t="shared" ca="1" si="15"/>
        <v>145478.25</v>
      </c>
      <c r="EX19" s="92">
        <f t="shared" ca="1" si="15"/>
        <v>195029.25</v>
      </c>
      <c r="EY19" s="92">
        <f t="shared" ca="1" si="15"/>
        <v>124500</v>
      </c>
      <c r="EZ19" s="92">
        <f t="shared" ca="1" si="15"/>
        <v>125869.5</v>
      </c>
      <c r="FA19" s="92">
        <f t="shared" ca="1" si="15"/>
        <v>118586.25</v>
      </c>
      <c r="FB19" s="92">
        <f t="shared" ca="1" si="15"/>
        <v>141867.75</v>
      </c>
      <c r="FC19" s="92">
        <f t="shared" ca="1" si="15"/>
        <v>112485.75</v>
      </c>
      <c r="FD19" s="92">
        <f t="shared" ca="1" si="15"/>
        <v>168946.5</v>
      </c>
      <c r="FE19" s="92">
        <f t="shared" ca="1" si="15"/>
        <v>85220.25</v>
      </c>
      <c r="FF19" s="92">
        <f t="shared" ca="1" si="15"/>
        <v>122196.75</v>
      </c>
      <c r="FG19" s="92">
        <f t="shared" ca="1" si="15"/>
        <v>122196.75</v>
      </c>
      <c r="FH19" s="92">
        <f t="shared" ca="1" si="15"/>
        <v>0</v>
      </c>
      <c r="FI19" s="92">
        <f t="shared" ca="1" si="16"/>
        <v>0</v>
      </c>
      <c r="FJ19" s="92">
        <f t="shared" ca="1" si="16"/>
        <v>0</v>
      </c>
      <c r="FK19" s="92">
        <f t="shared" ca="1" si="16"/>
        <v>0</v>
      </c>
      <c r="FL19" s="92">
        <f t="shared" ca="1" si="16"/>
        <v>0</v>
      </c>
      <c r="FM19" s="92">
        <f t="shared" ca="1" si="16"/>
        <v>0</v>
      </c>
      <c r="FN19" s="94">
        <f t="shared" ca="1" si="51"/>
        <v>19880</v>
      </c>
      <c r="FO19" s="94">
        <f t="shared" ca="1" si="52"/>
        <v>9000</v>
      </c>
      <c r="FP19" s="95">
        <f t="shared" ca="1" si="17"/>
        <v>35.714285714285715</v>
      </c>
      <c r="FQ19" s="95">
        <f t="shared" ca="1" si="17"/>
        <v>-3000</v>
      </c>
      <c r="FR19" s="95">
        <f t="shared" ca="1" si="40"/>
        <v>54.039407520194821</v>
      </c>
      <c r="FS19" s="95">
        <f t="shared" ca="1" si="40"/>
        <v>71.973804030763844</v>
      </c>
      <c r="FT19" s="95">
        <f t="shared" ca="1" si="40"/>
        <v>82.897959183673464</v>
      </c>
      <c r="FU19" s="95">
        <f t="shared" ca="1" si="40"/>
        <v>53.93964794635373</v>
      </c>
      <c r="FV19" s="95">
        <f t="shared" ca="1" si="40"/>
        <v>22.976232706633557</v>
      </c>
      <c r="FW19" s="95">
        <f t="shared" ca="1" si="40"/>
        <v>19.765784114052952</v>
      </c>
      <c r="FX19" s="95">
        <f t="shared" ca="1" si="40"/>
        <v>50.9942084942085</v>
      </c>
      <c r="FY19" s="95">
        <f t="shared" ca="1" si="40"/>
        <v>146.96296296296296</v>
      </c>
      <c r="FZ19" s="95">
        <f t="shared" ca="1" si="40"/>
        <v>52.938300349243306</v>
      </c>
      <c r="GA19" s="95">
        <f t="shared" ca="1" si="40"/>
        <v>66.290115532734276</v>
      </c>
      <c r="GB19" s="95">
        <f t="shared" ca="1" si="40"/>
        <v>84.522821576763491</v>
      </c>
      <c r="GC19" s="95">
        <f t="shared" ca="1" si="40"/>
        <v>85.41</v>
      </c>
      <c r="GD19" s="95">
        <f t="shared" ca="1" si="40"/>
        <v>54.807121661721069</v>
      </c>
      <c r="GE19" s="95">
        <f t="shared" ca="1" si="40"/>
        <v>73.574803149606296</v>
      </c>
      <c r="GF19" s="95">
        <f t="shared" ca="1" si="40"/>
        <v>75.914874945151382</v>
      </c>
      <c r="GG19" s="95">
        <f t="shared" ca="1" si="40"/>
        <v>57.908135030437187</v>
      </c>
      <c r="GH19" s="95">
        <f t="shared" ca="1" si="41"/>
        <v>84.904200442151819</v>
      </c>
      <c r="GI19" s="95">
        <f t="shared" ca="1" si="41"/>
        <v>174.58728999269542</v>
      </c>
      <c r="GJ19" s="95">
        <f t="shared" ca="1" si="41"/>
        <v>100.83545593479369</v>
      </c>
      <c r="GK19" s="95">
        <f t="shared" ca="1" si="41"/>
        <v>70.835455934793686</v>
      </c>
      <c r="GL19" s="95">
        <f t="shared" ca="1" si="41"/>
        <v>0</v>
      </c>
      <c r="GM19" s="95">
        <f t="shared" ca="1" si="38"/>
        <v>0</v>
      </c>
      <c r="GN19" s="95">
        <f t="shared" ca="1" si="38"/>
        <v>0</v>
      </c>
      <c r="GO19" s="95">
        <f t="shared" ca="1" si="38"/>
        <v>0</v>
      </c>
      <c r="GP19" s="95">
        <f t="shared" ca="1" si="38"/>
        <v>0</v>
      </c>
      <c r="GQ19" s="95">
        <f t="shared" ca="1" si="38"/>
        <v>0</v>
      </c>
      <c r="GS19" s="7">
        <v>272.79607677006652</v>
      </c>
      <c r="GT19" s="96">
        <f t="shared" ca="1" si="47"/>
        <v>200505.11642599889</v>
      </c>
      <c r="GU19" s="96">
        <f t="shared" ca="1" si="47"/>
        <v>325445.71958668937</v>
      </c>
      <c r="GV19" s="96">
        <f t="shared" ca="1" si="47"/>
        <v>769012.14041481749</v>
      </c>
      <c r="GW19" s="96">
        <f t="shared" ca="1" si="47"/>
        <v>535771.49477641063</v>
      </c>
      <c r="GX19" s="96">
        <f t="shared" ca="1" si="47"/>
        <v>282616.73553378892</v>
      </c>
      <c r="GY19" s="96">
        <f t="shared" ca="1" si="47"/>
        <v>110482.41109187694</v>
      </c>
      <c r="GZ19" s="96">
        <f t="shared" ca="1" si="47"/>
        <v>1171659.1497274358</v>
      </c>
      <c r="HA19" s="96">
        <f t="shared" ca="1" si="47"/>
        <v>637524.43141164549</v>
      </c>
      <c r="HB19" s="96">
        <f t="shared" ca="1" si="47"/>
        <v>854670.10852061841</v>
      </c>
      <c r="HC19" s="96">
        <f t="shared" ca="1" si="47"/>
        <v>545592.15354013303</v>
      </c>
      <c r="HD19" s="96">
        <f t="shared" ca="1" si="47"/>
        <v>551593.66722907452</v>
      </c>
      <c r="HE19" s="96">
        <f t="shared" ca="1" si="47"/>
        <v>519676.52624697675</v>
      </c>
      <c r="HF19" s="96">
        <f t="shared" ca="1" si="47"/>
        <v>621702.25895898161</v>
      </c>
      <c r="HG19" s="96">
        <f t="shared" ca="1" si="47"/>
        <v>492942.51072351018</v>
      </c>
      <c r="HH19" s="96">
        <f t="shared" ca="1" si="47"/>
        <v>740368.55235396058</v>
      </c>
      <c r="HI19" s="96">
        <f t="shared" ca="1" si="47"/>
        <v>373457.82909822109</v>
      </c>
      <c r="HJ19" s="96">
        <f t="shared" ca="1" si="48"/>
        <v>535498.69869964058</v>
      </c>
      <c r="HK19" s="96">
        <f t="shared" ca="1" si="48"/>
        <v>535498.69869964058</v>
      </c>
      <c r="HL19" s="96">
        <f t="shared" ca="1" si="48"/>
        <v>0</v>
      </c>
      <c r="HM19" s="96">
        <f t="shared" ca="1" si="48"/>
        <v>0</v>
      </c>
      <c r="HN19" s="96">
        <f t="shared" ca="1" si="48"/>
        <v>0</v>
      </c>
      <c r="HO19" s="96">
        <f t="shared" ca="1" si="48"/>
        <v>0</v>
      </c>
      <c r="HP19" s="96">
        <f t="shared" ca="1" si="48"/>
        <v>0</v>
      </c>
      <c r="HQ19" s="96">
        <f t="shared" ca="1" si="48"/>
        <v>0</v>
      </c>
      <c r="HS19" s="97">
        <f t="shared" ca="1" si="21"/>
        <v>554048.83192000515</v>
      </c>
    </row>
    <row r="20" spans="1:227" ht="17.25" thickTop="1" thickBot="1" x14ac:dyDescent="0.3">
      <c r="A20" s="102" t="s">
        <v>32</v>
      </c>
      <c r="B20" s="103" t="s">
        <v>355</v>
      </c>
      <c r="C20" s="73" t="s">
        <v>356</v>
      </c>
      <c r="D20" s="74" t="s">
        <v>0</v>
      </c>
      <c r="E20" s="74" t="s">
        <v>349</v>
      </c>
      <c r="F20" s="73"/>
      <c r="G20" s="75">
        <f t="shared" ca="1" si="49"/>
        <v>133</v>
      </c>
      <c r="H20" s="75">
        <v>133</v>
      </c>
      <c r="I20" s="75">
        <f t="shared" ca="1" si="50"/>
        <v>266</v>
      </c>
      <c r="J20" s="76">
        <f ca="1">[1]Parameters!$C$3+G20</f>
        <v>45964</v>
      </c>
      <c r="K20" s="77">
        <f t="shared" ca="1" si="23"/>
        <v>11</v>
      </c>
      <c r="L20" s="77">
        <f t="shared" ca="1" si="24"/>
        <v>2025</v>
      </c>
      <c r="M20" s="76">
        <f ca="1">[1]Parameters!$C$3+I20</f>
        <v>46097</v>
      </c>
      <c r="N20" s="77">
        <f t="shared" ca="1" si="25"/>
        <v>3</v>
      </c>
      <c r="O20" s="77">
        <f t="shared" ca="1" si="26"/>
        <v>2026</v>
      </c>
      <c r="P20" s="78">
        <v>0.98</v>
      </c>
      <c r="Q20" s="79" t="str">
        <f ca="1">VLOOKUP(A20,[1]ABC!A:G,7,0)</f>
        <v>A</v>
      </c>
      <c r="R20" s="80">
        <f t="shared" ca="1" si="9"/>
        <v>35.131527156155741</v>
      </c>
      <c r="S20" s="81">
        <v>100.1</v>
      </c>
      <c r="T20" s="82">
        <f t="shared" ca="1" si="10"/>
        <v>5300</v>
      </c>
      <c r="U20" s="83">
        <f t="shared" ref="U20:U28" ca="1" si="53">IF((ROUND(AVERAGE(BL20:BX20)*3/100,0)*100)&lt;T20,T20,ROUND(AVERAGE(BL20:BX20)*3/100,0)*100)</f>
        <v>7200</v>
      </c>
      <c r="V20" s="80">
        <v>2100</v>
      </c>
      <c r="W20" s="80">
        <f t="shared" ca="1" si="27"/>
        <v>6300</v>
      </c>
      <c r="X20" s="101" t="s">
        <v>350</v>
      </c>
      <c r="Y20" s="84">
        <v>8.77</v>
      </c>
      <c r="Z20" s="85">
        <v>2133</v>
      </c>
      <c r="AA20" s="85">
        <v>2110</v>
      </c>
      <c r="AB20" s="85">
        <v>3544</v>
      </c>
      <c r="AC20" s="85">
        <v>3453</v>
      </c>
      <c r="AD20" s="85">
        <v>2410</v>
      </c>
      <c r="AE20" s="85">
        <v>2550</v>
      </c>
      <c r="AF20" s="85">
        <v>3256</v>
      </c>
      <c r="AG20" s="85">
        <v>1092</v>
      </c>
      <c r="AH20" s="85">
        <v>1715</v>
      </c>
      <c r="AI20" s="75">
        <v>6461</v>
      </c>
      <c r="AJ20" s="75">
        <f t="shared" ca="1" si="11"/>
        <v>3555</v>
      </c>
      <c r="AK20" s="75">
        <f t="shared" ca="1" si="11"/>
        <v>5425</v>
      </c>
      <c r="AL20" s="75">
        <f t="shared" ca="1" si="11"/>
        <v>12400</v>
      </c>
      <c r="AM20" s="75">
        <f t="shared" ca="1" si="11"/>
        <v>14721</v>
      </c>
      <c r="AN20" s="75">
        <f t="shared" ca="1" si="11"/>
        <v>12121</v>
      </c>
      <c r="AO20" s="75">
        <f t="shared" ca="1" si="11"/>
        <v>9840</v>
      </c>
      <c r="AP20" s="75">
        <f t="shared" ca="1" si="11"/>
        <v>13858</v>
      </c>
      <c r="AQ20" s="75">
        <f t="shared" ca="1" si="11"/>
        <v>11275</v>
      </c>
      <c r="AR20" s="75">
        <f t="shared" ca="1" si="11"/>
        <v>10820</v>
      </c>
      <c r="AS20" s="75">
        <f t="shared" ca="1" si="11"/>
        <v>8340</v>
      </c>
      <c r="AT20" s="75">
        <f t="shared" ca="1" si="11"/>
        <v>6796</v>
      </c>
      <c r="AU20" s="75">
        <f t="shared" ca="1" si="11"/>
        <v>4603</v>
      </c>
      <c r="AV20" s="75">
        <f t="shared" ca="1" si="11"/>
        <v>2410</v>
      </c>
      <c r="AW20" s="75">
        <f t="shared" ca="1" si="11"/>
        <v>2410</v>
      </c>
      <c r="AX20" s="75">
        <f t="shared" ca="1" si="11"/>
        <v>2410</v>
      </c>
      <c r="AY20" s="75">
        <f t="shared" ref="AY20:BA74" ca="1" si="54">IF(AX20+DD20-CA20&lt;0,0,AX20+DD20-CA20)</f>
        <v>2410</v>
      </c>
      <c r="AZ20" s="75">
        <f t="shared" ca="1" si="12"/>
        <v>2410</v>
      </c>
      <c r="BA20" s="75">
        <f t="shared" ca="1" si="12"/>
        <v>2410</v>
      </c>
      <c r="BB20" s="166"/>
      <c r="BC20" s="86">
        <v>2049.84</v>
      </c>
      <c r="BD20" s="86">
        <v>2092.92</v>
      </c>
      <c r="BE20" s="86">
        <v>2249.5208333333335</v>
      </c>
      <c r="BF20" s="86">
        <v>2249.5208333333335</v>
      </c>
      <c r="BG20" s="86">
        <v>937</v>
      </c>
      <c r="BH20" s="86">
        <v>2308</v>
      </c>
      <c r="BI20" s="86">
        <v>2567</v>
      </c>
      <c r="BJ20" s="86">
        <v>1550</v>
      </c>
      <c r="BK20" s="86">
        <v>2142</v>
      </c>
      <c r="BL20" s="86">
        <v>5006</v>
      </c>
      <c r="BM20" s="86">
        <v>2330</v>
      </c>
      <c r="BN20" s="86">
        <v>1425</v>
      </c>
      <c r="BO20" s="86">
        <v>1879</v>
      </c>
      <c r="BP20" s="86">
        <v>2600</v>
      </c>
      <c r="BQ20" s="86">
        <v>2281</v>
      </c>
      <c r="BR20" s="86">
        <v>2282</v>
      </c>
      <c r="BS20" s="86">
        <v>2583</v>
      </c>
      <c r="BT20" s="86">
        <v>2555</v>
      </c>
      <c r="BU20" s="86">
        <v>2480</v>
      </c>
      <c r="BV20" s="86">
        <v>1544</v>
      </c>
      <c r="BW20" s="86">
        <f ca="1">VLOOKUP(A20,[3]Export!$B:$Q,16,0)</f>
        <v>2193</v>
      </c>
      <c r="BX20" s="86">
        <v>2193</v>
      </c>
      <c r="BY20" s="86">
        <v>0</v>
      </c>
      <c r="BZ20" s="86">
        <v>0</v>
      </c>
      <c r="CA20" s="86">
        <v>0</v>
      </c>
      <c r="CB20" s="86">
        <v>0</v>
      </c>
      <c r="CC20" s="86">
        <v>0</v>
      </c>
      <c r="CD20" s="86">
        <v>0</v>
      </c>
      <c r="CE20" s="86">
        <f t="shared" ca="1" si="28"/>
        <v>864.43050023908188</v>
      </c>
      <c r="CF20" s="87"/>
      <c r="CG20" s="86">
        <v>0</v>
      </c>
      <c r="CH20" s="86">
        <v>0</v>
      </c>
      <c r="CI20" s="86">
        <v>0</v>
      </c>
      <c r="CJ20" s="86">
        <v>0</v>
      </c>
      <c r="CK20" s="86">
        <v>0</v>
      </c>
      <c r="CL20" s="86">
        <v>0</v>
      </c>
      <c r="CM20" s="86">
        <v>0</v>
      </c>
      <c r="CN20" s="86">
        <v>0</v>
      </c>
      <c r="CO20" s="86">
        <v>2100</v>
      </c>
      <c r="CP20" s="89">
        <v>4200</v>
      </c>
      <c r="CQ20" s="89">
        <f ca="1">6300+2100</f>
        <v>8400</v>
      </c>
      <c r="CR20" s="89">
        <v>4200</v>
      </c>
      <c r="CS20" s="86">
        <v>0</v>
      </c>
      <c r="CT20" s="86">
        <v>0</v>
      </c>
      <c r="CU20" s="90">
        <v>6300</v>
      </c>
      <c r="CV20" s="90">
        <v>0</v>
      </c>
      <c r="CW20" s="86">
        <f ca="1">2100</f>
        <v>2100</v>
      </c>
      <c r="CX20" s="90">
        <v>0</v>
      </c>
      <c r="CY20" s="90">
        <v>0</v>
      </c>
      <c r="CZ20" s="90">
        <v>0</v>
      </c>
      <c r="DA20" s="90">
        <v>0</v>
      </c>
      <c r="DB20" s="90">
        <v>0</v>
      </c>
      <c r="DC20" s="90">
        <v>0</v>
      </c>
      <c r="DD20" s="90">
        <v>0</v>
      </c>
      <c r="DE20" s="90">
        <v>0</v>
      </c>
      <c r="DF20" s="90">
        <v>0</v>
      </c>
      <c r="DG20" s="86">
        <v>0</v>
      </c>
      <c r="DI20" s="91">
        <f ca="1">VLOOKUP(A20,'[2]2-Relatório'!$A:$J,9,0)</f>
        <v>73.7</v>
      </c>
      <c r="DJ20" s="92">
        <f t="shared" ca="1" si="29"/>
        <v>261192.80000000002</v>
      </c>
      <c r="DK20" s="92">
        <f t="shared" ca="1" si="29"/>
        <v>254486.1</v>
      </c>
      <c r="DL20" s="92">
        <f t="shared" ca="1" si="29"/>
        <v>177617</v>
      </c>
      <c r="DM20" s="92">
        <f t="shared" ca="1" si="29"/>
        <v>187935</v>
      </c>
      <c r="DN20" s="92">
        <f t="shared" ca="1" si="29"/>
        <v>239967.2</v>
      </c>
      <c r="DO20" s="92">
        <f t="shared" ca="1" si="29"/>
        <v>80480.400000000009</v>
      </c>
      <c r="DP20" s="92">
        <f t="shared" ca="1" si="29"/>
        <v>126395.5</v>
      </c>
      <c r="DQ20" s="92">
        <f t="shared" ca="1" si="29"/>
        <v>476175.7</v>
      </c>
      <c r="DR20" s="92">
        <f t="shared" ca="1" si="45"/>
        <v>262003.5</v>
      </c>
      <c r="DS20" s="92">
        <f t="shared" ca="1" si="45"/>
        <v>399822.5</v>
      </c>
      <c r="DT20" s="92">
        <f t="shared" ca="1" si="45"/>
        <v>913880</v>
      </c>
      <c r="DU20" s="92">
        <f t="shared" ca="1" si="45"/>
        <v>1084937.7</v>
      </c>
      <c r="DV20" s="92">
        <f t="shared" ca="1" si="45"/>
        <v>893317.70000000007</v>
      </c>
      <c r="DW20" s="92">
        <f t="shared" ca="1" si="45"/>
        <v>725208</v>
      </c>
      <c r="DX20" s="92">
        <f t="shared" ca="1" si="45"/>
        <v>1021334.6000000001</v>
      </c>
      <c r="DY20" s="92">
        <f t="shared" ca="1" si="45"/>
        <v>830967.5</v>
      </c>
      <c r="DZ20" s="92">
        <f t="shared" ca="1" si="45"/>
        <v>797434</v>
      </c>
      <c r="EA20" s="92">
        <f t="shared" ca="1" si="45"/>
        <v>614658</v>
      </c>
      <c r="EB20" s="92">
        <f t="shared" ca="1" si="45"/>
        <v>500865.2</v>
      </c>
      <c r="EC20" s="92">
        <f t="shared" ca="1" si="45"/>
        <v>339241.10000000003</v>
      </c>
      <c r="ED20" s="92">
        <f t="shared" ca="1" si="45"/>
        <v>177617</v>
      </c>
      <c r="EE20" s="92">
        <f t="shared" ca="1" si="45"/>
        <v>177617</v>
      </c>
      <c r="EF20" s="92">
        <f t="shared" ca="1" si="45"/>
        <v>177617</v>
      </c>
      <c r="EG20" s="92">
        <f t="shared" ca="1" si="45"/>
        <v>177617</v>
      </c>
      <c r="EH20" s="92">
        <f t="shared" ca="1" si="46"/>
        <v>177617</v>
      </c>
      <c r="EI20" s="92">
        <f t="shared" ca="1" si="46"/>
        <v>177617</v>
      </c>
      <c r="EL20" s="93">
        <f t="shared" ca="1" si="14"/>
        <v>205188.984</v>
      </c>
      <c r="EM20" s="93">
        <f t="shared" ca="1" si="14"/>
        <v>209501.29199999999</v>
      </c>
      <c r="EN20" s="92">
        <f t="shared" ca="1" si="30"/>
        <v>165789.68541666667</v>
      </c>
      <c r="EO20" s="92">
        <f t="shared" ca="1" si="30"/>
        <v>165789.68541666667</v>
      </c>
      <c r="EP20" s="92">
        <f t="shared" ca="1" si="30"/>
        <v>69056.900000000009</v>
      </c>
      <c r="EQ20" s="92">
        <f t="shared" ca="1" si="30"/>
        <v>170099.6</v>
      </c>
      <c r="ER20" s="92">
        <f t="shared" ca="1" si="30"/>
        <v>189187.9</v>
      </c>
      <c r="ES20" s="92">
        <f t="shared" ca="1" si="15"/>
        <v>114235</v>
      </c>
      <c r="ET20" s="92">
        <f t="shared" ca="1" si="15"/>
        <v>157865.4</v>
      </c>
      <c r="EU20" s="92">
        <f t="shared" ca="1" si="15"/>
        <v>368942.2</v>
      </c>
      <c r="EV20" s="92">
        <f t="shared" ca="1" si="15"/>
        <v>171721</v>
      </c>
      <c r="EW20" s="92">
        <f t="shared" ca="1" si="15"/>
        <v>105022.5</v>
      </c>
      <c r="EX20" s="92">
        <f t="shared" ca="1" si="15"/>
        <v>138482.30000000002</v>
      </c>
      <c r="EY20" s="92">
        <f t="shared" ca="1" si="15"/>
        <v>191620</v>
      </c>
      <c r="EZ20" s="92">
        <f t="shared" ca="1" si="15"/>
        <v>168109.7</v>
      </c>
      <c r="FA20" s="92">
        <f t="shared" ca="1" si="15"/>
        <v>168183.4</v>
      </c>
      <c r="FB20" s="92">
        <f t="shared" ca="1" si="15"/>
        <v>190367.1</v>
      </c>
      <c r="FC20" s="92">
        <f t="shared" ca="1" si="15"/>
        <v>188303.5</v>
      </c>
      <c r="FD20" s="92">
        <f t="shared" ca="1" si="15"/>
        <v>182776</v>
      </c>
      <c r="FE20" s="92">
        <f t="shared" ca="1" si="15"/>
        <v>113792.8</v>
      </c>
      <c r="FF20" s="92">
        <f t="shared" ca="1" si="15"/>
        <v>161624.1</v>
      </c>
      <c r="FG20" s="92">
        <f t="shared" ca="1" si="15"/>
        <v>161624.1</v>
      </c>
      <c r="FH20" s="92">
        <f t="shared" ref="FH20:FM63" ca="1" si="55">$DI20*BY20</f>
        <v>0</v>
      </c>
      <c r="FI20" s="92">
        <f t="shared" ca="1" si="16"/>
        <v>0</v>
      </c>
      <c r="FJ20" s="92">
        <f t="shared" ca="1" si="16"/>
        <v>0</v>
      </c>
      <c r="FK20" s="92">
        <f t="shared" ca="1" si="16"/>
        <v>0</v>
      </c>
      <c r="FL20" s="92">
        <f t="shared" ca="1" si="16"/>
        <v>0</v>
      </c>
      <c r="FM20" s="92">
        <f t="shared" ca="1" si="16"/>
        <v>0</v>
      </c>
      <c r="FN20" s="94">
        <f t="shared" ca="1" si="51"/>
        <v>25200</v>
      </c>
      <c r="FO20" s="94">
        <f t="shared" ca="1" si="52"/>
        <v>2100</v>
      </c>
      <c r="FP20" s="95">
        <f t="shared" ca="1" si="17"/>
        <v>31.21707060063224</v>
      </c>
      <c r="FQ20" s="95">
        <f t="shared" ca="1" si="17"/>
        <v>30.244825411386959</v>
      </c>
      <c r="FR20" s="95">
        <f t="shared" ca="1" si="40"/>
        <v>47.263398686757363</v>
      </c>
      <c r="FS20" s="95">
        <f t="shared" ca="1" si="40"/>
        <v>46.049806903322001</v>
      </c>
      <c r="FT20" s="95">
        <f t="shared" ca="1" si="40"/>
        <v>77.161152614727854</v>
      </c>
      <c r="FU20" s="95">
        <f t="shared" ca="1" si="40"/>
        <v>33.145580589254763</v>
      </c>
      <c r="FV20" s="95">
        <f t="shared" ca="1" si="40"/>
        <v>38.052201012855477</v>
      </c>
      <c r="FW20" s="95">
        <f t="shared" ca="1" si="40"/>
        <v>21.135483870967743</v>
      </c>
      <c r="FX20" s="95">
        <f t="shared" ca="1" si="40"/>
        <v>24.019607843137255</v>
      </c>
      <c r="FY20" s="95">
        <f t="shared" ca="1" si="40"/>
        <v>38.719536556132645</v>
      </c>
      <c r="FZ20" s="95">
        <f t="shared" ca="1" si="40"/>
        <v>45.772532188841204</v>
      </c>
      <c r="GA20" s="95">
        <f t="shared" ca="1" si="40"/>
        <v>114.21052631578947</v>
      </c>
      <c r="GB20" s="95">
        <f t="shared" ca="1" si="40"/>
        <v>197.97764768493877</v>
      </c>
      <c r="GC20" s="95">
        <f t="shared" ca="1" si="40"/>
        <v>169.8576923076923</v>
      </c>
      <c r="GD20" s="95">
        <f t="shared" ca="1" si="40"/>
        <v>159.41692240245507</v>
      </c>
      <c r="GE20" s="95">
        <f t="shared" ca="1" si="40"/>
        <v>129.36021034180544</v>
      </c>
      <c r="GF20" s="95">
        <f t="shared" ca="1" si="40"/>
        <v>160.95238095238096</v>
      </c>
      <c r="GG20" s="95">
        <f t="shared" ca="1" si="40"/>
        <v>132.38747553816046</v>
      </c>
      <c r="GH20" s="95">
        <f t="shared" ca="1" si="41"/>
        <v>130.88709677419357</v>
      </c>
      <c r="GI20" s="95">
        <f t="shared" ca="1" si="41"/>
        <v>162.04663212435233</v>
      </c>
      <c r="GJ20" s="95">
        <f t="shared" ca="1" si="41"/>
        <v>92.968536251709992</v>
      </c>
      <c r="GK20" s="95">
        <f t="shared" ca="1" si="41"/>
        <v>62.968536251709992</v>
      </c>
      <c r="GL20" s="95">
        <f t="shared" ca="1" si="41"/>
        <v>0</v>
      </c>
      <c r="GM20" s="95">
        <f t="shared" ca="1" si="38"/>
        <v>0</v>
      </c>
      <c r="GN20" s="95">
        <f t="shared" ca="1" si="38"/>
        <v>0</v>
      </c>
      <c r="GO20" s="95">
        <f t="shared" ca="1" si="38"/>
        <v>0</v>
      </c>
      <c r="GP20" s="95">
        <f t="shared" ca="1" si="38"/>
        <v>0</v>
      </c>
      <c r="GQ20" s="95">
        <f t="shared" ca="1" si="38"/>
        <v>0</v>
      </c>
      <c r="GS20" s="7">
        <v>257.60499819669991</v>
      </c>
      <c r="GT20" s="96">
        <f t="shared" ca="1" si="47"/>
        <v>241375.88331030781</v>
      </c>
      <c r="GU20" s="96">
        <f t="shared" ca="1" si="47"/>
        <v>594552.33583798341</v>
      </c>
      <c r="GV20" s="96">
        <f t="shared" ca="1" si="47"/>
        <v>661272.0303709287</v>
      </c>
      <c r="GW20" s="96">
        <f t="shared" ca="1" si="47"/>
        <v>399287.74720488489</v>
      </c>
      <c r="GX20" s="96">
        <f t="shared" ca="1" si="47"/>
        <v>551789.90613733116</v>
      </c>
      <c r="GY20" s="96">
        <f t="shared" ca="1" si="47"/>
        <v>1289570.6209726797</v>
      </c>
      <c r="GZ20" s="96">
        <f t="shared" ca="1" si="47"/>
        <v>600219.64579831075</v>
      </c>
      <c r="HA20" s="96">
        <f t="shared" ca="1" si="47"/>
        <v>367087.12243029737</v>
      </c>
      <c r="HB20" s="96">
        <f t="shared" ca="1" si="47"/>
        <v>484039.79161159915</v>
      </c>
      <c r="HC20" s="96">
        <f t="shared" ca="1" si="47"/>
        <v>669772.99531141971</v>
      </c>
      <c r="HD20" s="96">
        <f t="shared" ca="1" si="47"/>
        <v>587597.00088667253</v>
      </c>
      <c r="HE20" s="96">
        <f t="shared" ca="1" si="47"/>
        <v>587854.60588486923</v>
      </c>
      <c r="HF20" s="96">
        <f t="shared" ca="1" si="47"/>
        <v>665393.71034207591</v>
      </c>
      <c r="HG20" s="96">
        <f t="shared" ca="1" si="47"/>
        <v>658180.77039256832</v>
      </c>
      <c r="HH20" s="96">
        <f t="shared" ca="1" si="47"/>
        <v>638860.3955278158</v>
      </c>
      <c r="HI20" s="96">
        <f t="shared" ca="1" si="47"/>
        <v>397742.11721570464</v>
      </c>
      <c r="HJ20" s="96">
        <f t="shared" ca="1" si="48"/>
        <v>564927.76104536292</v>
      </c>
      <c r="HK20" s="96">
        <f t="shared" ca="1" si="48"/>
        <v>564927.76104536292</v>
      </c>
      <c r="HL20" s="96">
        <f t="shared" ca="1" si="48"/>
        <v>0</v>
      </c>
      <c r="HM20" s="96">
        <f t="shared" ca="1" si="48"/>
        <v>0</v>
      </c>
      <c r="HN20" s="96">
        <f t="shared" ca="1" si="48"/>
        <v>0</v>
      </c>
      <c r="HO20" s="96">
        <f t="shared" ca="1" si="48"/>
        <v>0</v>
      </c>
      <c r="HP20" s="96">
        <f t="shared" ca="1" si="48"/>
        <v>0</v>
      </c>
      <c r="HQ20" s="96">
        <f t="shared" ca="1" si="48"/>
        <v>0</v>
      </c>
      <c r="HS20" s="97">
        <f t="shared" ca="1" si="21"/>
        <v>620828.04565404681</v>
      </c>
    </row>
    <row r="21" spans="1:227" ht="17.25" thickTop="1" thickBot="1" x14ac:dyDescent="0.3">
      <c r="A21" s="102" t="s">
        <v>26</v>
      </c>
      <c r="B21" s="103" t="s">
        <v>357</v>
      </c>
      <c r="C21" s="73" t="s">
        <v>358</v>
      </c>
      <c r="D21" s="74" t="s">
        <v>0</v>
      </c>
      <c r="E21" s="74" t="s">
        <v>349</v>
      </c>
      <c r="F21" s="73"/>
      <c r="G21" s="75">
        <f t="shared" ca="1" si="49"/>
        <v>133</v>
      </c>
      <c r="H21" s="75">
        <v>133</v>
      </c>
      <c r="I21" s="75">
        <f t="shared" ca="1" si="50"/>
        <v>266</v>
      </c>
      <c r="J21" s="76">
        <f ca="1">[1]Parameters!$C$3+G21</f>
        <v>45964</v>
      </c>
      <c r="K21" s="77">
        <f t="shared" ca="1" si="23"/>
        <v>11</v>
      </c>
      <c r="L21" s="77">
        <f t="shared" ca="1" si="24"/>
        <v>2025</v>
      </c>
      <c r="M21" s="76">
        <f ca="1">[1]Parameters!$C$3+I21</f>
        <v>46097</v>
      </c>
      <c r="N21" s="77">
        <f t="shared" ca="1" si="25"/>
        <v>3</v>
      </c>
      <c r="O21" s="77">
        <f t="shared" ca="1" si="26"/>
        <v>2026</v>
      </c>
      <c r="P21" s="78">
        <v>0.98</v>
      </c>
      <c r="Q21" s="79" t="str">
        <f ca="1">VLOOKUP(A21,[1]ABC!A:G,7,0)</f>
        <v>A</v>
      </c>
      <c r="R21" s="80">
        <f t="shared" ca="1" si="9"/>
        <v>39.943335415947452</v>
      </c>
      <c r="S21" s="81">
        <v>100.15</v>
      </c>
      <c r="T21" s="82">
        <f t="shared" ca="1" si="10"/>
        <v>1500</v>
      </c>
      <c r="U21" s="83">
        <f t="shared" ca="1" si="53"/>
        <v>8400</v>
      </c>
      <c r="V21" s="80">
        <v>1780</v>
      </c>
      <c r="W21" s="80">
        <f t="shared" ca="1" si="27"/>
        <v>8900</v>
      </c>
      <c r="X21" s="101" t="s">
        <v>350</v>
      </c>
      <c r="Y21" s="84">
        <v>10.130000000000001</v>
      </c>
      <c r="Z21" s="85">
        <v>3458</v>
      </c>
      <c r="AA21" s="85">
        <v>3820</v>
      </c>
      <c r="AB21" s="85">
        <v>3062</v>
      </c>
      <c r="AC21" s="85">
        <v>3275</v>
      </c>
      <c r="AD21" s="85">
        <v>2035</v>
      </c>
      <c r="AE21" s="85">
        <v>2974</v>
      </c>
      <c r="AF21" s="85">
        <v>3498</v>
      </c>
      <c r="AG21" s="85">
        <v>1369</v>
      </c>
      <c r="AH21" s="85">
        <v>1860</v>
      </c>
      <c r="AI21" s="75">
        <v>6525</v>
      </c>
      <c r="AJ21" s="75">
        <f t="shared" ref="AJ21:AX37" ca="1" si="56">IF(AI21+CO21-BL21&lt;0,0,AI21+CO21-BL21)</f>
        <v>10510.276</v>
      </c>
      <c r="AK21" s="75">
        <f t="shared" ca="1" si="56"/>
        <v>9057.3539999999994</v>
      </c>
      <c r="AL21" s="75">
        <f t="shared" ca="1" si="56"/>
        <v>11621.134</v>
      </c>
      <c r="AM21" s="75">
        <f t="shared" ca="1" si="56"/>
        <v>12328.404</v>
      </c>
      <c r="AN21" s="75">
        <f t="shared" ca="1" si="56"/>
        <v>9728.4040000000005</v>
      </c>
      <c r="AO21" s="75">
        <f t="shared" ca="1" si="56"/>
        <v>12495.404</v>
      </c>
      <c r="AP21" s="75">
        <f t="shared" ca="1" si="56"/>
        <v>11499.404</v>
      </c>
      <c r="AQ21" s="75">
        <f t="shared" ca="1" si="56"/>
        <v>13986.404000000002</v>
      </c>
      <c r="AR21" s="75">
        <f t="shared" ca="1" si="56"/>
        <v>14646.404000000002</v>
      </c>
      <c r="AS21" s="75">
        <f t="shared" ca="1" si="56"/>
        <v>11350.404000000002</v>
      </c>
      <c r="AT21" s="75">
        <f t="shared" ca="1" si="56"/>
        <v>8943.4040000000023</v>
      </c>
      <c r="AU21" s="75">
        <f t="shared" ca="1" si="56"/>
        <v>6075.4040000000023</v>
      </c>
      <c r="AV21" s="75">
        <f t="shared" ca="1" si="56"/>
        <v>3207.4040000000023</v>
      </c>
      <c r="AW21" s="75">
        <f t="shared" ca="1" si="56"/>
        <v>3207.4040000000023</v>
      </c>
      <c r="AX21" s="75">
        <f t="shared" ca="1" si="56"/>
        <v>3207.4040000000023</v>
      </c>
      <c r="AY21" s="75">
        <f t="shared" ca="1" si="54"/>
        <v>3207.4040000000023</v>
      </c>
      <c r="AZ21" s="75">
        <f t="shared" ca="1" si="12"/>
        <v>3207.4040000000023</v>
      </c>
      <c r="BA21" s="75">
        <f t="shared" ca="1" si="12"/>
        <v>3207.4040000000023</v>
      </c>
      <c r="BB21" s="166"/>
      <c r="BC21" s="86">
        <v>3456.91</v>
      </c>
      <c r="BD21" s="86">
        <v>3755.91</v>
      </c>
      <c r="BE21" s="86">
        <v>2800</v>
      </c>
      <c r="BF21" s="86">
        <v>2800</v>
      </c>
      <c r="BG21" s="86">
        <v>1776.125</v>
      </c>
      <c r="BH21" s="86">
        <v>3218.8850000000002</v>
      </c>
      <c r="BI21" s="86">
        <v>4376.3720000000003</v>
      </c>
      <c r="BJ21" s="86">
        <v>1967.4</v>
      </c>
      <c r="BK21" s="86">
        <v>2348.857</v>
      </c>
      <c r="BL21" s="86">
        <v>3134.7240000000002</v>
      </c>
      <c r="BM21" s="86">
        <v>2572.922</v>
      </c>
      <c r="BN21" s="86">
        <v>2776.22</v>
      </c>
      <c r="BO21" s="86">
        <v>2852.73</v>
      </c>
      <c r="BP21" s="86">
        <v>2600</v>
      </c>
      <c r="BQ21" s="86">
        <v>2573</v>
      </c>
      <c r="BR21" s="86">
        <v>2776</v>
      </c>
      <c r="BS21" s="86">
        <v>2853</v>
      </c>
      <c r="BT21" s="86">
        <v>2900</v>
      </c>
      <c r="BU21" s="86">
        <v>3296</v>
      </c>
      <c r="BV21" s="86">
        <v>2407</v>
      </c>
      <c r="BW21" s="86">
        <f ca="1">VLOOKUP(A21,[3]Export!$B:$Q,16,0)</f>
        <v>2868</v>
      </c>
      <c r="BX21" s="86">
        <v>2868</v>
      </c>
      <c r="BY21" s="86">
        <v>0</v>
      </c>
      <c r="BZ21" s="86">
        <v>0</v>
      </c>
      <c r="CA21" s="86">
        <v>0</v>
      </c>
      <c r="CB21" s="86">
        <v>0</v>
      </c>
      <c r="CC21" s="86">
        <v>0</v>
      </c>
      <c r="CD21" s="86">
        <v>0</v>
      </c>
      <c r="CE21" s="86">
        <f t="shared" ca="1" si="28"/>
        <v>238.24258488022301</v>
      </c>
      <c r="CF21" s="87"/>
      <c r="CG21" s="86">
        <v>0</v>
      </c>
      <c r="CH21" s="86">
        <v>0</v>
      </c>
      <c r="CI21" s="86">
        <v>0</v>
      </c>
      <c r="CJ21" s="86">
        <v>0</v>
      </c>
      <c r="CK21" s="86">
        <v>0</v>
      </c>
      <c r="CL21" s="86">
        <v>0</v>
      </c>
      <c r="CM21" s="86">
        <v>0</v>
      </c>
      <c r="CN21" s="86">
        <v>0</v>
      </c>
      <c r="CO21" s="89">
        <v>7120</v>
      </c>
      <c r="CP21" s="89">
        <v>1120</v>
      </c>
      <c r="CQ21" s="89">
        <f ca="1">3560+1780</f>
        <v>5340</v>
      </c>
      <c r="CR21" s="89">
        <v>3560</v>
      </c>
      <c r="CS21" s="89">
        <v>0</v>
      </c>
      <c r="CT21" s="86">
        <v>5340</v>
      </c>
      <c r="CU21" s="90">
        <v>1780</v>
      </c>
      <c r="CV21" s="90">
        <f ca="1">1780+3560</f>
        <v>5340</v>
      </c>
      <c r="CW21" s="86">
        <v>3560</v>
      </c>
      <c r="CX21" s="90">
        <v>0</v>
      </c>
      <c r="CY21" s="90">
        <v>0</v>
      </c>
      <c r="CZ21" s="90">
        <v>0</v>
      </c>
      <c r="DA21" s="90">
        <v>0</v>
      </c>
      <c r="DB21" s="90">
        <v>0</v>
      </c>
      <c r="DC21" s="90">
        <v>0</v>
      </c>
      <c r="DD21" s="90">
        <v>0</v>
      </c>
      <c r="DE21" s="90">
        <v>0</v>
      </c>
      <c r="DF21" s="90">
        <v>0</v>
      </c>
      <c r="DG21" s="86">
        <v>0</v>
      </c>
      <c r="DI21" s="91">
        <f ca="1">VLOOKUP(A21,'[2]2-Relatório'!$A:$J,9,0)</f>
        <v>86.76</v>
      </c>
      <c r="DJ21" s="92">
        <f t="shared" ca="1" si="29"/>
        <v>265659.12</v>
      </c>
      <c r="DK21" s="92">
        <f t="shared" ca="1" si="29"/>
        <v>284139</v>
      </c>
      <c r="DL21" s="92">
        <f t="shared" ca="1" si="29"/>
        <v>176556.6</v>
      </c>
      <c r="DM21" s="92">
        <f t="shared" ca="1" si="29"/>
        <v>258024.24000000002</v>
      </c>
      <c r="DN21" s="92">
        <f t="shared" ca="1" si="29"/>
        <v>303486.48000000004</v>
      </c>
      <c r="DO21" s="92">
        <f t="shared" ca="1" si="29"/>
        <v>118774.44</v>
      </c>
      <c r="DP21" s="92">
        <f t="shared" ca="1" si="29"/>
        <v>161373.6</v>
      </c>
      <c r="DQ21" s="92">
        <f t="shared" ca="1" si="29"/>
        <v>566109</v>
      </c>
      <c r="DR21" s="92">
        <f t="shared" ca="1" si="45"/>
        <v>911871.54576000001</v>
      </c>
      <c r="DS21" s="92">
        <f t="shared" ca="1" si="45"/>
        <v>785816.03304000001</v>
      </c>
      <c r="DT21" s="92">
        <f t="shared" ca="1" si="45"/>
        <v>1008249.5858400001</v>
      </c>
      <c r="DU21" s="92">
        <f t="shared" ca="1" si="45"/>
        <v>1069612.3310400001</v>
      </c>
      <c r="DV21" s="92">
        <f t="shared" ca="1" si="45"/>
        <v>844036.33104000008</v>
      </c>
      <c r="DW21" s="92">
        <f t="shared" ca="1" si="45"/>
        <v>1084101.25104</v>
      </c>
      <c r="DX21" s="92">
        <f t="shared" ca="1" si="45"/>
        <v>997688.29104000004</v>
      </c>
      <c r="DY21" s="92">
        <f t="shared" ca="1" si="45"/>
        <v>1213460.4110400004</v>
      </c>
      <c r="DZ21" s="92">
        <f t="shared" ca="1" si="45"/>
        <v>1270722.0110400002</v>
      </c>
      <c r="EA21" s="92">
        <f t="shared" ca="1" si="45"/>
        <v>984761.05104000028</v>
      </c>
      <c r="EB21" s="92">
        <f t="shared" ca="1" si="45"/>
        <v>775929.73104000022</v>
      </c>
      <c r="EC21" s="92">
        <f t="shared" ca="1" si="45"/>
        <v>527102.05104000028</v>
      </c>
      <c r="ED21" s="92">
        <f t="shared" ca="1" si="45"/>
        <v>278274.37104000023</v>
      </c>
      <c r="EE21" s="92">
        <f t="shared" ca="1" si="45"/>
        <v>278274.37104000023</v>
      </c>
      <c r="EF21" s="92">
        <f t="shared" ca="1" si="45"/>
        <v>278274.37104000023</v>
      </c>
      <c r="EG21" s="92">
        <f t="shared" ca="1" si="45"/>
        <v>278274.37104000023</v>
      </c>
      <c r="EH21" s="92">
        <f t="shared" ca="1" si="46"/>
        <v>278274.37104000023</v>
      </c>
      <c r="EI21" s="92">
        <f t="shared" ca="1" si="46"/>
        <v>278274.37104000023</v>
      </c>
      <c r="EL21" s="93">
        <f t="shared" ref="EL21:EM55" ca="1" si="57">$S21*BC21</f>
        <v>346209.53649999999</v>
      </c>
      <c r="EM21" s="93">
        <f t="shared" ca="1" si="57"/>
        <v>376154.38650000002</v>
      </c>
      <c r="EN21" s="92">
        <f t="shared" ca="1" si="30"/>
        <v>242928</v>
      </c>
      <c r="EO21" s="92">
        <f t="shared" ca="1" si="30"/>
        <v>242928</v>
      </c>
      <c r="EP21" s="92">
        <f t="shared" ca="1" si="30"/>
        <v>154096.60500000001</v>
      </c>
      <c r="EQ21" s="92">
        <f t="shared" ca="1" si="30"/>
        <v>279270.46260000003</v>
      </c>
      <c r="ER21" s="92">
        <f t="shared" ca="1" si="30"/>
        <v>379694.03472000005</v>
      </c>
      <c r="ES21" s="92">
        <f t="shared" ca="1" si="30"/>
        <v>170691.62400000001</v>
      </c>
      <c r="ET21" s="92">
        <f t="shared" ca="1" si="30"/>
        <v>203786.83332000001</v>
      </c>
      <c r="EU21" s="92">
        <f t="shared" ca="1" si="30"/>
        <v>271968.65424</v>
      </c>
      <c r="EV21" s="92">
        <f t="shared" ca="1" si="30"/>
        <v>223226.71272000001</v>
      </c>
      <c r="EW21" s="92">
        <f t="shared" ca="1" si="30"/>
        <v>240864.84719999999</v>
      </c>
      <c r="EX21" s="92">
        <f t="shared" ca="1" si="30"/>
        <v>247502.85480000003</v>
      </c>
      <c r="EY21" s="92">
        <f t="shared" ca="1" si="30"/>
        <v>225576</v>
      </c>
      <c r="EZ21" s="92">
        <f t="shared" ca="1" si="30"/>
        <v>223233.48</v>
      </c>
      <c r="FA21" s="92">
        <f t="shared" ca="1" si="30"/>
        <v>240845.76</v>
      </c>
      <c r="FB21" s="92">
        <f t="shared" ca="1" si="30"/>
        <v>247526.28000000003</v>
      </c>
      <c r="FC21" s="92">
        <f t="shared" ca="1" si="30"/>
        <v>251604.00000000003</v>
      </c>
      <c r="FD21" s="92">
        <f t="shared" ref="FD21:FG55" ca="1" si="58">$DI21*BU21</f>
        <v>285960.96000000002</v>
      </c>
      <c r="FE21" s="92">
        <f t="shared" ca="1" si="58"/>
        <v>208831.32</v>
      </c>
      <c r="FF21" s="92">
        <f t="shared" ca="1" si="58"/>
        <v>248827.68000000002</v>
      </c>
      <c r="FG21" s="92">
        <f t="shared" ca="1" si="58"/>
        <v>248827.68000000002</v>
      </c>
      <c r="FH21" s="92">
        <f t="shared" ca="1" si="55"/>
        <v>0</v>
      </c>
      <c r="FI21" s="92">
        <f t="shared" ca="1" si="55"/>
        <v>0</v>
      </c>
      <c r="FJ21" s="92">
        <f t="shared" ca="1" si="55"/>
        <v>0</v>
      </c>
      <c r="FK21" s="92">
        <f t="shared" ca="1" si="55"/>
        <v>0</v>
      </c>
      <c r="FL21" s="92">
        <f t="shared" ca="1" si="55"/>
        <v>0</v>
      </c>
      <c r="FM21" s="92">
        <f t="shared" ca="1" si="55"/>
        <v>0</v>
      </c>
      <c r="FN21" s="94">
        <f t="shared" ca="1" si="51"/>
        <v>24260</v>
      </c>
      <c r="FO21" s="94">
        <f t="shared" ca="1" si="52"/>
        <v>8900</v>
      </c>
      <c r="FP21" s="95">
        <f t="shared" ref="FP21:FQ55" ca="1" si="59">IFERROR(Z21/BC21*30,0)</f>
        <v>30.009459314821623</v>
      </c>
      <c r="FQ21" s="95">
        <f t="shared" ca="1" si="59"/>
        <v>30.511913224757784</v>
      </c>
      <c r="FR21" s="95">
        <f t="shared" ca="1" si="40"/>
        <v>32.807142857142857</v>
      </c>
      <c r="FS21" s="95">
        <f t="shared" ca="1" si="40"/>
        <v>35.089285714285715</v>
      </c>
      <c r="FT21" s="95">
        <f t="shared" ca="1" si="40"/>
        <v>34.372580758674076</v>
      </c>
      <c r="FU21" s="95">
        <f t="shared" ca="1" si="40"/>
        <v>27.717672423836206</v>
      </c>
      <c r="FV21" s="95">
        <f t="shared" ca="1" si="40"/>
        <v>23.978765973276495</v>
      </c>
      <c r="FW21" s="95">
        <f t="shared" ca="1" si="40"/>
        <v>20.875266849649282</v>
      </c>
      <c r="FX21" s="95">
        <f t="shared" ca="1" si="40"/>
        <v>23.756235479639674</v>
      </c>
      <c r="FY21" s="95">
        <f t="shared" ca="1" si="40"/>
        <v>62.445688998457278</v>
      </c>
      <c r="FZ21" s="95">
        <f t="shared" ca="1" si="40"/>
        <v>122.54871309740442</v>
      </c>
      <c r="GA21" s="95">
        <f t="shared" ca="1" si="40"/>
        <v>97.874311113672562</v>
      </c>
      <c r="GB21" s="95">
        <f t="shared" ca="1" si="40"/>
        <v>122.21066136648052</v>
      </c>
      <c r="GC21" s="95">
        <f t="shared" ca="1" si="40"/>
        <v>142.25081538461538</v>
      </c>
      <c r="GD21" s="95">
        <f t="shared" ca="1" si="40"/>
        <v>113.42872910998835</v>
      </c>
      <c r="GE21" s="95">
        <f t="shared" ca="1" si="40"/>
        <v>135.03678674351585</v>
      </c>
      <c r="GF21" s="95">
        <f t="shared" ca="1" si="40"/>
        <v>120.91907465825446</v>
      </c>
      <c r="GG21" s="95">
        <f t="shared" ca="1" si="40"/>
        <v>144.68693793103449</v>
      </c>
      <c r="GH21" s="95">
        <f t="shared" ca="1" si="41"/>
        <v>133.3107160194175</v>
      </c>
      <c r="GI21" s="95">
        <f t="shared" ca="1" si="41"/>
        <v>141.46743664312424</v>
      </c>
      <c r="GJ21" s="95">
        <f t="shared" ca="1" si="41"/>
        <v>93.550251046025124</v>
      </c>
      <c r="GK21" s="95">
        <f t="shared" ca="1" si="41"/>
        <v>63.550251046025139</v>
      </c>
      <c r="GL21" s="95">
        <f t="shared" ca="1" si="41"/>
        <v>0</v>
      </c>
      <c r="GM21" s="95">
        <f t="shared" ca="1" si="38"/>
        <v>0</v>
      </c>
      <c r="GN21" s="95">
        <f t="shared" ca="1" si="38"/>
        <v>0</v>
      </c>
      <c r="GO21" s="95">
        <f t="shared" ca="1" si="38"/>
        <v>0</v>
      </c>
      <c r="GP21" s="95">
        <f t="shared" ca="1" si="38"/>
        <v>0</v>
      </c>
      <c r="GQ21" s="95">
        <f t="shared" ca="1" si="38"/>
        <v>0</v>
      </c>
      <c r="GS21" s="7">
        <v>247.26611133766673</v>
      </c>
      <c r="GT21" s="96">
        <f t="shared" ca="1" si="47"/>
        <v>439175.52199961332</v>
      </c>
      <c r="GU21" s="96">
        <f t="shared" ca="1" si="47"/>
        <v>795921.17679314537</v>
      </c>
      <c r="GV21" s="96">
        <f t="shared" ca="1" si="47"/>
        <v>1082128.4862070472</v>
      </c>
      <c r="GW21" s="96">
        <f t="shared" ca="1" si="47"/>
        <v>486471.34744572552</v>
      </c>
      <c r="GX21" s="96">
        <f t="shared" ca="1" si="47"/>
        <v>580792.73647825781</v>
      </c>
      <c r="GY21" s="96">
        <f t="shared" ca="1" si="47"/>
        <v>775111.01359685604</v>
      </c>
      <c r="GZ21" s="96">
        <f t="shared" ca="1" si="47"/>
        <v>636196.41771513212</v>
      </c>
      <c r="HA21" s="96">
        <f t="shared" ca="1" si="47"/>
        <v>686465.12361785711</v>
      </c>
      <c r="HB21" s="96">
        <f t="shared" ca="1" si="47"/>
        <v>705383.45379630197</v>
      </c>
      <c r="HC21" s="96">
        <f t="shared" ca="1" si="47"/>
        <v>642891.88947793352</v>
      </c>
      <c r="HD21" s="96">
        <f t="shared" ca="1" si="47"/>
        <v>636215.70447181654</v>
      </c>
      <c r="HE21" s="96">
        <f t="shared" ca="1" si="47"/>
        <v>686410.72507336282</v>
      </c>
      <c r="HF21" s="96">
        <f t="shared" ca="1" si="47"/>
        <v>705450.21564636321</v>
      </c>
      <c r="HG21" s="96">
        <f t="shared" ca="1" si="47"/>
        <v>717071.72287923354</v>
      </c>
      <c r="HH21" s="96">
        <f t="shared" ca="1" si="47"/>
        <v>814989.10296894959</v>
      </c>
      <c r="HI21" s="96">
        <f t="shared" ca="1" si="47"/>
        <v>595169.52998976386</v>
      </c>
      <c r="HJ21" s="96">
        <f t="shared" ca="1" si="48"/>
        <v>709159.20731642819</v>
      </c>
      <c r="HK21" s="96">
        <f t="shared" ca="1" si="48"/>
        <v>709159.20731642819</v>
      </c>
      <c r="HL21" s="96">
        <f t="shared" ca="1" si="48"/>
        <v>0</v>
      </c>
      <c r="HM21" s="96">
        <f t="shared" ca="1" si="48"/>
        <v>0</v>
      </c>
      <c r="HN21" s="96">
        <f t="shared" ca="1" si="48"/>
        <v>0</v>
      </c>
      <c r="HO21" s="96">
        <f t="shared" ca="1" si="48"/>
        <v>0</v>
      </c>
      <c r="HP21" s="96">
        <f t="shared" ca="1" si="48"/>
        <v>0</v>
      </c>
      <c r="HQ21" s="96">
        <f t="shared" ca="1" si="48"/>
        <v>0</v>
      </c>
      <c r="HS21" s="97">
        <f t="shared" ca="1" si="21"/>
        <v>503186.53657215182</v>
      </c>
    </row>
    <row r="22" spans="1:227" ht="17.25" thickTop="1" thickBot="1" x14ac:dyDescent="0.3">
      <c r="A22" s="102" t="s">
        <v>16</v>
      </c>
      <c r="B22" s="103" t="s">
        <v>359</v>
      </c>
      <c r="C22" s="73" t="s">
        <v>359</v>
      </c>
      <c r="D22" s="74" t="s">
        <v>0</v>
      </c>
      <c r="E22" s="74" t="s">
        <v>360</v>
      </c>
      <c r="F22" s="73"/>
      <c r="G22" s="75">
        <f ca="1">80+16</f>
        <v>96</v>
      </c>
      <c r="H22" s="75">
        <v>137</v>
      </c>
      <c r="I22" s="75">
        <f ca="1">G22+H22</f>
        <v>233</v>
      </c>
      <c r="J22" s="76">
        <f ca="1">[1]Parameters!$C$3+G22</f>
        <v>45927</v>
      </c>
      <c r="K22" s="77">
        <f t="shared" ca="1" si="23"/>
        <v>9</v>
      </c>
      <c r="L22" s="77">
        <f t="shared" ca="1" si="24"/>
        <v>2025</v>
      </c>
      <c r="M22" s="76">
        <f ca="1">[1]Parameters!$C$3+I22</f>
        <v>46064</v>
      </c>
      <c r="N22" s="77">
        <f t="shared" ca="1" si="25"/>
        <v>2</v>
      </c>
      <c r="O22" s="77">
        <f t="shared" ca="1" si="26"/>
        <v>2026</v>
      </c>
      <c r="P22" s="78">
        <v>0.98</v>
      </c>
      <c r="Q22" s="79" t="str">
        <f ca="1">VLOOKUP(A22,[1]ABC!A:G,7,0)</f>
        <v>A</v>
      </c>
      <c r="R22" s="80">
        <f t="shared" ca="1" si="9"/>
        <v>40.09311602982492</v>
      </c>
      <c r="S22" s="81">
        <v>123.07</v>
      </c>
      <c r="T22" s="82">
        <f t="shared" ca="1" si="10"/>
        <v>4800</v>
      </c>
      <c r="U22" s="83">
        <f t="shared" ca="1" si="53"/>
        <v>18000</v>
      </c>
      <c r="V22" s="80">
        <v>2600</v>
      </c>
      <c r="W22" s="80">
        <f t="shared" ca="1" si="27"/>
        <v>18200</v>
      </c>
      <c r="X22" s="101" t="s">
        <v>350</v>
      </c>
      <c r="Y22" s="84">
        <v>7.2</v>
      </c>
      <c r="Z22" s="85">
        <v>4875</v>
      </c>
      <c r="AA22" s="85">
        <v>4407</v>
      </c>
      <c r="AB22" s="85">
        <v>5020</v>
      </c>
      <c r="AC22" s="85">
        <v>5127</v>
      </c>
      <c r="AD22" s="85">
        <v>3182</v>
      </c>
      <c r="AE22" s="85">
        <v>6342</v>
      </c>
      <c r="AF22" s="85">
        <v>6976</v>
      </c>
      <c r="AG22" s="85">
        <v>2947</v>
      </c>
      <c r="AH22" s="85">
        <v>25357</v>
      </c>
      <c r="AI22" s="75">
        <v>22466</v>
      </c>
      <c r="AJ22" s="75">
        <f t="shared" ca="1" si="56"/>
        <v>21739.619979999999</v>
      </c>
      <c r="AK22" s="75">
        <f t="shared" ca="1" si="56"/>
        <v>26253.487079999999</v>
      </c>
      <c r="AL22" s="75">
        <f t="shared" ca="1" si="56"/>
        <v>38067.175519999997</v>
      </c>
      <c r="AM22" s="75">
        <f t="shared" ca="1" si="56"/>
        <v>31251.052639999998</v>
      </c>
      <c r="AN22" s="75">
        <f t="shared" ca="1" si="56"/>
        <v>30451.052639999994</v>
      </c>
      <c r="AO22" s="75">
        <f t="shared" ca="1" si="56"/>
        <v>24451.052639999994</v>
      </c>
      <c r="AP22" s="75">
        <f t="shared" ca="1" si="56"/>
        <v>28851.052639999994</v>
      </c>
      <c r="AQ22" s="75">
        <f t="shared" ca="1" si="56"/>
        <v>22851.052639999994</v>
      </c>
      <c r="AR22" s="75">
        <f t="shared" ca="1" si="56"/>
        <v>24651.052639999994</v>
      </c>
      <c r="AS22" s="75">
        <f t="shared" ca="1" si="56"/>
        <v>16851.052639999994</v>
      </c>
      <c r="AT22" s="75">
        <f t="shared" ca="1" si="56"/>
        <v>12651.052639999994</v>
      </c>
      <c r="AU22" s="75">
        <f t="shared" ca="1" si="56"/>
        <v>6651.0526399999944</v>
      </c>
      <c r="AV22" s="75">
        <f t="shared" ca="1" si="56"/>
        <v>1651.0526399999944</v>
      </c>
      <c r="AW22" s="75">
        <f t="shared" ca="1" si="56"/>
        <v>1651.0526399999944</v>
      </c>
      <c r="AX22" s="75">
        <f t="shared" ca="1" si="56"/>
        <v>1651.0526399999944</v>
      </c>
      <c r="AY22" s="75">
        <f t="shared" ca="1" si="54"/>
        <v>1651.0526399999944</v>
      </c>
      <c r="AZ22" s="75">
        <f t="shared" ca="1" si="12"/>
        <v>1651.0526399999944</v>
      </c>
      <c r="BA22" s="75">
        <f t="shared" ca="1" si="12"/>
        <v>1651.0526399999944</v>
      </c>
      <c r="BB22" s="166"/>
      <c r="BC22" s="86">
        <v>4430.95</v>
      </c>
      <c r="BD22" s="86">
        <v>4302</v>
      </c>
      <c r="BE22" s="86">
        <v>5500</v>
      </c>
      <c r="BF22" s="86">
        <v>5500</v>
      </c>
      <c r="BG22" s="86">
        <v>3724.4767424999995</v>
      </c>
      <c r="BH22" s="86">
        <v>7625.0303199999998</v>
      </c>
      <c r="BI22" s="86">
        <v>10134.164839999999</v>
      </c>
      <c r="BJ22" s="86">
        <v>33822.658199999998</v>
      </c>
      <c r="BK22" s="86">
        <v>5721.3085000000001</v>
      </c>
      <c r="BL22" s="86">
        <v>5726.3800199999996</v>
      </c>
      <c r="BM22" s="86">
        <v>5886.1328999999996</v>
      </c>
      <c r="BN22" s="86">
        <v>6386.3115599999992</v>
      </c>
      <c r="BO22" s="86">
        <v>6816.1228799999999</v>
      </c>
      <c r="BP22" s="86">
        <v>6000</v>
      </c>
      <c r="BQ22" s="86">
        <v>6000</v>
      </c>
      <c r="BR22" s="86">
        <v>6000</v>
      </c>
      <c r="BS22" s="86">
        <v>6000</v>
      </c>
      <c r="BT22" s="86">
        <v>6000</v>
      </c>
      <c r="BU22" s="86">
        <v>7800</v>
      </c>
      <c r="BV22" s="86">
        <v>4200</v>
      </c>
      <c r="BW22" s="86">
        <v>6000</v>
      </c>
      <c r="BX22" s="86">
        <v>5000</v>
      </c>
      <c r="BY22" s="86">
        <v>0</v>
      </c>
      <c r="BZ22" s="86">
        <v>0</v>
      </c>
      <c r="CA22" s="86">
        <v>0</v>
      </c>
      <c r="CB22" s="86">
        <v>0</v>
      </c>
      <c r="CC22" s="86">
        <v>0</v>
      </c>
      <c r="CD22" s="86">
        <v>0</v>
      </c>
      <c r="CE22" s="86">
        <f t="shared" ca="1" si="28"/>
        <v>835.68796987026496</v>
      </c>
      <c r="CF22" s="87"/>
      <c r="CG22" s="86">
        <v>0</v>
      </c>
      <c r="CH22" s="86">
        <v>0</v>
      </c>
      <c r="CI22" s="86">
        <v>0</v>
      </c>
      <c r="CJ22" s="86">
        <v>0</v>
      </c>
      <c r="CK22" s="86">
        <v>0</v>
      </c>
      <c r="CL22" s="86">
        <v>0</v>
      </c>
      <c r="CM22" s="86">
        <v>0</v>
      </c>
      <c r="CN22" s="86">
        <v>0</v>
      </c>
      <c r="CO22" s="104">
        <v>5000</v>
      </c>
      <c r="CP22" s="104">
        <f ca="1">2600*4</f>
        <v>10400</v>
      </c>
      <c r="CQ22" s="105">
        <f ca="1">2600*7</f>
        <v>18200</v>
      </c>
      <c r="CR22" s="99">
        <v>0</v>
      </c>
      <c r="CS22" s="99">
        <f ca="1">2600*2</f>
        <v>5200</v>
      </c>
      <c r="CT22" s="99">
        <v>0</v>
      </c>
      <c r="CU22" s="86">
        <f ca="1">V22*4</f>
        <v>10400</v>
      </c>
      <c r="CV22" s="86">
        <v>0</v>
      </c>
      <c r="CW22" s="86">
        <f ca="1">V22*3</f>
        <v>7800</v>
      </c>
      <c r="CX22" s="86">
        <v>0</v>
      </c>
      <c r="CY22" s="86">
        <v>0</v>
      </c>
      <c r="CZ22" s="86">
        <v>0</v>
      </c>
      <c r="DA22" s="86">
        <v>0</v>
      </c>
      <c r="DB22" s="86">
        <v>0</v>
      </c>
      <c r="DC22" s="86">
        <v>0</v>
      </c>
      <c r="DD22" s="86">
        <v>0</v>
      </c>
      <c r="DE22" s="86">
        <v>0</v>
      </c>
      <c r="DF22" s="86">
        <v>0</v>
      </c>
      <c r="DG22" s="86">
        <v>0</v>
      </c>
      <c r="DI22" s="91">
        <f ca="1">VLOOKUP(A22,'[2]2-Relatório'!$A:$J,9,0)</f>
        <v>62.55</v>
      </c>
      <c r="DJ22" s="92">
        <f t="shared" ref="DJ22:DY45" ca="1" si="60">AB22*$DI22</f>
        <v>314001</v>
      </c>
      <c r="DK22" s="92">
        <f t="shared" ca="1" si="60"/>
        <v>320693.84999999998</v>
      </c>
      <c r="DL22" s="92">
        <f t="shared" ca="1" si="60"/>
        <v>199034.09999999998</v>
      </c>
      <c r="DM22" s="92">
        <f t="shared" ca="1" si="60"/>
        <v>396692.1</v>
      </c>
      <c r="DN22" s="92">
        <f t="shared" ca="1" si="60"/>
        <v>436348.8</v>
      </c>
      <c r="DO22" s="92">
        <f t="shared" ca="1" si="60"/>
        <v>184334.85</v>
      </c>
      <c r="DP22" s="92">
        <f t="shared" ca="1" si="60"/>
        <v>1586080.3499999999</v>
      </c>
      <c r="DQ22" s="92">
        <f t="shared" ca="1" si="60"/>
        <v>1405248.3</v>
      </c>
      <c r="DR22" s="92">
        <f t="shared" ca="1" si="45"/>
        <v>1359813.2297489999</v>
      </c>
      <c r="DS22" s="92">
        <f t="shared" ca="1" si="45"/>
        <v>1642155.6168539999</v>
      </c>
      <c r="DT22" s="92">
        <f t="shared" ca="1" si="45"/>
        <v>2381101.8287759996</v>
      </c>
      <c r="DU22" s="92">
        <f t="shared" ca="1" si="45"/>
        <v>1954753.3426319999</v>
      </c>
      <c r="DV22" s="92">
        <f t="shared" ca="1" si="45"/>
        <v>1904713.3426319996</v>
      </c>
      <c r="DW22" s="92">
        <f t="shared" ca="1" si="45"/>
        <v>1529413.3426319996</v>
      </c>
      <c r="DX22" s="92">
        <f t="shared" ca="1" si="45"/>
        <v>1804633.3426319996</v>
      </c>
      <c r="DY22" s="92">
        <f t="shared" ca="1" si="45"/>
        <v>1429333.3426319996</v>
      </c>
      <c r="DZ22" s="92">
        <f t="shared" ca="1" si="45"/>
        <v>1541923.3426319996</v>
      </c>
      <c r="EA22" s="92">
        <f t="shared" ca="1" si="45"/>
        <v>1054033.3426319996</v>
      </c>
      <c r="EB22" s="92">
        <f t="shared" ca="1" si="45"/>
        <v>791323.34263199964</v>
      </c>
      <c r="EC22" s="92">
        <f t="shared" ca="1" si="45"/>
        <v>416023.34263199964</v>
      </c>
      <c r="ED22" s="92">
        <f t="shared" ca="1" si="45"/>
        <v>103273.34263199965</v>
      </c>
      <c r="EE22" s="92">
        <f t="shared" ca="1" si="45"/>
        <v>103273.34263199965</v>
      </c>
      <c r="EF22" s="92">
        <f t="shared" ca="1" si="45"/>
        <v>103273.34263199965</v>
      </c>
      <c r="EG22" s="92">
        <f t="shared" ca="1" si="45"/>
        <v>103273.34263199965</v>
      </c>
      <c r="EH22" s="92">
        <f t="shared" ca="1" si="46"/>
        <v>103273.34263199965</v>
      </c>
      <c r="EI22" s="92">
        <f t="shared" ca="1" si="46"/>
        <v>103273.34263199965</v>
      </c>
      <c r="EL22" s="93">
        <f t="shared" ca="1" si="57"/>
        <v>545317.01649999991</v>
      </c>
      <c r="EM22" s="93">
        <f t="shared" ca="1" si="57"/>
        <v>529447.14</v>
      </c>
      <c r="EN22" s="92">
        <f t="shared" ref="EN22:FC39" ca="1" si="61">$DI22*BE22</f>
        <v>344025</v>
      </c>
      <c r="EO22" s="92">
        <f t="shared" ca="1" si="61"/>
        <v>344025</v>
      </c>
      <c r="EP22" s="92">
        <f t="shared" ca="1" si="61"/>
        <v>232966.02024337495</v>
      </c>
      <c r="EQ22" s="92">
        <f t="shared" ca="1" si="61"/>
        <v>476945.64651599998</v>
      </c>
      <c r="ER22" s="92">
        <f t="shared" ca="1" si="61"/>
        <v>633892.01074199995</v>
      </c>
      <c r="ES22" s="92">
        <f t="shared" ca="1" si="61"/>
        <v>2115607.2704099999</v>
      </c>
      <c r="ET22" s="92">
        <f t="shared" ca="1" si="61"/>
        <v>357867.84667499998</v>
      </c>
      <c r="EU22" s="92">
        <f t="shared" ca="1" si="61"/>
        <v>358185.07025099994</v>
      </c>
      <c r="EV22" s="92">
        <f t="shared" ca="1" si="61"/>
        <v>368177.61289499997</v>
      </c>
      <c r="EW22" s="92">
        <f t="shared" ca="1" si="61"/>
        <v>399463.78807799995</v>
      </c>
      <c r="EX22" s="92">
        <f t="shared" ca="1" si="61"/>
        <v>426348.48614399997</v>
      </c>
      <c r="EY22" s="92">
        <f t="shared" ca="1" si="61"/>
        <v>375300</v>
      </c>
      <c r="EZ22" s="92">
        <f t="shared" ca="1" si="61"/>
        <v>375300</v>
      </c>
      <c r="FA22" s="92">
        <f t="shared" ca="1" si="61"/>
        <v>375300</v>
      </c>
      <c r="FB22" s="92">
        <f t="shared" ca="1" si="61"/>
        <v>375300</v>
      </c>
      <c r="FC22" s="92">
        <f t="shared" ca="1" si="61"/>
        <v>375300</v>
      </c>
      <c r="FD22" s="92">
        <f t="shared" ca="1" si="58"/>
        <v>487890</v>
      </c>
      <c r="FE22" s="92">
        <f t="shared" ca="1" si="58"/>
        <v>262710</v>
      </c>
      <c r="FF22" s="92">
        <f t="shared" ca="1" si="58"/>
        <v>375300</v>
      </c>
      <c r="FG22" s="92">
        <f t="shared" ca="1" si="58"/>
        <v>312750</v>
      </c>
      <c r="FH22" s="92">
        <f t="shared" ca="1" si="55"/>
        <v>0</v>
      </c>
      <c r="FI22" s="92">
        <f t="shared" ca="1" si="55"/>
        <v>0</v>
      </c>
      <c r="FJ22" s="92">
        <f t="shared" ca="1" si="55"/>
        <v>0</v>
      </c>
      <c r="FK22" s="92">
        <f t="shared" ca="1" si="55"/>
        <v>0</v>
      </c>
      <c r="FL22" s="92">
        <f t="shared" ca="1" si="55"/>
        <v>0</v>
      </c>
      <c r="FM22" s="92">
        <f t="shared" ca="1" si="55"/>
        <v>0</v>
      </c>
      <c r="FN22" s="94">
        <f ca="1">SUM(CN22:CS22)</f>
        <v>38800</v>
      </c>
      <c r="FO22" s="94">
        <f ca="1">SUM(CT22:CZ22)</f>
        <v>18200</v>
      </c>
      <c r="FP22" s="95">
        <f t="shared" ca="1" si="59"/>
        <v>33.006465882034327</v>
      </c>
      <c r="FQ22" s="95">
        <f t="shared" ca="1" si="59"/>
        <v>30.73221757322176</v>
      </c>
      <c r="FR22" s="95">
        <f t="shared" ca="1" si="40"/>
        <v>27.381818181818183</v>
      </c>
      <c r="FS22" s="95">
        <f t="shared" ca="1" si="40"/>
        <v>27.965454545454545</v>
      </c>
      <c r="FT22" s="95">
        <f t="shared" ca="1" si="40"/>
        <v>25.630445992776931</v>
      </c>
      <c r="FU22" s="95">
        <f t="shared" ca="1" si="40"/>
        <v>24.952031928444846</v>
      </c>
      <c r="FV22" s="95">
        <f t="shared" ca="1" si="40"/>
        <v>20.650937033702323</v>
      </c>
      <c r="FW22" s="95">
        <f t="shared" ca="1" si="40"/>
        <v>2.613928197991251</v>
      </c>
      <c r="FX22" s="95">
        <f t="shared" ca="1" si="40"/>
        <v>132.96084278622627</v>
      </c>
      <c r="FY22" s="95">
        <f t="shared" ca="1" si="40"/>
        <v>117.69739305565686</v>
      </c>
      <c r="FZ22" s="95">
        <f t="shared" ca="1" si="40"/>
        <v>110.80086203965935</v>
      </c>
      <c r="GA22" s="95">
        <f t="shared" ca="1" si="40"/>
        <v>123.32699477630874</v>
      </c>
      <c r="GB22" s="95">
        <f t="shared" ca="1" si="40"/>
        <v>167.54616747754403</v>
      </c>
      <c r="GC22" s="95">
        <f t="shared" ca="1" si="40"/>
        <v>156.25526319999997</v>
      </c>
      <c r="GD22" s="95">
        <f t="shared" ca="1" si="40"/>
        <v>152.25526319999997</v>
      </c>
      <c r="GE22" s="95">
        <f t="shared" ca="1" si="40"/>
        <v>122.25526319999997</v>
      </c>
      <c r="GF22" s="95">
        <f t="shared" ca="1" si="40"/>
        <v>144.25526319999997</v>
      </c>
      <c r="GG22" s="95">
        <f t="shared" ca="1" si="40"/>
        <v>114.25526319999997</v>
      </c>
      <c r="GH22" s="95">
        <f t="shared" ca="1" si="41"/>
        <v>94.811740923076897</v>
      </c>
      <c r="GI22" s="95">
        <f t="shared" ca="1" si="41"/>
        <v>120.36466171428567</v>
      </c>
      <c r="GJ22" s="95">
        <f t="shared" ca="1" si="41"/>
        <v>63.255263199999973</v>
      </c>
      <c r="GK22" s="95">
        <f t="shared" ca="1" si="41"/>
        <v>39.906315839999962</v>
      </c>
      <c r="GL22" s="95">
        <f t="shared" ca="1" si="41"/>
        <v>0</v>
      </c>
      <c r="GM22" s="95">
        <f t="shared" ca="1" si="38"/>
        <v>0</v>
      </c>
      <c r="GN22" s="95">
        <f t="shared" ca="1" si="38"/>
        <v>0</v>
      </c>
      <c r="GO22" s="95">
        <f t="shared" ca="1" si="38"/>
        <v>0</v>
      </c>
      <c r="GP22" s="95">
        <f t="shared" ca="1" si="38"/>
        <v>0</v>
      </c>
      <c r="GQ22" s="95">
        <f t="shared" ca="1" si="38"/>
        <v>0</v>
      </c>
      <c r="GS22" s="7">
        <v>126.60817131416667</v>
      </c>
      <c r="GT22" s="96">
        <f t="shared" ca="1" si="47"/>
        <v>471549.18947006937</v>
      </c>
      <c r="GU22" s="96">
        <f t="shared" ca="1" si="47"/>
        <v>965391.1450302751</v>
      </c>
      <c r="GV22" s="96">
        <f t="shared" ca="1" si="47"/>
        <v>1283068.0781887244</v>
      </c>
      <c r="GW22" s="96">
        <f t="shared" ca="1" si="47"/>
        <v>4282224.9036861034</v>
      </c>
      <c r="GX22" s="96">
        <f t="shared" ca="1" si="47"/>
        <v>724364.40670919791</v>
      </c>
      <c r="GY22" s="96">
        <f t="shared" ca="1" si="47"/>
        <v>725006.50258218113</v>
      </c>
      <c r="GZ22" s="96">
        <f t="shared" ca="1" si="47"/>
        <v>745232.52258115262</v>
      </c>
      <c r="HA22" s="96">
        <f t="shared" ca="1" si="47"/>
        <v>808559.22805412288</v>
      </c>
      <c r="HB22" s="96">
        <f t="shared" ca="1" si="47"/>
        <v>862976.8532894511</v>
      </c>
      <c r="HC22" s="96">
        <f t="shared" ca="1" si="47"/>
        <v>759649.02788499999</v>
      </c>
      <c r="HD22" s="96">
        <f t="shared" ca="1" si="47"/>
        <v>759649.02788499999</v>
      </c>
      <c r="HE22" s="96">
        <f t="shared" ca="1" si="47"/>
        <v>759649.02788499999</v>
      </c>
      <c r="HF22" s="96">
        <f t="shared" ca="1" si="47"/>
        <v>759649.02788499999</v>
      </c>
      <c r="HG22" s="96">
        <f t="shared" ca="1" si="47"/>
        <v>759649.02788499999</v>
      </c>
      <c r="HH22" s="96">
        <f t="shared" ca="1" si="47"/>
        <v>987543.73625049996</v>
      </c>
      <c r="HI22" s="96">
        <f t="shared" ca="1" si="47"/>
        <v>531754.31951950002</v>
      </c>
      <c r="HJ22" s="96">
        <f t="shared" ca="1" si="48"/>
        <v>759649.02788499999</v>
      </c>
      <c r="HK22" s="96">
        <f t="shared" ca="1" si="48"/>
        <v>633040.85657083336</v>
      </c>
      <c r="HL22" s="96">
        <f t="shared" ca="1" si="48"/>
        <v>0</v>
      </c>
      <c r="HM22" s="96">
        <f t="shared" ca="1" si="48"/>
        <v>0</v>
      </c>
      <c r="HN22" s="96">
        <f t="shared" ca="1" si="48"/>
        <v>0</v>
      </c>
      <c r="HO22" s="96">
        <f t="shared" ca="1" si="48"/>
        <v>0</v>
      </c>
      <c r="HP22" s="96">
        <f t="shared" ca="1" si="48"/>
        <v>0</v>
      </c>
      <c r="HQ22" s="96">
        <f t="shared" ca="1" si="48"/>
        <v>0</v>
      </c>
      <c r="HR22" s="97"/>
      <c r="HS22" s="97">
        <f t="shared" ca="1" si="21"/>
        <v>402867.20112167834</v>
      </c>
    </row>
    <row r="23" spans="1:227" ht="17.25" thickTop="1" thickBot="1" x14ac:dyDescent="0.3">
      <c r="A23" s="106" t="s">
        <v>361</v>
      </c>
      <c r="B23" s="107" t="s">
        <v>362</v>
      </c>
      <c r="C23" s="107" t="s">
        <v>362</v>
      </c>
      <c r="D23" s="74" t="s">
        <v>1</v>
      </c>
      <c r="E23" s="74" t="s">
        <v>349</v>
      </c>
      <c r="F23" s="73"/>
      <c r="G23" s="75">
        <v>133</v>
      </c>
      <c r="H23" s="75">
        <v>133</v>
      </c>
      <c r="I23" s="75">
        <f t="shared" ca="1" si="50"/>
        <v>266</v>
      </c>
      <c r="J23" s="76">
        <f ca="1">[1]Parameters!$C$3+G23</f>
        <v>45964</v>
      </c>
      <c r="K23" s="77">
        <f t="shared" ca="1" si="23"/>
        <v>11</v>
      </c>
      <c r="L23" s="77">
        <f t="shared" ca="1" si="24"/>
        <v>2025</v>
      </c>
      <c r="M23" s="76">
        <f ca="1">[1]Parameters!$C$3+I23</f>
        <v>46097</v>
      </c>
      <c r="N23" s="77">
        <f t="shared" ca="1" si="25"/>
        <v>3</v>
      </c>
      <c r="O23" s="77">
        <f t="shared" ca="1" si="26"/>
        <v>2026</v>
      </c>
      <c r="P23" s="78">
        <v>0.98</v>
      </c>
      <c r="Q23" s="79" t="e">
        <f ca="1">VLOOKUP(A23,[1]ABC!A:G,7,0)</f>
        <v>#N/A</v>
      </c>
      <c r="R23" s="80"/>
      <c r="S23" s="81"/>
      <c r="T23" s="82">
        <f t="shared" ca="1" si="10"/>
        <v>0</v>
      </c>
      <c r="U23" s="83">
        <f t="shared" ca="1" si="53"/>
        <v>0</v>
      </c>
      <c r="V23" s="80">
        <v>3000</v>
      </c>
      <c r="W23" s="80"/>
      <c r="X23" s="101"/>
      <c r="Y23" s="84">
        <v>6.05</v>
      </c>
      <c r="Z23" s="85"/>
      <c r="AA23" s="85"/>
      <c r="AB23" s="85"/>
      <c r="AC23" s="85"/>
      <c r="AD23" s="85"/>
      <c r="AE23" s="85"/>
      <c r="AF23" s="85"/>
      <c r="AG23" s="85">
        <v>0</v>
      </c>
      <c r="AH23" s="85">
        <v>0</v>
      </c>
      <c r="AI23" s="75">
        <v>0</v>
      </c>
      <c r="AJ23" s="75">
        <f t="shared" ca="1" si="56"/>
        <v>0</v>
      </c>
      <c r="AK23" s="75">
        <f t="shared" ca="1" si="56"/>
        <v>0</v>
      </c>
      <c r="AL23" s="75">
        <f t="shared" ca="1" si="56"/>
        <v>0</v>
      </c>
      <c r="AM23" s="75">
        <f t="shared" ca="1" si="56"/>
        <v>0</v>
      </c>
      <c r="AN23" s="75">
        <f t="shared" ca="1" si="56"/>
        <v>0</v>
      </c>
      <c r="AO23" s="75">
        <f t="shared" ca="1" si="56"/>
        <v>0</v>
      </c>
      <c r="AP23" s="75">
        <f t="shared" ca="1" si="56"/>
        <v>0</v>
      </c>
      <c r="AQ23" s="75">
        <f t="shared" ca="1" si="56"/>
        <v>0</v>
      </c>
      <c r="AR23" s="75">
        <f t="shared" ca="1" si="56"/>
        <v>0</v>
      </c>
      <c r="AS23" s="75">
        <f t="shared" ca="1" si="56"/>
        <v>0</v>
      </c>
      <c r="AT23" s="75">
        <f t="shared" ca="1" si="56"/>
        <v>0</v>
      </c>
      <c r="AU23" s="75">
        <f t="shared" ca="1" si="56"/>
        <v>0</v>
      </c>
      <c r="AV23" s="75">
        <f t="shared" ca="1" si="56"/>
        <v>0</v>
      </c>
      <c r="AW23" s="75">
        <f t="shared" ca="1" si="56"/>
        <v>0</v>
      </c>
      <c r="AX23" s="75">
        <f t="shared" ca="1" si="56"/>
        <v>0</v>
      </c>
      <c r="AY23" s="75">
        <f t="shared" ca="1" si="54"/>
        <v>0</v>
      </c>
      <c r="AZ23" s="75">
        <f t="shared" ca="1" si="12"/>
        <v>0</v>
      </c>
      <c r="BA23" s="75">
        <f t="shared" ca="1" si="12"/>
        <v>0</v>
      </c>
      <c r="BB23" s="166"/>
      <c r="BC23" s="86">
        <v>0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0</v>
      </c>
      <c r="BK23" s="86">
        <v>0</v>
      </c>
      <c r="BL23" s="86">
        <v>0</v>
      </c>
      <c r="BM23" s="86">
        <v>0</v>
      </c>
      <c r="BN23" s="86">
        <v>0</v>
      </c>
      <c r="BO23" s="86">
        <v>0</v>
      </c>
      <c r="BP23" s="86">
        <v>0</v>
      </c>
      <c r="BQ23" s="86">
        <v>0</v>
      </c>
      <c r="BR23" s="86">
        <v>0</v>
      </c>
      <c r="BS23" s="86">
        <v>0</v>
      </c>
      <c r="BT23" s="86">
        <v>0</v>
      </c>
      <c r="BU23" s="86">
        <v>0</v>
      </c>
      <c r="BV23" s="86">
        <v>0</v>
      </c>
      <c r="BW23" s="86">
        <v>0</v>
      </c>
      <c r="BX23" s="86">
        <v>0</v>
      </c>
      <c r="BY23" s="86">
        <v>0</v>
      </c>
      <c r="BZ23" s="86">
        <v>0</v>
      </c>
      <c r="CA23" s="86">
        <v>0</v>
      </c>
      <c r="CB23" s="86">
        <v>0</v>
      </c>
      <c r="CC23" s="86">
        <v>0</v>
      </c>
      <c r="CD23" s="86">
        <v>0</v>
      </c>
      <c r="CE23" s="86">
        <f t="shared" ca="1" si="28"/>
        <v>0</v>
      </c>
      <c r="CF23" s="87"/>
      <c r="CG23" s="86">
        <v>0</v>
      </c>
      <c r="CH23" s="86">
        <v>0</v>
      </c>
      <c r="CI23" s="86">
        <v>0</v>
      </c>
      <c r="CJ23" s="86">
        <v>0</v>
      </c>
      <c r="CK23" s="86">
        <v>0</v>
      </c>
      <c r="CL23" s="86">
        <v>0</v>
      </c>
      <c r="CM23" s="86">
        <v>0</v>
      </c>
      <c r="CN23" s="86">
        <v>0</v>
      </c>
      <c r="CO23" s="89">
        <v>0</v>
      </c>
      <c r="CP23" s="89">
        <v>0</v>
      </c>
      <c r="CQ23" s="89">
        <v>0</v>
      </c>
      <c r="CR23" s="89">
        <v>0</v>
      </c>
      <c r="CS23" s="89">
        <v>0</v>
      </c>
      <c r="CT23" s="89">
        <v>0</v>
      </c>
      <c r="CU23" s="90"/>
      <c r="CV23" s="90">
        <v>0</v>
      </c>
      <c r="CW23" s="90">
        <v>0</v>
      </c>
      <c r="CX23" s="90">
        <v>0</v>
      </c>
      <c r="CY23" s="90">
        <v>0</v>
      </c>
      <c r="CZ23" s="90">
        <v>0</v>
      </c>
      <c r="DA23" s="90">
        <v>0</v>
      </c>
      <c r="DB23" s="90">
        <v>0</v>
      </c>
      <c r="DC23" s="90">
        <v>0</v>
      </c>
      <c r="DD23" s="90">
        <v>0</v>
      </c>
      <c r="DE23" s="90">
        <v>0</v>
      </c>
      <c r="DF23" s="90">
        <v>0</v>
      </c>
      <c r="DG23" s="90">
        <v>0</v>
      </c>
      <c r="DI23" s="91" t="e">
        <f ca="1">VLOOKUP(A23,'[2]2-Relatório'!$A:$J,9,0)</f>
        <v>#N/A</v>
      </c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L23" s="93"/>
      <c r="EM23" s="93"/>
      <c r="EN23" s="92"/>
      <c r="EO23" s="92"/>
      <c r="EP23" s="92"/>
      <c r="EQ23" s="92"/>
      <c r="ER23" s="92"/>
      <c r="ES23" s="92"/>
      <c r="ET23" s="92"/>
      <c r="EU23" s="92"/>
      <c r="EV23" s="92"/>
      <c r="EW23" s="92"/>
      <c r="EX23" s="92"/>
      <c r="EY23" s="92"/>
      <c r="EZ23" s="92"/>
      <c r="FA23" s="92"/>
      <c r="FB23" s="92"/>
      <c r="FC23" s="92"/>
      <c r="FD23" s="92"/>
      <c r="FE23" s="92"/>
      <c r="FF23" s="92"/>
      <c r="FG23" s="92"/>
      <c r="FH23" s="92"/>
      <c r="FI23" s="92"/>
      <c r="FJ23" s="92"/>
      <c r="FK23" s="92"/>
      <c r="FL23" s="92"/>
      <c r="FM23" s="92"/>
      <c r="FN23" s="94">
        <f t="shared" ref="FN23:FN26" ca="1" si="62">SUM(CO23:CU23)</f>
        <v>0</v>
      </c>
      <c r="FO23" s="94">
        <f t="shared" ref="FO23:FO26" ca="1" si="63">SUM(CV23:DA23)</f>
        <v>0</v>
      </c>
      <c r="FP23" s="95"/>
      <c r="FQ23" s="95"/>
      <c r="FR23" s="95"/>
      <c r="FS23" s="95"/>
      <c r="FT23" s="95"/>
      <c r="FU23" s="95"/>
      <c r="FV23" s="95"/>
      <c r="FW23" s="95"/>
      <c r="FX23" s="95">
        <f t="shared" ca="1" si="40"/>
        <v>0</v>
      </c>
      <c r="FY23" s="95">
        <f t="shared" ca="1" si="40"/>
        <v>0</v>
      </c>
      <c r="FZ23" s="95">
        <f t="shared" ca="1" si="40"/>
        <v>0</v>
      </c>
      <c r="GA23" s="95">
        <f t="shared" ca="1" si="40"/>
        <v>0</v>
      </c>
      <c r="GB23" s="95">
        <f t="shared" ca="1" si="40"/>
        <v>0</v>
      </c>
      <c r="GC23" s="95">
        <f t="shared" ca="1" si="40"/>
        <v>0</v>
      </c>
      <c r="GD23" s="95">
        <f t="shared" ca="1" si="40"/>
        <v>0</v>
      </c>
      <c r="GE23" s="95">
        <f t="shared" ca="1" si="40"/>
        <v>0</v>
      </c>
      <c r="GF23" s="95">
        <f t="shared" ca="1" si="40"/>
        <v>0</v>
      </c>
      <c r="GG23" s="95">
        <f t="shared" ca="1" si="40"/>
        <v>0</v>
      </c>
      <c r="GH23" s="95">
        <f t="shared" ca="1" si="41"/>
        <v>0</v>
      </c>
      <c r="GI23" s="95">
        <f t="shared" ca="1" si="41"/>
        <v>0</v>
      </c>
      <c r="GJ23" s="95">
        <f t="shared" ca="1" si="41"/>
        <v>0</v>
      </c>
      <c r="GK23" s="95">
        <f t="shared" ca="1" si="41"/>
        <v>0</v>
      </c>
      <c r="GL23" s="95">
        <f t="shared" ca="1" si="41"/>
        <v>0</v>
      </c>
      <c r="GM23" s="95">
        <f t="shared" ca="1" si="38"/>
        <v>0</v>
      </c>
      <c r="GN23" s="95">
        <f t="shared" ca="1" si="38"/>
        <v>0</v>
      </c>
      <c r="GO23" s="95">
        <f t="shared" ca="1" si="38"/>
        <v>0</v>
      </c>
      <c r="GP23" s="95">
        <f t="shared" ca="1" si="38"/>
        <v>0</v>
      </c>
      <c r="GQ23" s="95">
        <f t="shared" ca="1" si="38"/>
        <v>0</v>
      </c>
      <c r="GS23" s="7"/>
      <c r="GT23" s="96"/>
      <c r="GU23" s="96"/>
      <c r="GV23" s="96"/>
      <c r="GW23" s="96"/>
      <c r="GX23" s="96"/>
      <c r="GY23" s="96"/>
      <c r="GZ23" s="96"/>
      <c r="HA23" s="96"/>
      <c r="HB23" s="96"/>
      <c r="HC23" s="96"/>
      <c r="HD23" s="96"/>
      <c r="HE23" s="96"/>
      <c r="HF23" s="96"/>
      <c r="HG23" s="96"/>
      <c r="HH23" s="96"/>
      <c r="HI23" s="96"/>
      <c r="HJ23" s="96"/>
      <c r="HK23" s="96"/>
      <c r="HL23" s="96"/>
      <c r="HM23" s="96"/>
      <c r="HN23" s="96"/>
      <c r="HO23" s="96"/>
      <c r="HP23" s="96"/>
      <c r="HQ23" s="96"/>
      <c r="HR23" s="97"/>
      <c r="HS23" s="97"/>
    </row>
    <row r="24" spans="1:227" ht="17.25" thickTop="1" thickBot="1" x14ac:dyDescent="0.3">
      <c r="A24" s="16" t="s">
        <v>40</v>
      </c>
      <c r="B24" s="73" t="s">
        <v>363</v>
      </c>
      <c r="C24" s="73" t="s">
        <v>364</v>
      </c>
      <c r="D24" s="74" t="s">
        <v>0</v>
      </c>
      <c r="E24" s="74" t="s">
        <v>349</v>
      </c>
      <c r="F24" s="73"/>
      <c r="G24" s="75">
        <f t="shared" ref="G24:G26" ca="1" si="64">127+6</f>
        <v>133</v>
      </c>
      <c r="H24" s="75">
        <v>133</v>
      </c>
      <c r="I24" s="75">
        <f t="shared" ca="1" si="50"/>
        <v>266</v>
      </c>
      <c r="J24" s="76">
        <f ca="1">[1]Parameters!$C$3+G24</f>
        <v>45964</v>
      </c>
      <c r="K24" s="77">
        <f t="shared" ca="1" si="23"/>
        <v>11</v>
      </c>
      <c r="L24" s="77">
        <f t="shared" ca="1" si="24"/>
        <v>2025</v>
      </c>
      <c r="M24" s="76">
        <f ca="1">[1]Parameters!$C$3+I24</f>
        <v>46097</v>
      </c>
      <c r="N24" s="77">
        <f t="shared" ca="1" si="25"/>
        <v>3</v>
      </c>
      <c r="O24" s="77">
        <f t="shared" ca="1" si="26"/>
        <v>2026</v>
      </c>
      <c r="P24" s="78">
        <v>0.98</v>
      </c>
      <c r="Q24" s="79" t="str">
        <f ca="1">VLOOKUP(A24,[1]ABC!A:G,7,0)</f>
        <v>A</v>
      </c>
      <c r="R24" s="80">
        <f t="shared" ca="1" si="9"/>
        <v>43.506824227045065</v>
      </c>
      <c r="S24" s="81">
        <v>67.56</v>
      </c>
      <c r="T24" s="82">
        <f t="shared" ca="1" si="10"/>
        <v>7400</v>
      </c>
      <c r="U24" s="83">
        <f t="shared" ca="1" si="53"/>
        <v>9400</v>
      </c>
      <c r="V24" s="80">
        <v>3000</v>
      </c>
      <c r="W24" s="80">
        <f t="shared" ca="1" si="27"/>
        <v>9000</v>
      </c>
      <c r="X24" s="80"/>
      <c r="Y24" s="84">
        <v>5.33</v>
      </c>
      <c r="Z24" s="85">
        <v>5201</v>
      </c>
      <c r="AA24" s="85">
        <v>2790</v>
      </c>
      <c r="AB24" s="85">
        <v>4753</v>
      </c>
      <c r="AC24" s="85">
        <v>2894</v>
      </c>
      <c r="AD24" s="85">
        <v>1249</v>
      </c>
      <c r="AE24" s="85">
        <v>1943</v>
      </c>
      <c r="AF24" s="85">
        <v>3323</v>
      </c>
      <c r="AG24" s="85">
        <v>1558</v>
      </c>
      <c r="AH24" s="85">
        <v>1958</v>
      </c>
      <c r="AI24" s="75">
        <v>20703</v>
      </c>
      <c r="AJ24" s="75">
        <f t="shared" ca="1" si="56"/>
        <v>15972</v>
      </c>
      <c r="AK24" s="75">
        <f t="shared" ca="1" si="56"/>
        <v>19148</v>
      </c>
      <c r="AL24" s="75">
        <f t="shared" ca="1" si="56"/>
        <v>20282</v>
      </c>
      <c r="AM24" s="75">
        <f t="shared" ca="1" si="56"/>
        <v>30067</v>
      </c>
      <c r="AN24" s="75">
        <f t="shared" ca="1" si="56"/>
        <v>27467</v>
      </c>
      <c r="AO24" s="75">
        <f t="shared" ca="1" si="56"/>
        <v>24967</v>
      </c>
      <c r="AP24" s="75">
        <f t="shared" ca="1" si="56"/>
        <v>22367</v>
      </c>
      <c r="AQ24" s="75">
        <f t="shared" ca="1" si="56"/>
        <v>19767</v>
      </c>
      <c r="AR24" s="75">
        <f t="shared" ca="1" si="56"/>
        <v>17167</v>
      </c>
      <c r="AS24" s="75">
        <f t="shared" ca="1" si="56"/>
        <v>13917</v>
      </c>
      <c r="AT24" s="75">
        <f t="shared" ca="1" si="56"/>
        <v>12167</v>
      </c>
      <c r="AU24" s="75">
        <f t="shared" ca="1" si="56"/>
        <v>9567</v>
      </c>
      <c r="AV24" s="75">
        <f t="shared" ca="1" si="56"/>
        <v>6967</v>
      </c>
      <c r="AW24" s="75">
        <f t="shared" ca="1" si="56"/>
        <v>6967</v>
      </c>
      <c r="AX24" s="75">
        <f t="shared" ca="1" si="56"/>
        <v>6967</v>
      </c>
      <c r="AY24" s="75">
        <f t="shared" ca="1" si="54"/>
        <v>6967</v>
      </c>
      <c r="AZ24" s="75">
        <f t="shared" ca="1" si="12"/>
        <v>6967</v>
      </c>
      <c r="BA24" s="75">
        <f t="shared" ca="1" si="12"/>
        <v>6967</v>
      </c>
      <c r="BB24" s="166"/>
      <c r="BC24" s="86">
        <v>4791</v>
      </c>
      <c r="BD24" s="86">
        <v>2664.67</v>
      </c>
      <c r="BE24" s="86">
        <v>2300</v>
      </c>
      <c r="BF24" s="86">
        <v>2300</v>
      </c>
      <c r="BG24" s="86">
        <v>3661</v>
      </c>
      <c r="BH24" s="86">
        <v>4898</v>
      </c>
      <c r="BI24" s="86">
        <v>4931</v>
      </c>
      <c r="BJ24" s="86">
        <v>5773</v>
      </c>
      <c r="BK24" s="86">
        <v>4485</v>
      </c>
      <c r="BL24" s="86">
        <v>4731</v>
      </c>
      <c r="BM24" s="86">
        <v>5824</v>
      </c>
      <c r="BN24" s="86">
        <v>4866</v>
      </c>
      <c r="BO24" s="86">
        <v>2215</v>
      </c>
      <c r="BP24" s="86">
        <v>2600</v>
      </c>
      <c r="BQ24" s="86">
        <v>2500</v>
      </c>
      <c r="BR24" s="86">
        <v>2600</v>
      </c>
      <c r="BS24" s="86">
        <v>2600</v>
      </c>
      <c r="BT24" s="86">
        <v>2600</v>
      </c>
      <c r="BU24" s="86">
        <v>3250</v>
      </c>
      <c r="BV24" s="86">
        <v>1750</v>
      </c>
      <c r="BW24" s="86">
        <v>2600</v>
      </c>
      <c r="BX24" s="86">
        <v>2600</v>
      </c>
      <c r="BY24" s="86">
        <v>0</v>
      </c>
      <c r="BZ24" s="86">
        <v>0</v>
      </c>
      <c r="CA24" s="86">
        <v>0</v>
      </c>
      <c r="CB24" s="86">
        <v>0</v>
      </c>
      <c r="CC24" s="86">
        <v>0</v>
      </c>
      <c r="CD24" s="86">
        <v>0</v>
      </c>
      <c r="CE24" s="86">
        <f t="shared" ca="1" si="28"/>
        <v>1213.5586522966671</v>
      </c>
      <c r="CF24" s="87"/>
      <c r="CG24" s="86">
        <v>0</v>
      </c>
      <c r="CH24" s="86">
        <v>0</v>
      </c>
      <c r="CI24" s="86">
        <v>0</v>
      </c>
      <c r="CJ24" s="86">
        <v>0</v>
      </c>
      <c r="CK24" s="86">
        <v>0</v>
      </c>
      <c r="CL24" s="86">
        <v>0</v>
      </c>
      <c r="CM24" s="86">
        <v>0</v>
      </c>
      <c r="CN24" s="86">
        <v>0</v>
      </c>
      <c r="CO24" s="86">
        <v>0</v>
      </c>
      <c r="CP24" s="86">
        <v>9000</v>
      </c>
      <c r="CQ24" s="86">
        <v>6000</v>
      </c>
      <c r="CR24" s="86">
        <f ca="1">9000+3000</f>
        <v>12000</v>
      </c>
      <c r="CS24" s="86">
        <v>0</v>
      </c>
      <c r="CT24" s="86">
        <v>0</v>
      </c>
      <c r="CU24" s="90">
        <v>0</v>
      </c>
      <c r="CV24" s="90">
        <v>0</v>
      </c>
      <c r="CW24" s="86">
        <v>0</v>
      </c>
      <c r="CX24" s="90">
        <v>0</v>
      </c>
      <c r="CY24" s="90">
        <v>0</v>
      </c>
      <c r="CZ24" s="90">
        <v>0</v>
      </c>
      <c r="DA24" s="90">
        <v>0</v>
      </c>
      <c r="DB24" s="90">
        <v>0</v>
      </c>
      <c r="DC24" s="90">
        <v>0</v>
      </c>
      <c r="DD24" s="90">
        <v>0</v>
      </c>
      <c r="DE24" s="90">
        <v>0</v>
      </c>
      <c r="DF24" s="90">
        <v>0</v>
      </c>
      <c r="DG24" s="86">
        <v>0</v>
      </c>
      <c r="DI24" s="91">
        <f ca="1">VLOOKUP(A24,'[2]2-Relatório'!$A:$J,9,0)</f>
        <v>45.63</v>
      </c>
      <c r="DJ24" s="92">
        <f t="shared" ca="1" si="60"/>
        <v>216879.39</v>
      </c>
      <c r="DK24" s="92">
        <f t="shared" ca="1" si="60"/>
        <v>132053.22</v>
      </c>
      <c r="DL24" s="92">
        <f t="shared" ca="1" si="60"/>
        <v>56991.87</v>
      </c>
      <c r="DM24" s="92">
        <f t="shared" ca="1" si="60"/>
        <v>88659.090000000011</v>
      </c>
      <c r="DN24" s="92">
        <f t="shared" ca="1" si="60"/>
        <v>151628.49000000002</v>
      </c>
      <c r="DO24" s="92">
        <f t="shared" ca="1" si="60"/>
        <v>71091.540000000008</v>
      </c>
      <c r="DP24" s="92">
        <f t="shared" ca="1" si="60"/>
        <v>89343.540000000008</v>
      </c>
      <c r="DQ24" s="92">
        <f t="shared" ca="1" si="60"/>
        <v>944677.89</v>
      </c>
      <c r="DR24" s="92">
        <f t="shared" ca="1" si="45"/>
        <v>728802.36</v>
      </c>
      <c r="DS24" s="92">
        <f t="shared" ca="1" si="45"/>
        <v>873723.24000000011</v>
      </c>
      <c r="DT24" s="92">
        <f t="shared" ca="1" si="45"/>
        <v>925467.66</v>
      </c>
      <c r="DU24" s="92">
        <f t="shared" ca="1" si="45"/>
        <v>1371957.21</v>
      </c>
      <c r="DV24" s="92">
        <f t="shared" ca="1" si="45"/>
        <v>1253319.21</v>
      </c>
      <c r="DW24" s="92">
        <f t="shared" ca="1" si="45"/>
        <v>1139244.21</v>
      </c>
      <c r="DX24" s="92">
        <f t="shared" ca="1" si="45"/>
        <v>1020606.2100000001</v>
      </c>
      <c r="DY24" s="92">
        <f t="shared" ca="1" si="45"/>
        <v>901968.21000000008</v>
      </c>
      <c r="DZ24" s="92">
        <f t="shared" ca="1" si="45"/>
        <v>783330.21000000008</v>
      </c>
      <c r="EA24" s="92">
        <f t="shared" ca="1" si="45"/>
        <v>635032.71000000008</v>
      </c>
      <c r="EB24" s="92">
        <f t="shared" ca="1" si="45"/>
        <v>555180.21000000008</v>
      </c>
      <c r="EC24" s="92">
        <f t="shared" ca="1" si="45"/>
        <v>436542.21</v>
      </c>
      <c r="ED24" s="92">
        <f t="shared" ca="1" si="45"/>
        <v>317904.21000000002</v>
      </c>
      <c r="EE24" s="92">
        <f t="shared" ca="1" si="45"/>
        <v>317904.21000000002</v>
      </c>
      <c r="EF24" s="92">
        <f t="shared" ca="1" si="45"/>
        <v>317904.21000000002</v>
      </c>
      <c r="EG24" s="92">
        <f t="shared" ca="1" si="45"/>
        <v>317904.21000000002</v>
      </c>
      <c r="EH24" s="92">
        <f t="shared" ca="1" si="46"/>
        <v>317904.21000000002</v>
      </c>
      <c r="EI24" s="92">
        <f t="shared" ca="1" si="46"/>
        <v>317904.21000000002</v>
      </c>
      <c r="EL24" s="93">
        <f t="shared" ca="1" si="57"/>
        <v>323679.96000000002</v>
      </c>
      <c r="EM24" s="93">
        <f t="shared" ca="1" si="57"/>
        <v>180025.10520000002</v>
      </c>
      <c r="EN24" s="92">
        <f t="shared" ca="1" si="61"/>
        <v>104949</v>
      </c>
      <c r="EO24" s="92">
        <f t="shared" ca="1" si="61"/>
        <v>104949</v>
      </c>
      <c r="EP24" s="92">
        <f t="shared" ca="1" si="61"/>
        <v>167051.43000000002</v>
      </c>
      <c r="EQ24" s="92">
        <f t="shared" ca="1" si="61"/>
        <v>223495.74000000002</v>
      </c>
      <c r="ER24" s="92">
        <f t="shared" ca="1" si="61"/>
        <v>225001.53</v>
      </c>
      <c r="ES24" s="92">
        <f t="shared" ca="1" si="61"/>
        <v>263421.99</v>
      </c>
      <c r="ET24" s="92">
        <f t="shared" ca="1" si="61"/>
        <v>204650.55000000002</v>
      </c>
      <c r="EU24" s="92">
        <f t="shared" ca="1" si="61"/>
        <v>215875.53</v>
      </c>
      <c r="EV24" s="92">
        <f t="shared" ca="1" si="61"/>
        <v>265749.12</v>
      </c>
      <c r="EW24" s="92">
        <f t="shared" ca="1" si="61"/>
        <v>222035.58000000002</v>
      </c>
      <c r="EX24" s="92">
        <f t="shared" ca="1" si="61"/>
        <v>101070.45000000001</v>
      </c>
      <c r="EY24" s="92">
        <f t="shared" ca="1" si="61"/>
        <v>118638</v>
      </c>
      <c r="EZ24" s="92">
        <f t="shared" ca="1" si="61"/>
        <v>114075</v>
      </c>
      <c r="FA24" s="92">
        <f t="shared" ca="1" si="61"/>
        <v>118638</v>
      </c>
      <c r="FB24" s="92">
        <f t="shared" ca="1" si="61"/>
        <v>118638</v>
      </c>
      <c r="FC24" s="92">
        <f t="shared" ca="1" si="61"/>
        <v>118638</v>
      </c>
      <c r="FD24" s="92">
        <f t="shared" ca="1" si="58"/>
        <v>148297.5</v>
      </c>
      <c r="FE24" s="92">
        <f t="shared" ca="1" si="58"/>
        <v>79852.5</v>
      </c>
      <c r="FF24" s="92">
        <f t="shared" ca="1" si="58"/>
        <v>118638</v>
      </c>
      <c r="FG24" s="92">
        <f t="shared" ca="1" si="58"/>
        <v>118638</v>
      </c>
      <c r="FH24" s="92">
        <f t="shared" ca="1" si="55"/>
        <v>0</v>
      </c>
      <c r="FI24" s="92">
        <f t="shared" ca="1" si="55"/>
        <v>0</v>
      </c>
      <c r="FJ24" s="92">
        <f t="shared" ca="1" si="55"/>
        <v>0</v>
      </c>
      <c r="FK24" s="92">
        <f t="shared" ca="1" si="55"/>
        <v>0</v>
      </c>
      <c r="FL24" s="92">
        <f t="shared" ca="1" si="55"/>
        <v>0</v>
      </c>
      <c r="FM24" s="92">
        <f t="shared" ca="1" si="55"/>
        <v>0</v>
      </c>
      <c r="FN24" s="94">
        <f t="shared" ca="1" si="62"/>
        <v>27000</v>
      </c>
      <c r="FO24" s="94">
        <f t="shared" ca="1" si="63"/>
        <v>0</v>
      </c>
      <c r="FP24" s="95">
        <f t="shared" ca="1" si="59"/>
        <v>32.567313713212272</v>
      </c>
      <c r="FQ24" s="95">
        <f t="shared" ca="1" si="59"/>
        <v>31.411019000476603</v>
      </c>
      <c r="FR24" s="95">
        <f t="shared" ca="1" si="40"/>
        <v>61.995652173913044</v>
      </c>
      <c r="FS24" s="95">
        <f t="shared" ca="1" si="40"/>
        <v>37.747826086956522</v>
      </c>
      <c r="FT24" s="95">
        <f t="shared" ca="1" si="40"/>
        <v>10.234908494946735</v>
      </c>
      <c r="FU24" s="95">
        <f t="shared" ca="1" si="40"/>
        <v>11.900775826868109</v>
      </c>
      <c r="FV24" s="95">
        <f t="shared" ca="1" si="40"/>
        <v>20.216994524437236</v>
      </c>
      <c r="FW24" s="95">
        <f t="shared" ca="1" si="40"/>
        <v>8.0963104105317871</v>
      </c>
      <c r="FX24" s="95">
        <f t="shared" ca="1" si="40"/>
        <v>13.096989966555185</v>
      </c>
      <c r="FY24" s="95">
        <f t="shared" ca="1" si="40"/>
        <v>131.28091312618898</v>
      </c>
      <c r="FZ24" s="95">
        <f t="shared" ca="1" si="40"/>
        <v>82.27335164835165</v>
      </c>
      <c r="GA24" s="95">
        <f t="shared" ca="1" si="40"/>
        <v>118.0517879161529</v>
      </c>
      <c r="GB24" s="95">
        <f t="shared" ca="1" si="40"/>
        <v>274.69977426636564</v>
      </c>
      <c r="GC24" s="95">
        <f t="shared" ca="1" si="40"/>
        <v>346.92692307692306</v>
      </c>
      <c r="GD24" s="95">
        <f t="shared" ca="1" si="40"/>
        <v>329.60399999999998</v>
      </c>
      <c r="GE24" s="95">
        <f t="shared" ca="1" si="40"/>
        <v>288.08076923076919</v>
      </c>
      <c r="GF24" s="95">
        <f t="shared" ca="1" si="40"/>
        <v>258.08076923076925</v>
      </c>
      <c r="GG24" s="95">
        <f t="shared" ca="1" si="40"/>
        <v>228.08076923076925</v>
      </c>
      <c r="GH24" s="95">
        <f t="shared" ca="1" si="41"/>
        <v>158.4646153846154</v>
      </c>
      <c r="GI24" s="95">
        <f t="shared" ca="1" si="41"/>
        <v>238.57714285714289</v>
      </c>
      <c r="GJ24" s="95">
        <f t="shared" ca="1" si="41"/>
        <v>140.38846153846154</v>
      </c>
      <c r="GK24" s="95">
        <f t="shared" ca="1" si="41"/>
        <v>110.38846153846154</v>
      </c>
      <c r="GL24" s="95">
        <f t="shared" ca="1" si="41"/>
        <v>0</v>
      </c>
      <c r="GM24" s="95">
        <f t="shared" ca="1" si="38"/>
        <v>0</v>
      </c>
      <c r="GN24" s="95">
        <f t="shared" ca="1" si="38"/>
        <v>0</v>
      </c>
      <c r="GO24" s="95">
        <f t="shared" ca="1" si="38"/>
        <v>0</v>
      </c>
      <c r="GP24" s="95">
        <f t="shared" ca="1" si="38"/>
        <v>0</v>
      </c>
      <c r="GQ24" s="95">
        <f t="shared" ca="1" si="38"/>
        <v>0</v>
      </c>
      <c r="GS24" s="7">
        <v>130.3957829581</v>
      </c>
      <c r="GT24" s="96">
        <f t="shared" ca="1" si="47"/>
        <v>477378.96140960412</v>
      </c>
      <c r="GU24" s="96">
        <f t="shared" ca="1" si="47"/>
        <v>638678.54492877377</v>
      </c>
      <c r="GV24" s="96">
        <f t="shared" ca="1" si="47"/>
        <v>642981.60576639115</v>
      </c>
      <c r="GW24" s="96">
        <f t="shared" ca="1" si="47"/>
        <v>752774.85501711129</v>
      </c>
      <c r="GX24" s="96">
        <f t="shared" ca="1" si="47"/>
        <v>584825.08656707848</v>
      </c>
      <c r="GY24" s="96">
        <f t="shared" ca="1" si="47"/>
        <v>616902.44917477109</v>
      </c>
      <c r="GZ24" s="96">
        <f t="shared" ca="1" si="47"/>
        <v>759425.03994797438</v>
      </c>
      <c r="HA24" s="96">
        <f t="shared" ca="1" si="47"/>
        <v>634505.87987411465</v>
      </c>
      <c r="HB24" s="96">
        <f t="shared" ca="1" si="47"/>
        <v>288826.65925219149</v>
      </c>
      <c r="HC24" s="96">
        <f t="shared" ca="1" si="47"/>
        <v>339029.03569106001</v>
      </c>
      <c r="HD24" s="96">
        <f t="shared" ca="1" si="47"/>
        <v>325989.45739524998</v>
      </c>
      <c r="HE24" s="96">
        <f t="shared" ca="1" si="47"/>
        <v>339029.03569106001</v>
      </c>
      <c r="HF24" s="96">
        <f t="shared" ca="1" si="47"/>
        <v>339029.03569106001</v>
      </c>
      <c r="HG24" s="96">
        <f t="shared" ca="1" si="47"/>
        <v>339029.03569106001</v>
      </c>
      <c r="HH24" s="96">
        <f t="shared" ca="1" si="47"/>
        <v>423786.29461382498</v>
      </c>
      <c r="HI24" s="96">
        <f t="shared" ca="1" si="47"/>
        <v>228192.620176675</v>
      </c>
      <c r="HJ24" s="96">
        <f t="shared" ca="1" si="48"/>
        <v>339029.03569106001</v>
      </c>
      <c r="HK24" s="96">
        <f t="shared" ca="1" si="48"/>
        <v>339029.03569106001</v>
      </c>
      <c r="HL24" s="96">
        <f t="shared" ca="1" si="48"/>
        <v>0</v>
      </c>
      <c r="HM24" s="96">
        <f t="shared" ca="1" si="48"/>
        <v>0</v>
      </c>
      <c r="HN24" s="96">
        <f t="shared" ca="1" si="48"/>
        <v>0</v>
      </c>
      <c r="HO24" s="96">
        <f t="shared" ca="1" si="48"/>
        <v>0</v>
      </c>
      <c r="HP24" s="96">
        <f t="shared" ca="1" si="48"/>
        <v>0</v>
      </c>
      <c r="HQ24" s="96">
        <f t="shared" ca="1" si="48"/>
        <v>0</v>
      </c>
      <c r="HS24" s="97">
        <f t="shared" ca="1" si="21"/>
        <v>162864.33291466691</v>
      </c>
    </row>
    <row r="25" spans="1:227" ht="17.25" thickTop="1" thickBot="1" x14ac:dyDescent="0.3">
      <c r="A25" s="102" t="s">
        <v>13</v>
      </c>
      <c r="B25" s="103" t="s">
        <v>365</v>
      </c>
      <c r="C25" s="73" t="s">
        <v>366</v>
      </c>
      <c r="D25" s="74" t="s">
        <v>0</v>
      </c>
      <c r="E25" s="74" t="s">
        <v>349</v>
      </c>
      <c r="F25" s="73"/>
      <c r="G25" s="75">
        <f t="shared" ca="1" si="64"/>
        <v>133</v>
      </c>
      <c r="H25" s="75">
        <v>133</v>
      </c>
      <c r="I25" s="75">
        <f t="shared" ca="1" si="50"/>
        <v>266</v>
      </c>
      <c r="J25" s="76">
        <f ca="1">[1]Parameters!$C$3+G25</f>
        <v>45964</v>
      </c>
      <c r="K25" s="77">
        <f t="shared" ca="1" si="23"/>
        <v>11</v>
      </c>
      <c r="L25" s="77">
        <f t="shared" ca="1" si="24"/>
        <v>2025</v>
      </c>
      <c r="M25" s="76">
        <f ca="1">[1]Parameters!$C$3+I25</f>
        <v>46097</v>
      </c>
      <c r="N25" s="77">
        <f t="shared" ca="1" si="25"/>
        <v>3</v>
      </c>
      <c r="O25" s="77">
        <f t="shared" ca="1" si="26"/>
        <v>2026</v>
      </c>
      <c r="P25" s="78">
        <v>0.98</v>
      </c>
      <c r="Q25" s="79" t="str">
        <f ca="1">VLOOKUP(A25,[1]ABC!A:G,7,0)</f>
        <v>A</v>
      </c>
      <c r="R25" s="80">
        <f t="shared" ca="1" si="9"/>
        <v>54.692345774160664</v>
      </c>
      <c r="S25" s="81">
        <v>66.150000000000006</v>
      </c>
      <c r="T25" s="82">
        <f t="shared" ca="1" si="10"/>
        <v>7000</v>
      </c>
      <c r="U25" s="83">
        <f t="shared" ca="1" si="53"/>
        <v>23100</v>
      </c>
      <c r="V25" s="80">
        <v>3000</v>
      </c>
      <c r="W25" s="80">
        <f t="shared" ca="1" si="27"/>
        <v>24000</v>
      </c>
      <c r="X25" s="80"/>
      <c r="Y25" s="84">
        <v>6.35</v>
      </c>
      <c r="Z25" s="85">
        <v>14619</v>
      </c>
      <c r="AA25" s="85">
        <v>16673</v>
      </c>
      <c r="AB25" s="85">
        <v>7285</v>
      </c>
      <c r="AC25" s="85">
        <v>478</v>
      </c>
      <c r="AD25" s="85">
        <v>12009</v>
      </c>
      <c r="AE25" s="85">
        <v>6416</v>
      </c>
      <c r="AF25" s="85">
        <v>12859</v>
      </c>
      <c r="AG25" s="85">
        <v>5403</v>
      </c>
      <c r="AH25" s="85">
        <v>6168</v>
      </c>
      <c r="AI25" s="75">
        <v>4886</v>
      </c>
      <c r="AJ25" s="75">
        <f t="shared" ca="1" si="56"/>
        <v>10016.232680000001</v>
      </c>
      <c r="AK25" s="75">
        <f t="shared" ca="1" si="56"/>
        <v>15700.61636</v>
      </c>
      <c r="AL25" s="75">
        <f t="shared" ca="1" si="56"/>
        <v>22700.61636</v>
      </c>
      <c r="AM25" s="75">
        <f t="shared" ca="1" si="56"/>
        <v>26700.61636</v>
      </c>
      <c r="AN25" s="75">
        <f t="shared" ca="1" si="56"/>
        <v>31900.61636</v>
      </c>
      <c r="AO25" s="75">
        <f t="shared" ca="1" si="56"/>
        <v>35900.61636</v>
      </c>
      <c r="AP25" s="75">
        <f t="shared" ca="1" si="56"/>
        <v>33900.61636</v>
      </c>
      <c r="AQ25" s="75">
        <f t="shared" ca="1" si="56"/>
        <v>46900.61636</v>
      </c>
      <c r="AR25" s="75">
        <f t="shared" ca="1" si="56"/>
        <v>38900.61636</v>
      </c>
      <c r="AS25" s="75">
        <f t="shared" ca="1" si="56"/>
        <v>34500.61636</v>
      </c>
      <c r="AT25" s="75">
        <f t="shared" ca="1" si="56"/>
        <v>28900.61636</v>
      </c>
      <c r="AU25" s="75">
        <f t="shared" ca="1" si="56"/>
        <v>20900.61636</v>
      </c>
      <c r="AV25" s="75">
        <f t="shared" ca="1" si="56"/>
        <v>12900.61636</v>
      </c>
      <c r="AW25" s="75">
        <f t="shared" ca="1" si="56"/>
        <v>12900.61636</v>
      </c>
      <c r="AX25" s="75">
        <f t="shared" ca="1" si="56"/>
        <v>12900.61636</v>
      </c>
      <c r="AY25" s="75">
        <f t="shared" ca="1" si="54"/>
        <v>12900.61636</v>
      </c>
      <c r="AZ25" s="75">
        <f t="shared" ca="1" si="12"/>
        <v>12900.61636</v>
      </c>
      <c r="BA25" s="75">
        <f t="shared" ca="1" si="12"/>
        <v>12900.61636</v>
      </c>
      <c r="BB25" s="166"/>
      <c r="BC25" s="86">
        <v>14498.939999999999</v>
      </c>
      <c r="BD25" s="86">
        <v>16661.96</v>
      </c>
      <c r="BE25" s="86">
        <v>7000</v>
      </c>
      <c r="BF25" s="86">
        <v>7000</v>
      </c>
      <c r="BG25" s="86">
        <v>4360.1026950000005</v>
      </c>
      <c r="BH25" s="86">
        <v>6981.4500600000001</v>
      </c>
      <c r="BI25" s="86">
        <v>10026.72294</v>
      </c>
      <c r="BJ25" s="86">
        <v>3795.5080800000001</v>
      </c>
      <c r="BK25" s="86">
        <v>5704.3451400000004</v>
      </c>
      <c r="BL25" s="86">
        <v>6869.7673199999999</v>
      </c>
      <c r="BM25" s="86">
        <v>6315.6163200000001</v>
      </c>
      <c r="BN25" s="86">
        <v>8000</v>
      </c>
      <c r="BO25" s="86">
        <v>8000</v>
      </c>
      <c r="BP25" s="86">
        <v>6800</v>
      </c>
      <c r="BQ25" s="86">
        <v>8000</v>
      </c>
      <c r="BR25" s="86">
        <v>8000</v>
      </c>
      <c r="BS25" s="86">
        <v>8000</v>
      </c>
      <c r="BT25" s="86">
        <v>8000</v>
      </c>
      <c r="BU25" s="86">
        <v>10400</v>
      </c>
      <c r="BV25" s="86">
        <v>5600</v>
      </c>
      <c r="BW25" s="86">
        <v>8000</v>
      </c>
      <c r="BX25" s="86">
        <v>8000</v>
      </c>
      <c r="BY25" s="86">
        <v>0</v>
      </c>
      <c r="BZ25" s="86">
        <v>0</v>
      </c>
      <c r="CA25" s="86">
        <v>0</v>
      </c>
      <c r="CB25" s="86">
        <v>0</v>
      </c>
      <c r="CC25" s="86">
        <v>0</v>
      </c>
      <c r="CD25" s="86">
        <v>0</v>
      </c>
      <c r="CE25" s="86">
        <f t="shared" ca="1" si="28"/>
        <v>1148.7237100674465</v>
      </c>
      <c r="CF25" s="87"/>
      <c r="CG25" s="86">
        <v>0</v>
      </c>
      <c r="CH25" s="86">
        <v>0</v>
      </c>
      <c r="CI25" s="86">
        <v>0</v>
      </c>
      <c r="CJ25" s="86">
        <v>0</v>
      </c>
      <c r="CK25" s="86">
        <v>0</v>
      </c>
      <c r="CL25" s="86">
        <v>0</v>
      </c>
      <c r="CM25" s="86">
        <v>0</v>
      </c>
      <c r="CN25" s="86">
        <v>0</v>
      </c>
      <c r="CO25" s="89">
        <v>12000</v>
      </c>
      <c r="CP25" s="89">
        <v>12000</v>
      </c>
      <c r="CQ25" s="89">
        <f ca="1">9000+6000</f>
        <v>15000</v>
      </c>
      <c r="CR25" s="89">
        <v>12000</v>
      </c>
      <c r="CS25" s="89">
        <v>12000</v>
      </c>
      <c r="CT25" s="89">
        <v>12000</v>
      </c>
      <c r="CU25" s="90">
        <v>6000</v>
      </c>
      <c r="CV25" s="90">
        <f ca="1">15000+6000</f>
        <v>21000</v>
      </c>
      <c r="CW25" s="86"/>
      <c r="CX25" s="90">
        <f ca="1">12000-6000</f>
        <v>6000</v>
      </c>
      <c r="CY25" s="90">
        <v>0</v>
      </c>
      <c r="CZ25" s="90">
        <v>0</v>
      </c>
      <c r="DA25" s="90">
        <v>0</v>
      </c>
      <c r="DB25" s="90">
        <v>0</v>
      </c>
      <c r="DC25" s="90">
        <v>0</v>
      </c>
      <c r="DD25" s="90">
        <v>0</v>
      </c>
      <c r="DE25" s="90">
        <v>0</v>
      </c>
      <c r="DF25" s="90">
        <v>0</v>
      </c>
      <c r="DG25" s="86">
        <v>0</v>
      </c>
      <c r="DI25" s="91">
        <f ca="1">VLOOKUP(A25,'[2]2-Relatório'!$A:$J,9,0)</f>
        <v>50.91</v>
      </c>
      <c r="DJ25" s="92">
        <f t="shared" ca="1" si="60"/>
        <v>370879.35</v>
      </c>
      <c r="DK25" s="92">
        <f t="shared" ca="1" si="60"/>
        <v>24334.98</v>
      </c>
      <c r="DL25" s="92">
        <f t="shared" ca="1" si="60"/>
        <v>611378.18999999994</v>
      </c>
      <c r="DM25" s="92">
        <f t="shared" ca="1" si="60"/>
        <v>326638.56</v>
      </c>
      <c r="DN25" s="92">
        <f t="shared" ca="1" si="60"/>
        <v>654651.68999999994</v>
      </c>
      <c r="DO25" s="92">
        <f t="shared" ca="1" si="60"/>
        <v>275066.73</v>
      </c>
      <c r="DP25" s="92">
        <f t="shared" ca="1" si="60"/>
        <v>314012.88</v>
      </c>
      <c r="DQ25" s="92">
        <f t="shared" ca="1" si="60"/>
        <v>248746.25999999998</v>
      </c>
      <c r="DR25" s="92">
        <f t="shared" ca="1" si="45"/>
        <v>509926.40573880001</v>
      </c>
      <c r="DS25" s="92">
        <f t="shared" ca="1" si="45"/>
        <v>799318.37888759992</v>
      </c>
      <c r="DT25" s="92">
        <f t="shared" ca="1" si="45"/>
        <v>1155688.3788876</v>
      </c>
      <c r="DU25" s="92">
        <f t="shared" ca="1" si="45"/>
        <v>1359328.3788875998</v>
      </c>
      <c r="DV25" s="92">
        <f t="shared" ca="1" si="45"/>
        <v>1624060.3788875998</v>
      </c>
      <c r="DW25" s="92">
        <f t="shared" ca="1" si="45"/>
        <v>1827700.3788875998</v>
      </c>
      <c r="DX25" s="92">
        <f t="shared" ca="1" si="45"/>
        <v>1725880.3788875998</v>
      </c>
      <c r="DY25" s="92">
        <f t="shared" ca="1" si="45"/>
        <v>2387710.3788875998</v>
      </c>
      <c r="DZ25" s="92">
        <f t="shared" ca="1" si="45"/>
        <v>1980430.3788875998</v>
      </c>
      <c r="EA25" s="92">
        <f t="shared" ca="1" si="45"/>
        <v>1756426.3788875998</v>
      </c>
      <c r="EB25" s="92">
        <f t="shared" ca="1" si="45"/>
        <v>1471330.3788875998</v>
      </c>
      <c r="EC25" s="92">
        <f t="shared" ca="1" si="45"/>
        <v>1064050.3788876</v>
      </c>
      <c r="ED25" s="92">
        <f t="shared" ca="1" si="45"/>
        <v>656770.37888759992</v>
      </c>
      <c r="EE25" s="92">
        <f t="shared" ca="1" si="45"/>
        <v>656770.37888759992</v>
      </c>
      <c r="EF25" s="92">
        <f t="shared" ca="1" si="45"/>
        <v>656770.37888759992</v>
      </c>
      <c r="EG25" s="92">
        <f t="shared" ca="1" si="45"/>
        <v>656770.37888759992</v>
      </c>
      <c r="EH25" s="92">
        <f t="shared" ca="1" si="46"/>
        <v>656770.37888759992</v>
      </c>
      <c r="EI25" s="92">
        <f t="shared" ca="1" si="46"/>
        <v>656770.37888759992</v>
      </c>
      <c r="EL25" s="93">
        <f t="shared" ca="1" si="57"/>
        <v>959104.88100000005</v>
      </c>
      <c r="EM25" s="93">
        <f t="shared" ca="1" si="57"/>
        <v>1102188.6540000001</v>
      </c>
      <c r="EN25" s="92">
        <f t="shared" ca="1" si="61"/>
        <v>356370</v>
      </c>
      <c r="EO25" s="92">
        <f t="shared" ca="1" si="61"/>
        <v>356370</v>
      </c>
      <c r="EP25" s="92">
        <f t="shared" ca="1" si="61"/>
        <v>221972.82820245001</v>
      </c>
      <c r="EQ25" s="92">
        <f t="shared" ca="1" si="61"/>
        <v>355425.62255460001</v>
      </c>
      <c r="ER25" s="92">
        <f t="shared" ca="1" si="61"/>
        <v>510460.46487539995</v>
      </c>
      <c r="ES25" s="92">
        <f t="shared" ca="1" si="61"/>
        <v>193229.3163528</v>
      </c>
      <c r="ET25" s="92">
        <f t="shared" ca="1" si="61"/>
        <v>290408.21107740002</v>
      </c>
      <c r="EU25" s="92">
        <f t="shared" ca="1" si="61"/>
        <v>349739.8542612</v>
      </c>
      <c r="EV25" s="92">
        <f t="shared" ca="1" si="61"/>
        <v>321528.02685119997</v>
      </c>
      <c r="EW25" s="92">
        <f t="shared" ca="1" si="61"/>
        <v>407280</v>
      </c>
      <c r="EX25" s="92">
        <f t="shared" ca="1" si="61"/>
        <v>407280</v>
      </c>
      <c r="EY25" s="92">
        <f t="shared" ca="1" si="61"/>
        <v>346188</v>
      </c>
      <c r="EZ25" s="92">
        <f t="shared" ca="1" si="61"/>
        <v>407280</v>
      </c>
      <c r="FA25" s="92">
        <f t="shared" ca="1" si="61"/>
        <v>407280</v>
      </c>
      <c r="FB25" s="92">
        <f t="shared" ca="1" si="61"/>
        <v>407280</v>
      </c>
      <c r="FC25" s="92">
        <f t="shared" ca="1" si="61"/>
        <v>407280</v>
      </c>
      <c r="FD25" s="92">
        <f t="shared" ca="1" si="58"/>
        <v>529464</v>
      </c>
      <c r="FE25" s="92">
        <f t="shared" ca="1" si="58"/>
        <v>285096</v>
      </c>
      <c r="FF25" s="92">
        <f t="shared" ca="1" si="58"/>
        <v>407280</v>
      </c>
      <c r="FG25" s="92">
        <f t="shared" ca="1" si="58"/>
        <v>407280</v>
      </c>
      <c r="FH25" s="92">
        <f t="shared" ca="1" si="55"/>
        <v>0</v>
      </c>
      <c r="FI25" s="92">
        <f t="shared" ca="1" si="55"/>
        <v>0</v>
      </c>
      <c r="FJ25" s="92">
        <f t="shared" ca="1" si="55"/>
        <v>0</v>
      </c>
      <c r="FK25" s="92">
        <f t="shared" ca="1" si="55"/>
        <v>0</v>
      </c>
      <c r="FL25" s="92">
        <f t="shared" ca="1" si="55"/>
        <v>0</v>
      </c>
      <c r="FM25" s="92">
        <f t="shared" ca="1" si="55"/>
        <v>0</v>
      </c>
      <c r="FN25" s="94">
        <f t="shared" ca="1" si="62"/>
        <v>81000</v>
      </c>
      <c r="FO25" s="94">
        <f t="shared" ca="1" si="63"/>
        <v>27000</v>
      </c>
      <c r="FP25" s="95">
        <f t="shared" ca="1" si="59"/>
        <v>30.248418160224126</v>
      </c>
      <c r="FQ25" s="95">
        <f t="shared" ca="1" si="59"/>
        <v>30.019877613438041</v>
      </c>
      <c r="FR25" s="95">
        <f t="shared" ca="1" si="40"/>
        <v>31.221428571428572</v>
      </c>
      <c r="FS25" s="95">
        <f t="shared" ca="1" si="40"/>
        <v>2.0485714285714285</v>
      </c>
      <c r="FT25" s="95">
        <f t="shared" ca="1" si="40"/>
        <v>82.62878771482697</v>
      </c>
      <c r="FU25" s="95">
        <f t="shared" ca="1" si="40"/>
        <v>27.570203660527223</v>
      </c>
      <c r="FV25" s="95">
        <f t="shared" ca="1" si="40"/>
        <v>38.474185664493888</v>
      </c>
      <c r="FW25" s="95">
        <f t="shared" ca="1" si="40"/>
        <v>42.705744944692619</v>
      </c>
      <c r="FX25" s="95">
        <f t="shared" ca="1" si="40"/>
        <v>32.438429908888722</v>
      </c>
      <c r="FY25" s="95">
        <f t="shared" ca="1" si="40"/>
        <v>21.336967203133742</v>
      </c>
      <c r="FZ25" s="95">
        <f t="shared" ca="1" si="40"/>
        <v>47.578409639678689</v>
      </c>
      <c r="GA25" s="95">
        <f t="shared" ca="1" si="40"/>
        <v>58.877311349999992</v>
      </c>
      <c r="GB25" s="95">
        <f t="shared" ca="1" si="40"/>
        <v>85.127311349999999</v>
      </c>
      <c r="GC25" s="95">
        <f t="shared" ca="1" si="40"/>
        <v>117.79683688235292</v>
      </c>
      <c r="GD25" s="95">
        <f t="shared" ca="1" si="40"/>
        <v>119.62731134999999</v>
      </c>
      <c r="GE25" s="95">
        <f t="shared" ca="1" si="40"/>
        <v>134.62731134999999</v>
      </c>
      <c r="GF25" s="95">
        <f t="shared" ca="1" si="40"/>
        <v>127.12731134999997</v>
      </c>
      <c r="GG25" s="95">
        <f t="shared" ca="1" si="40"/>
        <v>175.87731134999999</v>
      </c>
      <c r="GH25" s="95">
        <f t="shared" ca="1" si="41"/>
        <v>112.21331642307692</v>
      </c>
      <c r="GI25" s="95">
        <f t="shared" ca="1" si="41"/>
        <v>184.82473049999999</v>
      </c>
      <c r="GJ25" s="95">
        <f t="shared" ca="1" si="41"/>
        <v>108.37731134999999</v>
      </c>
      <c r="GK25" s="95">
        <f t="shared" ca="1" si="41"/>
        <v>78.377311349999999</v>
      </c>
      <c r="GL25" s="95">
        <f t="shared" ca="1" si="41"/>
        <v>0</v>
      </c>
      <c r="GM25" s="95">
        <f t="shared" ca="1" si="38"/>
        <v>0</v>
      </c>
      <c r="GN25" s="95">
        <f t="shared" ca="1" si="38"/>
        <v>0</v>
      </c>
      <c r="GO25" s="95">
        <f t="shared" ca="1" si="38"/>
        <v>0</v>
      </c>
      <c r="GP25" s="95">
        <f t="shared" ca="1" si="38"/>
        <v>0</v>
      </c>
      <c r="GQ25" s="95">
        <f t="shared" ca="1" si="38"/>
        <v>0</v>
      </c>
      <c r="GS25" s="7">
        <v>138.11563168003335</v>
      </c>
      <c r="GT25" s="96">
        <f t="shared" ca="1" si="47"/>
        <v>602198.33790974086</v>
      </c>
      <c r="GU25" s="96">
        <f t="shared" ca="1" si="47"/>
        <v>964247.38507950667</v>
      </c>
      <c r="GV25" s="96">
        <f t="shared" ca="1" si="47"/>
        <v>1384847.1725387811</v>
      </c>
      <c r="GW25" s="96">
        <f t="shared" ca="1" si="47"/>
        <v>524218.99601587054</v>
      </c>
      <c r="GX25" s="96">
        <f t="shared" ca="1" si="47"/>
        <v>787859.23233202833</v>
      </c>
      <c r="GY25" s="96">
        <f t="shared" ca="1" si="47"/>
        <v>948822.25289664976</v>
      </c>
      <c r="GZ25" s="96">
        <f t="shared" ca="1" si="47"/>
        <v>872285.33748552762</v>
      </c>
      <c r="HA25" s="96">
        <f t="shared" ca="1" si="47"/>
        <v>1104925.0534402668</v>
      </c>
      <c r="HB25" s="96">
        <f t="shared" ca="1" si="47"/>
        <v>1104925.0534402668</v>
      </c>
      <c r="HC25" s="96">
        <f t="shared" ca="1" si="47"/>
        <v>939186.29542422679</v>
      </c>
      <c r="HD25" s="96">
        <f t="shared" ca="1" si="47"/>
        <v>1104925.0534402668</v>
      </c>
      <c r="HE25" s="96">
        <f t="shared" ca="1" si="47"/>
        <v>1104925.0534402668</v>
      </c>
      <c r="HF25" s="96">
        <f t="shared" ca="1" si="47"/>
        <v>1104925.0534402668</v>
      </c>
      <c r="HG25" s="96">
        <f t="shared" ca="1" si="47"/>
        <v>1104925.0534402668</v>
      </c>
      <c r="HH25" s="96">
        <f t="shared" ca="1" si="47"/>
        <v>1436402.5694723467</v>
      </c>
      <c r="HI25" s="96">
        <f t="shared" ca="1" si="47"/>
        <v>773447.5374081867</v>
      </c>
      <c r="HJ25" s="96">
        <f t="shared" ca="1" si="48"/>
        <v>1104925.0534402668</v>
      </c>
      <c r="HK25" s="96">
        <f t="shared" ca="1" si="48"/>
        <v>1104925.0534402668</v>
      </c>
      <c r="HL25" s="96">
        <f t="shared" ca="1" si="48"/>
        <v>0</v>
      </c>
      <c r="HM25" s="96">
        <f t="shared" ca="1" si="48"/>
        <v>0</v>
      </c>
      <c r="HN25" s="96">
        <f t="shared" ca="1" si="48"/>
        <v>0</v>
      </c>
      <c r="HO25" s="96">
        <f t="shared" ca="1" si="48"/>
        <v>0</v>
      </c>
      <c r="HP25" s="96">
        <f t="shared" ca="1" si="48"/>
        <v>0</v>
      </c>
      <c r="HQ25" s="96">
        <f t="shared" ca="1" si="48"/>
        <v>0</v>
      </c>
      <c r="HS25" s="97">
        <f t="shared" ca="1" si="21"/>
        <v>1658630.6208455204</v>
      </c>
    </row>
    <row r="26" spans="1:227" ht="17.25" customHeight="1" thickTop="1" thickBot="1" x14ac:dyDescent="0.3">
      <c r="A26" s="102" t="s">
        <v>22</v>
      </c>
      <c r="B26" s="103" t="s">
        <v>367</v>
      </c>
      <c r="C26" s="73" t="s">
        <v>368</v>
      </c>
      <c r="D26" s="74" t="s">
        <v>0</v>
      </c>
      <c r="E26" s="74" t="s">
        <v>349</v>
      </c>
      <c r="F26" s="73"/>
      <c r="G26" s="75">
        <f t="shared" ca="1" si="64"/>
        <v>133</v>
      </c>
      <c r="H26" s="75">
        <v>133</v>
      </c>
      <c r="I26" s="75">
        <f t="shared" ca="1" si="50"/>
        <v>266</v>
      </c>
      <c r="J26" s="76">
        <f ca="1">[1]Parameters!$C$3+G26</f>
        <v>45964</v>
      </c>
      <c r="K26" s="77">
        <f t="shared" ca="1" si="23"/>
        <v>11</v>
      </c>
      <c r="L26" s="77">
        <f t="shared" ca="1" si="24"/>
        <v>2025</v>
      </c>
      <c r="M26" s="76">
        <f ca="1">[1]Parameters!$C$3+I26</f>
        <v>46097</v>
      </c>
      <c r="N26" s="77">
        <f t="shared" ca="1" si="25"/>
        <v>3</v>
      </c>
      <c r="O26" s="77">
        <f t="shared" ca="1" si="26"/>
        <v>2026</v>
      </c>
      <c r="P26" s="78">
        <v>0.98</v>
      </c>
      <c r="Q26" s="79" t="str">
        <f ca="1">VLOOKUP(A26,[1]ABC!A:G,7,0)</f>
        <v>A</v>
      </c>
      <c r="R26" s="80">
        <f t="shared" ca="1" si="9"/>
        <v>57.907273312426383</v>
      </c>
      <c r="S26" s="81">
        <v>73.599999999999994</v>
      </c>
      <c r="T26" s="82">
        <f t="shared" ca="1" si="10"/>
        <v>9100</v>
      </c>
      <c r="U26" s="83">
        <f t="shared" ca="1" si="53"/>
        <v>16400</v>
      </c>
      <c r="V26" s="80">
        <v>2100</v>
      </c>
      <c r="W26" s="80">
        <f t="shared" ca="1" si="27"/>
        <v>16800</v>
      </c>
      <c r="X26" s="101" t="s">
        <v>350</v>
      </c>
      <c r="Y26" s="84">
        <v>7.59</v>
      </c>
      <c r="Z26" s="85">
        <v>12592</v>
      </c>
      <c r="AA26" s="85">
        <v>11854</v>
      </c>
      <c r="AB26" s="85">
        <v>6727</v>
      </c>
      <c r="AC26" s="85">
        <v>5995</v>
      </c>
      <c r="AD26" s="85">
        <v>3967</v>
      </c>
      <c r="AE26" s="85">
        <v>3940</v>
      </c>
      <c r="AF26" s="85">
        <v>10079</v>
      </c>
      <c r="AG26" s="85">
        <v>4122</v>
      </c>
      <c r="AH26" s="85">
        <v>4416</v>
      </c>
      <c r="AI26" s="75">
        <v>27423</v>
      </c>
      <c r="AJ26" s="75">
        <f t="shared" ca="1" si="56"/>
        <v>28560</v>
      </c>
      <c r="AK26" s="75">
        <f t="shared" ca="1" si="56"/>
        <v>34187</v>
      </c>
      <c r="AL26" s="75">
        <f t="shared" ca="1" si="56"/>
        <v>53429</v>
      </c>
      <c r="AM26" s="75">
        <f t="shared" ca="1" si="56"/>
        <v>69755</v>
      </c>
      <c r="AN26" s="75">
        <f t="shared" ca="1" si="56"/>
        <v>64755</v>
      </c>
      <c r="AO26" s="75">
        <f t="shared" ca="1" si="56"/>
        <v>59755</v>
      </c>
      <c r="AP26" s="75">
        <f t="shared" ca="1" si="56"/>
        <v>54755</v>
      </c>
      <c r="AQ26" s="75">
        <f t="shared" ca="1" si="56"/>
        <v>49755</v>
      </c>
      <c r="AR26" s="75">
        <f t="shared" ca="1" si="56"/>
        <v>44755</v>
      </c>
      <c r="AS26" s="75">
        <f t="shared" ca="1" si="56"/>
        <v>38255</v>
      </c>
      <c r="AT26" s="75">
        <f t="shared" ca="1" si="56"/>
        <v>34755</v>
      </c>
      <c r="AU26" s="75">
        <f t="shared" ca="1" si="56"/>
        <v>29755</v>
      </c>
      <c r="AV26" s="75">
        <f t="shared" ca="1" si="56"/>
        <v>24755</v>
      </c>
      <c r="AW26" s="75">
        <f t="shared" ca="1" si="56"/>
        <v>24755</v>
      </c>
      <c r="AX26" s="75">
        <f t="shared" ca="1" si="56"/>
        <v>24755</v>
      </c>
      <c r="AY26" s="75">
        <f t="shared" ca="1" si="54"/>
        <v>24755</v>
      </c>
      <c r="AZ26" s="75">
        <f t="shared" ca="1" si="12"/>
        <v>24755</v>
      </c>
      <c r="BA26" s="75">
        <f t="shared" ca="1" si="12"/>
        <v>24755</v>
      </c>
      <c r="BB26" s="166"/>
      <c r="BC26" s="86">
        <v>11761</v>
      </c>
      <c r="BD26" s="86">
        <v>11809</v>
      </c>
      <c r="BE26" s="86">
        <v>4100</v>
      </c>
      <c r="BF26" s="86">
        <v>4100</v>
      </c>
      <c r="BG26" s="86">
        <v>5437</v>
      </c>
      <c r="BH26" s="86">
        <v>10692</v>
      </c>
      <c r="BI26" s="86">
        <v>11094</v>
      </c>
      <c r="BJ26" s="86">
        <v>7978</v>
      </c>
      <c r="BK26" s="86">
        <v>9019</v>
      </c>
      <c r="BL26" s="86">
        <v>7263</v>
      </c>
      <c r="BM26" s="86">
        <v>4873</v>
      </c>
      <c r="BN26" s="86">
        <v>9458</v>
      </c>
      <c r="BO26" s="86">
        <v>4674</v>
      </c>
      <c r="BP26" s="86">
        <v>5000</v>
      </c>
      <c r="BQ26" s="86">
        <v>5000</v>
      </c>
      <c r="BR26" s="86">
        <v>5000</v>
      </c>
      <c r="BS26" s="86">
        <v>5000</v>
      </c>
      <c r="BT26" s="86">
        <v>5000</v>
      </c>
      <c r="BU26" s="86">
        <v>6500</v>
      </c>
      <c r="BV26" s="86">
        <v>3500</v>
      </c>
      <c r="BW26" s="86">
        <v>5000</v>
      </c>
      <c r="BX26" s="86">
        <v>5000</v>
      </c>
      <c r="BY26" s="86">
        <v>0</v>
      </c>
      <c r="BZ26" s="86">
        <v>0</v>
      </c>
      <c r="CA26" s="86">
        <v>0</v>
      </c>
      <c r="CB26" s="86">
        <v>0</v>
      </c>
      <c r="CC26" s="86">
        <v>0</v>
      </c>
      <c r="CD26" s="86">
        <v>0</v>
      </c>
      <c r="CE26" s="86">
        <f t="shared" ca="1" si="28"/>
        <v>1488.7130261937577</v>
      </c>
      <c r="CF26" s="87"/>
      <c r="CG26" s="86">
        <v>0</v>
      </c>
      <c r="CH26" s="86">
        <v>0</v>
      </c>
      <c r="CI26" s="86">
        <v>0</v>
      </c>
      <c r="CJ26" s="86">
        <v>0</v>
      </c>
      <c r="CK26" s="86">
        <v>0</v>
      </c>
      <c r="CL26" s="86">
        <v>0</v>
      </c>
      <c r="CM26" s="86">
        <v>0</v>
      </c>
      <c r="CN26" s="86">
        <v>0</v>
      </c>
      <c r="CO26" s="86">
        <f ca="1">6300+2100</f>
        <v>8400</v>
      </c>
      <c r="CP26" s="89">
        <v>10500</v>
      </c>
      <c r="CQ26" s="89">
        <f ca="1">2100*11+5600</f>
        <v>28700</v>
      </c>
      <c r="CR26" s="89">
        <f ca="1">2100*10</f>
        <v>21000</v>
      </c>
      <c r="CS26" s="89">
        <v>0</v>
      </c>
      <c r="CT26" s="89">
        <v>0</v>
      </c>
      <c r="CU26" s="90">
        <v>0</v>
      </c>
      <c r="CV26" s="90">
        <v>0</v>
      </c>
      <c r="CW26" s="86">
        <v>0</v>
      </c>
      <c r="CX26" s="90">
        <v>0</v>
      </c>
      <c r="CY26" s="86">
        <v>0</v>
      </c>
      <c r="CZ26" s="86">
        <v>0</v>
      </c>
      <c r="DA26" s="90">
        <v>0</v>
      </c>
      <c r="DB26" s="90">
        <v>0</v>
      </c>
      <c r="DC26" s="90">
        <v>0</v>
      </c>
      <c r="DD26" s="90">
        <v>0</v>
      </c>
      <c r="DE26" s="90">
        <v>0</v>
      </c>
      <c r="DF26" s="90">
        <v>0</v>
      </c>
      <c r="DG26" s="86">
        <v>0</v>
      </c>
      <c r="DI26" s="91">
        <f ca="1">VLOOKUP(A26,'[2]2-Relatório'!$A:$J,9,0)</f>
        <v>59.37</v>
      </c>
      <c r="DJ26" s="92">
        <f t="shared" ca="1" si="60"/>
        <v>399381.99</v>
      </c>
      <c r="DK26" s="92">
        <f t="shared" ca="1" si="60"/>
        <v>355923.14999999997</v>
      </c>
      <c r="DL26" s="92">
        <f t="shared" ca="1" si="60"/>
        <v>235520.78999999998</v>
      </c>
      <c r="DM26" s="92">
        <f t="shared" ca="1" si="60"/>
        <v>233917.8</v>
      </c>
      <c r="DN26" s="92">
        <f t="shared" ca="1" si="60"/>
        <v>598390.23</v>
      </c>
      <c r="DO26" s="92">
        <f t="shared" ca="1" si="60"/>
        <v>244723.13999999998</v>
      </c>
      <c r="DP26" s="92">
        <f t="shared" ca="1" si="60"/>
        <v>262177.91999999998</v>
      </c>
      <c r="DQ26" s="92">
        <f t="shared" ca="1" si="60"/>
        <v>1628103.51</v>
      </c>
      <c r="DR26" s="92">
        <f t="shared" ca="1" si="45"/>
        <v>1695607.2</v>
      </c>
      <c r="DS26" s="92">
        <f t="shared" ca="1" si="45"/>
        <v>2029682.19</v>
      </c>
      <c r="DT26" s="92">
        <f t="shared" ca="1" si="45"/>
        <v>3172079.73</v>
      </c>
      <c r="DU26" s="92">
        <f t="shared" ca="1" si="45"/>
        <v>4141354.3499999996</v>
      </c>
      <c r="DV26" s="92">
        <f t="shared" ca="1" si="45"/>
        <v>3844504.3499999996</v>
      </c>
      <c r="DW26" s="92">
        <f t="shared" ca="1" si="45"/>
        <v>3547654.3499999996</v>
      </c>
      <c r="DX26" s="92">
        <f t="shared" ca="1" si="45"/>
        <v>3250804.3499999996</v>
      </c>
      <c r="DY26" s="92">
        <f t="shared" ca="1" si="45"/>
        <v>2953954.35</v>
      </c>
      <c r="DZ26" s="92">
        <f t="shared" ca="1" si="45"/>
        <v>2657104.35</v>
      </c>
      <c r="EA26" s="92">
        <f t="shared" ca="1" si="45"/>
        <v>2271199.35</v>
      </c>
      <c r="EB26" s="92">
        <f t="shared" ca="1" si="45"/>
        <v>2063404.3499999999</v>
      </c>
      <c r="EC26" s="92">
        <f t="shared" ca="1" si="45"/>
        <v>1766554.3499999999</v>
      </c>
      <c r="ED26" s="92">
        <f t="shared" ca="1" si="45"/>
        <v>1469704.3499999999</v>
      </c>
      <c r="EE26" s="92">
        <f t="shared" ca="1" si="45"/>
        <v>1469704.3499999999</v>
      </c>
      <c r="EF26" s="92">
        <f t="shared" ca="1" si="45"/>
        <v>1469704.3499999999</v>
      </c>
      <c r="EG26" s="92">
        <f t="shared" ca="1" si="45"/>
        <v>1469704.3499999999</v>
      </c>
      <c r="EH26" s="92">
        <f t="shared" ca="1" si="46"/>
        <v>1469704.3499999999</v>
      </c>
      <c r="EI26" s="92">
        <f t="shared" ca="1" si="46"/>
        <v>1469704.3499999999</v>
      </c>
      <c r="EL26" s="93">
        <f t="shared" ca="1" si="57"/>
        <v>865609.6</v>
      </c>
      <c r="EM26" s="93">
        <f t="shared" ca="1" si="57"/>
        <v>869142.39999999991</v>
      </c>
      <c r="EN26" s="92">
        <f t="shared" ca="1" si="61"/>
        <v>243417</v>
      </c>
      <c r="EO26" s="92">
        <f t="shared" ca="1" si="61"/>
        <v>243417</v>
      </c>
      <c r="EP26" s="92">
        <f t="shared" ca="1" si="61"/>
        <v>322794.69</v>
      </c>
      <c r="EQ26" s="92">
        <f t="shared" ca="1" si="61"/>
        <v>634784.03999999992</v>
      </c>
      <c r="ER26" s="92">
        <f t="shared" ca="1" si="61"/>
        <v>658650.78</v>
      </c>
      <c r="ES26" s="92">
        <f t="shared" ca="1" si="61"/>
        <v>473653.86</v>
      </c>
      <c r="ET26" s="92">
        <f t="shared" ca="1" si="61"/>
        <v>535458.03</v>
      </c>
      <c r="EU26" s="92">
        <f t="shared" ca="1" si="61"/>
        <v>431204.31</v>
      </c>
      <c r="EV26" s="92">
        <f t="shared" ca="1" si="61"/>
        <v>289310.01</v>
      </c>
      <c r="EW26" s="92">
        <f t="shared" ca="1" si="61"/>
        <v>561521.46</v>
      </c>
      <c r="EX26" s="92">
        <f t="shared" ca="1" si="61"/>
        <v>277495.38</v>
      </c>
      <c r="EY26" s="92">
        <f t="shared" ca="1" si="61"/>
        <v>296850</v>
      </c>
      <c r="EZ26" s="92">
        <f t="shared" ca="1" si="61"/>
        <v>296850</v>
      </c>
      <c r="FA26" s="92">
        <f t="shared" ca="1" si="61"/>
        <v>296850</v>
      </c>
      <c r="FB26" s="92">
        <f t="shared" ca="1" si="61"/>
        <v>296850</v>
      </c>
      <c r="FC26" s="92">
        <f t="shared" ca="1" si="61"/>
        <v>296850</v>
      </c>
      <c r="FD26" s="92">
        <f t="shared" ca="1" si="58"/>
        <v>385905</v>
      </c>
      <c r="FE26" s="92">
        <f t="shared" ca="1" si="58"/>
        <v>207795</v>
      </c>
      <c r="FF26" s="92">
        <f t="shared" ca="1" si="58"/>
        <v>296850</v>
      </c>
      <c r="FG26" s="92">
        <f t="shared" ca="1" si="58"/>
        <v>296850</v>
      </c>
      <c r="FH26" s="92">
        <f t="shared" ca="1" si="55"/>
        <v>0</v>
      </c>
      <c r="FI26" s="92">
        <f t="shared" ca="1" si="55"/>
        <v>0</v>
      </c>
      <c r="FJ26" s="92">
        <f t="shared" ca="1" si="55"/>
        <v>0</v>
      </c>
      <c r="FK26" s="92">
        <f t="shared" ca="1" si="55"/>
        <v>0</v>
      </c>
      <c r="FL26" s="92">
        <f t="shared" ca="1" si="55"/>
        <v>0</v>
      </c>
      <c r="FM26" s="92">
        <f t="shared" ca="1" si="55"/>
        <v>0</v>
      </c>
      <c r="FN26" s="94">
        <f t="shared" ca="1" si="62"/>
        <v>68600</v>
      </c>
      <c r="FO26" s="94">
        <f t="shared" ca="1" si="63"/>
        <v>0</v>
      </c>
      <c r="FP26" s="95">
        <f t="shared" ca="1" si="59"/>
        <v>32.119717711078991</v>
      </c>
      <c r="FQ26" s="95">
        <f t="shared" ca="1" si="59"/>
        <v>30.114319586755865</v>
      </c>
      <c r="FR26" s="95">
        <f t="shared" ca="1" si="40"/>
        <v>49.221951219512192</v>
      </c>
      <c r="FS26" s="95">
        <f t="shared" ca="1" si="40"/>
        <v>43.865853658536587</v>
      </c>
      <c r="FT26" s="95">
        <f t="shared" ca="1" si="40"/>
        <v>21.888909324995399</v>
      </c>
      <c r="FU26" s="95">
        <f t="shared" ca="1" si="40"/>
        <v>11.054994388327723</v>
      </c>
      <c r="FV26" s="95">
        <f t="shared" ca="1" si="40"/>
        <v>27.255273120605732</v>
      </c>
      <c r="FW26" s="95">
        <f t="shared" ca="1" si="40"/>
        <v>15.500125344697919</v>
      </c>
      <c r="FX26" s="95">
        <f t="shared" ca="1" si="40"/>
        <v>14.6889899101896</v>
      </c>
      <c r="FY26" s="95">
        <f t="shared" ca="1" si="40"/>
        <v>113.27137546468401</v>
      </c>
      <c r="FZ26" s="95">
        <f t="shared" ca="1" si="40"/>
        <v>175.82597988918531</v>
      </c>
      <c r="GA26" s="95">
        <f t="shared" ca="1" si="40"/>
        <v>108.43835906111229</v>
      </c>
      <c r="GB26" s="95">
        <f t="shared" ca="1" si="40"/>
        <v>342.93324775353017</v>
      </c>
      <c r="GC26" s="95">
        <f t="shared" ca="1" si="40"/>
        <v>418.53</v>
      </c>
      <c r="GD26" s="95">
        <f t="shared" ca="1" si="40"/>
        <v>388.53</v>
      </c>
      <c r="GE26" s="95">
        <f t="shared" ca="1" si="40"/>
        <v>358.53</v>
      </c>
      <c r="GF26" s="95">
        <f t="shared" ca="1" si="40"/>
        <v>328.53</v>
      </c>
      <c r="GG26" s="95">
        <f t="shared" ca="1" si="40"/>
        <v>298.53000000000003</v>
      </c>
      <c r="GH26" s="95">
        <f t="shared" ca="1" si="41"/>
        <v>206.56153846153848</v>
      </c>
      <c r="GI26" s="95">
        <f t="shared" ca="1" si="41"/>
        <v>327.9</v>
      </c>
      <c r="GJ26" s="95">
        <f t="shared" ca="1" si="41"/>
        <v>208.53</v>
      </c>
      <c r="GK26" s="95">
        <f t="shared" ca="1" si="41"/>
        <v>178.53</v>
      </c>
      <c r="GL26" s="95">
        <f t="shared" ca="1" si="41"/>
        <v>0</v>
      </c>
      <c r="GM26" s="95">
        <f t="shared" ca="1" si="38"/>
        <v>0</v>
      </c>
      <c r="GN26" s="95">
        <f t="shared" ca="1" si="38"/>
        <v>0</v>
      </c>
      <c r="GO26" s="95">
        <f t="shared" ca="1" si="38"/>
        <v>0</v>
      </c>
      <c r="GP26" s="95">
        <f t="shared" ca="1" si="38"/>
        <v>0</v>
      </c>
      <c r="GQ26" s="95">
        <f t="shared" ca="1" si="38"/>
        <v>0</v>
      </c>
      <c r="GS26" s="7">
        <v>126.60817131416667</v>
      </c>
      <c r="GT26" s="96">
        <f t="shared" ca="1" si="47"/>
        <v>688368.62743512413</v>
      </c>
      <c r="GU26" s="96">
        <f t="shared" ca="1" si="47"/>
        <v>1353694.56769107</v>
      </c>
      <c r="GV26" s="96">
        <f t="shared" ca="1" si="47"/>
        <v>1404591.0525593651</v>
      </c>
      <c r="GW26" s="96">
        <f t="shared" ca="1" si="47"/>
        <v>1010079.9907444217</v>
      </c>
      <c r="GX26" s="96">
        <f t="shared" ca="1" si="47"/>
        <v>1141879.0970824691</v>
      </c>
      <c r="GY26" s="96">
        <f t="shared" ca="1" si="47"/>
        <v>919555.14825479256</v>
      </c>
      <c r="GZ26" s="96">
        <f t="shared" ca="1" si="47"/>
        <v>616961.61881393415</v>
      </c>
      <c r="HA26" s="96">
        <f t="shared" ca="1" si="47"/>
        <v>1197460.0842893883</v>
      </c>
      <c r="HB26" s="96">
        <f t="shared" ca="1" si="47"/>
        <v>591766.59272241499</v>
      </c>
      <c r="HC26" s="96">
        <f t="shared" ca="1" si="47"/>
        <v>633040.85657083336</v>
      </c>
      <c r="HD26" s="96">
        <f t="shared" ca="1" si="47"/>
        <v>633040.85657083336</v>
      </c>
      <c r="HE26" s="96">
        <f t="shared" ca="1" si="47"/>
        <v>633040.85657083336</v>
      </c>
      <c r="HF26" s="96">
        <f t="shared" ca="1" si="47"/>
        <v>633040.85657083336</v>
      </c>
      <c r="HG26" s="96">
        <f t="shared" ca="1" si="47"/>
        <v>633040.85657083336</v>
      </c>
      <c r="HH26" s="96">
        <f t="shared" ca="1" si="47"/>
        <v>822953.1135420833</v>
      </c>
      <c r="HI26" s="96">
        <f t="shared" ca="1" si="47"/>
        <v>443128.59959958337</v>
      </c>
      <c r="HJ26" s="96">
        <f t="shared" ca="1" si="48"/>
        <v>633040.85657083336</v>
      </c>
      <c r="HK26" s="96">
        <f t="shared" ca="1" si="48"/>
        <v>633040.85657083336</v>
      </c>
      <c r="HL26" s="96">
        <f t="shared" ca="1" si="48"/>
        <v>0</v>
      </c>
      <c r="HM26" s="96">
        <f t="shared" ca="1" si="48"/>
        <v>0</v>
      </c>
      <c r="HN26" s="96">
        <f t="shared" ca="1" si="48"/>
        <v>0</v>
      </c>
      <c r="HO26" s="96">
        <f t="shared" ca="1" si="48"/>
        <v>0</v>
      </c>
      <c r="HP26" s="96">
        <f t="shared" ca="1" si="48"/>
        <v>0</v>
      </c>
      <c r="HQ26" s="96">
        <f t="shared" ca="1" si="48"/>
        <v>0</v>
      </c>
      <c r="HS26" s="97">
        <f t="shared" ca="1" si="21"/>
        <v>502254.61560329917</v>
      </c>
    </row>
    <row r="27" spans="1:227" ht="17.25" customHeight="1" thickTop="1" thickBot="1" x14ac:dyDescent="0.3">
      <c r="A27" s="108" t="s">
        <v>369</v>
      </c>
      <c r="B27" s="107" t="s">
        <v>370</v>
      </c>
      <c r="C27" s="107" t="s">
        <v>370</v>
      </c>
      <c r="D27" s="109" t="s">
        <v>0</v>
      </c>
      <c r="E27" s="109" t="s">
        <v>360</v>
      </c>
      <c r="F27" s="107" t="s">
        <v>371</v>
      </c>
      <c r="G27" s="110">
        <f ca="1">80+16</f>
        <v>96</v>
      </c>
      <c r="H27" s="75">
        <v>137</v>
      </c>
      <c r="I27" s="110">
        <f ca="1">G27+H27</f>
        <v>233</v>
      </c>
      <c r="J27" s="76">
        <f ca="1">[1]Parameters!$C$3+G27</f>
        <v>45927</v>
      </c>
      <c r="K27" s="77">
        <f t="shared" ca="1" si="23"/>
        <v>9</v>
      </c>
      <c r="L27" s="77">
        <f t="shared" ca="1" si="24"/>
        <v>2025</v>
      </c>
      <c r="M27" s="76">
        <f ca="1">[1]Parameters!$C$3+I27</f>
        <v>46064</v>
      </c>
      <c r="N27" s="77">
        <f t="shared" ca="1" si="25"/>
        <v>2</v>
      </c>
      <c r="O27" s="77">
        <f t="shared" ca="1" si="26"/>
        <v>2026</v>
      </c>
      <c r="P27" s="78">
        <v>0.98</v>
      </c>
      <c r="Q27" s="79" t="e">
        <f ca="1">VLOOKUP(A27,[1]ABC!A:G,7,0)</f>
        <v>#N/A</v>
      </c>
      <c r="R27" s="80">
        <f t="shared" ref="R27" ca="1" si="65">IFERROR($AA27*$S27/(SUM(EM27:EO27)/90),0)</f>
        <v>0</v>
      </c>
      <c r="S27" s="81">
        <v>123.07</v>
      </c>
      <c r="T27" s="111">
        <f t="shared" ca="1" si="10"/>
        <v>0</v>
      </c>
      <c r="U27" s="83">
        <f t="shared" ca="1" si="53"/>
        <v>0</v>
      </c>
      <c r="V27" s="112">
        <v>3400</v>
      </c>
      <c r="W27" s="80"/>
      <c r="X27" s="101"/>
      <c r="Y27" s="113">
        <v>7.6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85">
        <v>0</v>
      </c>
      <c r="AI27" s="75">
        <v>0</v>
      </c>
      <c r="AJ27" s="75">
        <f t="shared" ca="1" si="56"/>
        <v>0</v>
      </c>
      <c r="AK27" s="75">
        <f t="shared" ca="1" si="56"/>
        <v>0</v>
      </c>
      <c r="AL27" s="75">
        <f t="shared" ca="1" si="56"/>
        <v>0</v>
      </c>
      <c r="AM27" s="75">
        <f t="shared" ca="1" si="56"/>
        <v>0</v>
      </c>
      <c r="AN27" s="75">
        <f t="shared" ca="1" si="56"/>
        <v>3400</v>
      </c>
      <c r="AO27" s="75">
        <f t="shared" ca="1" si="56"/>
        <v>3400</v>
      </c>
      <c r="AP27" s="75">
        <f t="shared" ca="1" si="56"/>
        <v>3400</v>
      </c>
      <c r="AQ27" s="75">
        <f t="shared" ca="1" si="56"/>
        <v>3400</v>
      </c>
      <c r="AR27" s="75">
        <f t="shared" ca="1" si="56"/>
        <v>3400</v>
      </c>
      <c r="AS27" s="75">
        <f t="shared" ca="1" si="56"/>
        <v>3400</v>
      </c>
      <c r="AT27" s="75">
        <f t="shared" ca="1" si="56"/>
        <v>3400</v>
      </c>
      <c r="AU27" s="75">
        <f t="shared" ca="1" si="56"/>
        <v>3400</v>
      </c>
      <c r="AV27" s="75">
        <f t="shared" ca="1" si="56"/>
        <v>3400</v>
      </c>
      <c r="AW27" s="75">
        <f t="shared" ca="1" si="56"/>
        <v>3400</v>
      </c>
      <c r="AX27" s="75">
        <f t="shared" ca="1" si="56"/>
        <v>3400</v>
      </c>
      <c r="AY27" s="75">
        <f t="shared" ca="1" si="54"/>
        <v>3400</v>
      </c>
      <c r="AZ27" s="75">
        <f t="shared" ca="1" si="12"/>
        <v>3400</v>
      </c>
      <c r="BA27" s="75">
        <f t="shared" ca="1" si="12"/>
        <v>3400</v>
      </c>
      <c r="BB27" s="166"/>
      <c r="BC27" s="86"/>
      <c r="BD27" s="86"/>
      <c r="BE27" s="86"/>
      <c r="BF27" s="86"/>
      <c r="BG27" s="86"/>
      <c r="BH27" s="86"/>
      <c r="BI27" s="86"/>
      <c r="BJ27" s="86"/>
      <c r="BK27" s="115">
        <v>0</v>
      </c>
      <c r="BL27" s="115">
        <v>0</v>
      </c>
      <c r="BM27" s="115">
        <v>0</v>
      </c>
      <c r="BN27" s="115">
        <v>0</v>
      </c>
      <c r="BO27" s="115">
        <v>0</v>
      </c>
      <c r="BP27" s="115">
        <v>0</v>
      </c>
      <c r="BQ27" s="115">
        <v>0</v>
      </c>
      <c r="BR27" s="115">
        <v>0</v>
      </c>
      <c r="BS27" s="115">
        <v>0</v>
      </c>
      <c r="BT27" s="115">
        <v>0</v>
      </c>
      <c r="BU27" s="115">
        <v>0</v>
      </c>
      <c r="BV27" s="115">
        <v>0</v>
      </c>
      <c r="BW27" s="115">
        <v>0</v>
      </c>
      <c r="BX27" s="86">
        <v>0</v>
      </c>
      <c r="BY27" s="115">
        <v>0</v>
      </c>
      <c r="BZ27" s="115">
        <v>0</v>
      </c>
      <c r="CA27" s="115">
        <v>0</v>
      </c>
      <c r="CB27" s="115">
        <v>0</v>
      </c>
      <c r="CC27" s="115">
        <v>0</v>
      </c>
      <c r="CD27" s="115">
        <v>0</v>
      </c>
      <c r="CE27" s="86">
        <f t="shared" ca="1" si="28"/>
        <v>0</v>
      </c>
      <c r="CF27" s="116"/>
      <c r="CG27" s="86">
        <v>0</v>
      </c>
      <c r="CH27" s="86">
        <v>0</v>
      </c>
      <c r="CI27" s="86">
        <v>0</v>
      </c>
      <c r="CJ27" s="86">
        <v>0</v>
      </c>
      <c r="CK27" s="86">
        <v>0</v>
      </c>
      <c r="CL27" s="86">
        <v>0</v>
      </c>
      <c r="CM27" s="86">
        <v>0</v>
      </c>
      <c r="CN27" s="86">
        <v>0</v>
      </c>
      <c r="CO27" s="115">
        <v>0</v>
      </c>
      <c r="CP27" s="115">
        <v>0</v>
      </c>
      <c r="CQ27" s="117">
        <v>0</v>
      </c>
      <c r="CR27" s="117">
        <v>0</v>
      </c>
      <c r="CS27" s="117">
        <v>3400</v>
      </c>
      <c r="CT27" s="117">
        <v>0</v>
      </c>
      <c r="CU27" s="115">
        <v>0</v>
      </c>
      <c r="CV27" s="115">
        <v>0</v>
      </c>
      <c r="CW27" s="115">
        <v>0</v>
      </c>
      <c r="CX27" s="115">
        <v>0</v>
      </c>
      <c r="CY27" s="115">
        <v>0</v>
      </c>
      <c r="CZ27" s="115">
        <v>0</v>
      </c>
      <c r="DA27" s="90"/>
      <c r="DB27" s="90"/>
      <c r="DC27" s="90"/>
      <c r="DD27" s="90"/>
      <c r="DE27" s="90"/>
      <c r="DF27" s="90"/>
      <c r="DG27" s="86"/>
      <c r="DI27" s="91" t="e">
        <f ca="1">VLOOKUP(A27,'[2]2-Relatório'!$A:$J,9,0)</f>
        <v>#N/A</v>
      </c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  <c r="EL27" s="93"/>
      <c r="EM27" s="93"/>
      <c r="EN27" s="92"/>
      <c r="EO27" s="92"/>
      <c r="EP27" s="92"/>
      <c r="EQ27" s="92"/>
      <c r="ER27" s="92"/>
      <c r="ES27" s="92"/>
      <c r="ET27" s="92"/>
      <c r="EU27" s="92"/>
      <c r="EV27" s="92"/>
      <c r="EW27" s="92"/>
      <c r="EX27" s="92"/>
      <c r="EY27" s="92"/>
      <c r="EZ27" s="92"/>
      <c r="FA27" s="92"/>
      <c r="FB27" s="92"/>
      <c r="FC27" s="92"/>
      <c r="FD27" s="92"/>
      <c r="FE27" s="92"/>
      <c r="FF27" s="92"/>
      <c r="FG27" s="92"/>
      <c r="FH27" s="92"/>
      <c r="FI27" s="92"/>
      <c r="FJ27" s="92"/>
      <c r="FK27" s="92"/>
      <c r="FL27" s="92"/>
      <c r="FM27" s="92"/>
      <c r="FN27" s="94">
        <f t="shared" ref="FN27:FN28" ca="1" si="66">SUM(CN27:CS27)</f>
        <v>3400</v>
      </c>
      <c r="FO27" s="94">
        <f t="shared" ref="FO27:FO28" ca="1" si="67">SUM(CT27:CZ27)</f>
        <v>0</v>
      </c>
      <c r="FP27" s="95"/>
      <c r="FQ27" s="95"/>
      <c r="FR27" s="95"/>
      <c r="FS27" s="95"/>
      <c r="FT27" s="95"/>
      <c r="FU27" s="95"/>
      <c r="FV27" s="95"/>
      <c r="FW27" s="95"/>
      <c r="FX27" s="95">
        <f t="shared" ca="1" si="40"/>
        <v>0</v>
      </c>
      <c r="FY27" s="95">
        <f t="shared" ca="1" si="40"/>
        <v>0</v>
      </c>
      <c r="FZ27" s="95">
        <f t="shared" ca="1" si="40"/>
        <v>0</v>
      </c>
      <c r="GA27" s="95">
        <f t="shared" ca="1" si="40"/>
        <v>0</v>
      </c>
      <c r="GB27" s="95">
        <f t="shared" ca="1" si="40"/>
        <v>0</v>
      </c>
      <c r="GC27" s="95">
        <f t="shared" ca="1" si="40"/>
        <v>0</v>
      </c>
      <c r="GD27" s="95">
        <f t="shared" ca="1" si="40"/>
        <v>0</v>
      </c>
      <c r="GE27" s="95">
        <f t="shared" ca="1" si="40"/>
        <v>0</v>
      </c>
      <c r="GF27" s="95">
        <f t="shared" ca="1" si="40"/>
        <v>0</v>
      </c>
      <c r="GG27" s="95">
        <f t="shared" ca="1" si="40"/>
        <v>0</v>
      </c>
      <c r="GH27" s="95">
        <f t="shared" ca="1" si="41"/>
        <v>0</v>
      </c>
      <c r="GI27" s="95">
        <f t="shared" ca="1" si="41"/>
        <v>0</v>
      </c>
      <c r="GJ27" s="95">
        <f t="shared" ca="1" si="41"/>
        <v>0</v>
      </c>
      <c r="GK27" s="95">
        <f t="shared" ca="1" si="41"/>
        <v>0</v>
      </c>
      <c r="GL27" s="95"/>
      <c r="GM27" s="95"/>
      <c r="GN27" s="95"/>
      <c r="GO27" s="95"/>
      <c r="GP27" s="95"/>
      <c r="GQ27" s="95"/>
      <c r="GS27" s="7"/>
      <c r="GT27" s="96"/>
      <c r="GU27" s="96"/>
      <c r="GV27" s="96"/>
      <c r="GW27" s="96"/>
      <c r="GX27" s="96"/>
      <c r="GY27" s="96"/>
      <c r="GZ27" s="96"/>
      <c r="HA27" s="96"/>
      <c r="HB27" s="96"/>
      <c r="HC27" s="96"/>
      <c r="HD27" s="96"/>
      <c r="HE27" s="96"/>
      <c r="HF27" s="96"/>
      <c r="HG27" s="96"/>
      <c r="HH27" s="96"/>
      <c r="HI27" s="96"/>
      <c r="HJ27" s="96"/>
      <c r="HK27" s="96"/>
      <c r="HL27" s="96"/>
      <c r="HM27" s="96"/>
      <c r="HN27" s="96"/>
      <c r="HO27" s="96"/>
      <c r="HP27" s="96"/>
      <c r="HQ27" s="96"/>
      <c r="HS27" s="97"/>
    </row>
    <row r="28" spans="1:227" ht="17.25" thickTop="1" thickBot="1" x14ac:dyDescent="0.3">
      <c r="A28" s="102" t="s">
        <v>28</v>
      </c>
      <c r="B28" s="103" t="s">
        <v>372</v>
      </c>
      <c r="C28" s="73" t="s">
        <v>372</v>
      </c>
      <c r="D28" s="74" t="s">
        <v>0</v>
      </c>
      <c r="E28" s="74" t="s">
        <v>360</v>
      </c>
      <c r="F28" s="73"/>
      <c r="G28" s="75">
        <f ca="1">80+16</f>
        <v>96</v>
      </c>
      <c r="H28" s="75">
        <v>137</v>
      </c>
      <c r="I28" s="75">
        <f ca="1">G28+H28</f>
        <v>233</v>
      </c>
      <c r="J28" s="76">
        <f ca="1">[1]Parameters!$C$3+G28</f>
        <v>45927</v>
      </c>
      <c r="K28" s="77">
        <f t="shared" ca="1" si="23"/>
        <v>9</v>
      </c>
      <c r="L28" s="77">
        <f t="shared" ca="1" si="24"/>
        <v>2025</v>
      </c>
      <c r="M28" s="76">
        <f ca="1">[1]Parameters!$C$3+I28</f>
        <v>46064</v>
      </c>
      <c r="N28" s="77">
        <f t="shared" ca="1" si="25"/>
        <v>2</v>
      </c>
      <c r="O28" s="77">
        <f t="shared" ca="1" si="26"/>
        <v>2026</v>
      </c>
      <c r="P28" s="78">
        <v>0.98</v>
      </c>
      <c r="Q28" s="79" t="str">
        <f ca="1">VLOOKUP(A28,[1]ABC!A:G,7,0)</f>
        <v>A</v>
      </c>
      <c r="R28" s="80">
        <f t="shared" ca="1" si="9"/>
        <v>54.877861704010378</v>
      </c>
      <c r="S28" s="81">
        <v>129.06</v>
      </c>
      <c r="T28" s="82">
        <f t="shared" ca="1" si="10"/>
        <v>4000</v>
      </c>
      <c r="U28" s="83">
        <f t="shared" ca="1" si="53"/>
        <v>7900</v>
      </c>
      <c r="V28" s="80">
        <v>2600</v>
      </c>
      <c r="W28" s="80">
        <f t="shared" ca="1" si="27"/>
        <v>7800</v>
      </c>
      <c r="X28" s="101" t="s">
        <v>350</v>
      </c>
      <c r="Y28" s="84">
        <v>10.31</v>
      </c>
      <c r="Z28" s="85">
        <v>2875</v>
      </c>
      <c r="AA28" s="85">
        <v>2345</v>
      </c>
      <c r="AB28" s="85">
        <v>2060</v>
      </c>
      <c r="AC28" s="85">
        <v>2024</v>
      </c>
      <c r="AD28" s="85">
        <v>8</v>
      </c>
      <c r="AE28" s="85">
        <v>2981</v>
      </c>
      <c r="AF28" s="85">
        <v>2476</v>
      </c>
      <c r="AG28" s="85">
        <v>962</v>
      </c>
      <c r="AH28" s="85">
        <v>1339</v>
      </c>
      <c r="AI28" s="75">
        <v>74</v>
      </c>
      <c r="AJ28" s="75">
        <f t="shared" ca="1" si="56"/>
        <v>7355.6900000000005</v>
      </c>
      <c r="AK28" s="75">
        <f t="shared" ca="1" si="56"/>
        <v>10512.873</v>
      </c>
      <c r="AL28" s="75">
        <f t="shared" ca="1" si="56"/>
        <v>8374.9650000000001</v>
      </c>
      <c r="AM28" s="75">
        <f t="shared" ca="1" si="56"/>
        <v>6263.2890000000007</v>
      </c>
      <c r="AN28" s="75">
        <f t="shared" ca="1" si="56"/>
        <v>3570.1370000000006</v>
      </c>
      <c r="AO28" s="75">
        <f t="shared" ca="1" si="56"/>
        <v>11927.137000000001</v>
      </c>
      <c r="AP28" s="75">
        <f t="shared" ca="1" si="56"/>
        <v>12389.137000000001</v>
      </c>
      <c r="AQ28" s="75">
        <f t="shared" ca="1" si="56"/>
        <v>10277.137000000001</v>
      </c>
      <c r="AR28" s="75">
        <f t="shared" ca="1" si="56"/>
        <v>15384.137000000002</v>
      </c>
      <c r="AS28" s="75">
        <f t="shared" ca="1" si="56"/>
        <v>10884.137000000002</v>
      </c>
      <c r="AT28" s="75">
        <f t="shared" ca="1" si="56"/>
        <v>8478.1370000000024</v>
      </c>
      <c r="AU28" s="75">
        <f t="shared" ca="1" si="56"/>
        <v>5278.1370000000024</v>
      </c>
      <c r="AV28" s="75">
        <f t="shared" ca="1" si="56"/>
        <v>2078.1370000000024</v>
      </c>
      <c r="AW28" s="75">
        <f t="shared" ca="1" si="56"/>
        <v>2078.1370000000024</v>
      </c>
      <c r="AX28" s="75">
        <f t="shared" ca="1" si="56"/>
        <v>2078.1370000000024</v>
      </c>
      <c r="AY28" s="75">
        <f t="shared" ca="1" si="54"/>
        <v>2078.1370000000024</v>
      </c>
      <c r="AZ28" s="75">
        <f t="shared" ca="1" si="12"/>
        <v>2078.1370000000024</v>
      </c>
      <c r="BA28" s="75">
        <f t="shared" ca="1" si="12"/>
        <v>2078.1370000000024</v>
      </c>
      <c r="BB28" s="166"/>
      <c r="BC28" s="86">
        <v>2747</v>
      </c>
      <c r="BD28" s="86">
        <v>2344</v>
      </c>
      <c r="BE28" s="86">
        <v>1200</v>
      </c>
      <c r="BF28" s="86">
        <v>1200</v>
      </c>
      <c r="BG28" s="86">
        <v>1282.0889999999999</v>
      </c>
      <c r="BH28" s="86">
        <v>2200.2089999999998</v>
      </c>
      <c r="BI28" s="86">
        <v>3469.1819999999998</v>
      </c>
      <c r="BJ28" s="86">
        <v>1528.0140000000001</v>
      </c>
      <c r="BK28" s="86">
        <v>1753.172</v>
      </c>
      <c r="BL28" s="86">
        <v>2918.31</v>
      </c>
      <c r="BM28" s="86">
        <v>2042.817</v>
      </c>
      <c r="BN28" s="86">
        <v>2137.9079999999999</v>
      </c>
      <c r="BO28" s="86">
        <v>2111.6759999999999</v>
      </c>
      <c r="BP28" s="86">
        <v>2693.152</v>
      </c>
      <c r="BQ28" s="86">
        <v>2043</v>
      </c>
      <c r="BR28" s="86">
        <v>2138</v>
      </c>
      <c r="BS28" s="86">
        <v>2112</v>
      </c>
      <c r="BT28" s="86">
        <v>2693</v>
      </c>
      <c r="BU28" s="86">
        <v>4500</v>
      </c>
      <c r="BV28" s="86">
        <v>2406</v>
      </c>
      <c r="BW28" s="86">
        <f ca="1">VLOOKUP(A28,[3]Export!$B:$Q,16,0)</f>
        <v>3200</v>
      </c>
      <c r="BX28" s="86">
        <v>3200</v>
      </c>
      <c r="BY28" s="86">
        <v>0</v>
      </c>
      <c r="BZ28" s="86">
        <v>0</v>
      </c>
      <c r="CA28" s="86">
        <v>0</v>
      </c>
      <c r="CB28" s="86">
        <v>0</v>
      </c>
      <c r="CC28" s="86">
        <v>0</v>
      </c>
      <c r="CD28" s="86">
        <v>0</v>
      </c>
      <c r="CE28" s="86">
        <f t="shared" ca="1" si="28"/>
        <v>707.0188804598273</v>
      </c>
      <c r="CF28" s="87"/>
      <c r="CG28" s="86">
        <v>0</v>
      </c>
      <c r="CH28" s="86">
        <v>0</v>
      </c>
      <c r="CI28" s="86">
        <v>0</v>
      </c>
      <c r="CJ28" s="86">
        <v>0</v>
      </c>
      <c r="CK28" s="86">
        <v>0</v>
      </c>
      <c r="CL28" s="86">
        <v>0</v>
      </c>
      <c r="CM28" s="86">
        <v>0</v>
      </c>
      <c r="CN28" s="86">
        <v>0</v>
      </c>
      <c r="CO28" s="104">
        <v>10200</v>
      </c>
      <c r="CP28" s="104">
        <v>5200</v>
      </c>
      <c r="CQ28" s="105">
        <v>0</v>
      </c>
      <c r="CR28" s="105">
        <v>0</v>
      </c>
      <c r="CS28" s="99">
        <v>0</v>
      </c>
      <c r="CT28" s="99">
        <f ca="1">2600*4</f>
        <v>10400</v>
      </c>
      <c r="CU28" s="86">
        <v>2600</v>
      </c>
      <c r="CV28" s="86">
        <v>0</v>
      </c>
      <c r="CW28" s="86">
        <f ca="1">2600*3</f>
        <v>7800</v>
      </c>
      <c r="CX28" s="86">
        <v>0</v>
      </c>
      <c r="CY28" s="86">
        <v>0</v>
      </c>
      <c r="CZ28" s="86">
        <v>0</v>
      </c>
      <c r="DA28" s="86">
        <v>0</v>
      </c>
      <c r="DB28" s="86">
        <v>0</v>
      </c>
      <c r="DC28" s="86">
        <v>0</v>
      </c>
      <c r="DD28" s="86">
        <v>0</v>
      </c>
      <c r="DE28" s="86">
        <v>0</v>
      </c>
      <c r="DF28" s="86">
        <v>0</v>
      </c>
      <c r="DG28" s="86">
        <v>0</v>
      </c>
      <c r="DI28" s="91">
        <f ca="1">VLOOKUP(A28,'[2]2-Relatório'!$A:$J,9,0)</f>
        <v>80.760000000000005</v>
      </c>
      <c r="DJ28" s="92">
        <f t="shared" ca="1" si="60"/>
        <v>166365.6</v>
      </c>
      <c r="DK28" s="92">
        <f t="shared" ca="1" si="60"/>
        <v>163458.24000000002</v>
      </c>
      <c r="DL28" s="92">
        <f t="shared" ca="1" si="60"/>
        <v>646.08000000000004</v>
      </c>
      <c r="DM28" s="92">
        <f t="shared" ca="1" si="60"/>
        <v>240745.56000000003</v>
      </c>
      <c r="DN28" s="92">
        <f t="shared" ca="1" si="60"/>
        <v>199961.76</v>
      </c>
      <c r="DO28" s="92">
        <f t="shared" ca="1" si="60"/>
        <v>77691.12000000001</v>
      </c>
      <c r="DP28" s="92">
        <f t="shared" ca="1" si="60"/>
        <v>108137.64000000001</v>
      </c>
      <c r="DQ28" s="92">
        <f t="shared" ca="1" si="60"/>
        <v>5976.2400000000007</v>
      </c>
      <c r="DR28" s="92">
        <f t="shared" ca="1" si="45"/>
        <v>594045.52440000011</v>
      </c>
      <c r="DS28" s="92">
        <f t="shared" ca="1" si="45"/>
        <v>849019.62348000007</v>
      </c>
      <c r="DT28" s="92">
        <f t="shared" ca="1" si="45"/>
        <v>676362.17340000009</v>
      </c>
      <c r="DU28" s="92">
        <f t="shared" ca="1" si="45"/>
        <v>505823.21964000008</v>
      </c>
      <c r="DV28" s="92">
        <f t="shared" ca="1" si="45"/>
        <v>288324.26412000007</v>
      </c>
      <c r="DW28" s="92">
        <f t="shared" ca="1" si="45"/>
        <v>963235.58412000013</v>
      </c>
      <c r="DX28" s="92">
        <f t="shared" ca="1" si="45"/>
        <v>1000546.7041200001</v>
      </c>
      <c r="DY28" s="92">
        <f t="shared" ca="1" si="45"/>
        <v>829981.58412000013</v>
      </c>
      <c r="DZ28" s="92">
        <f t="shared" ca="1" si="45"/>
        <v>1242422.9041200003</v>
      </c>
      <c r="EA28" s="92">
        <f t="shared" ca="1" si="45"/>
        <v>879002.9041200002</v>
      </c>
      <c r="EB28" s="92">
        <f t="shared" ca="1" si="45"/>
        <v>684694.34412000026</v>
      </c>
      <c r="EC28" s="92">
        <f t="shared" ca="1" si="45"/>
        <v>426262.3441200002</v>
      </c>
      <c r="ED28" s="92">
        <f t="shared" ca="1" si="45"/>
        <v>167830.3441200002</v>
      </c>
      <c r="EE28" s="92">
        <f t="shared" ca="1" si="45"/>
        <v>167830.3441200002</v>
      </c>
      <c r="EF28" s="92">
        <f t="shared" ca="1" si="45"/>
        <v>167830.3441200002</v>
      </c>
      <c r="EG28" s="92">
        <f t="shared" ca="1" si="45"/>
        <v>167830.3441200002</v>
      </c>
      <c r="EH28" s="92">
        <f t="shared" ca="1" si="46"/>
        <v>167830.3441200002</v>
      </c>
      <c r="EI28" s="92">
        <f t="shared" ca="1" si="46"/>
        <v>167830.3441200002</v>
      </c>
      <c r="EL28" s="93">
        <f t="shared" ca="1" si="57"/>
        <v>354527.82</v>
      </c>
      <c r="EM28" s="93">
        <f t="shared" ca="1" si="57"/>
        <v>302516.64</v>
      </c>
      <c r="EN28" s="92">
        <f t="shared" ca="1" si="61"/>
        <v>96912</v>
      </c>
      <c r="EO28" s="92">
        <f t="shared" ca="1" si="61"/>
        <v>96912</v>
      </c>
      <c r="EP28" s="92">
        <f t="shared" ca="1" si="61"/>
        <v>103541.50764</v>
      </c>
      <c r="EQ28" s="92">
        <f t="shared" ca="1" si="61"/>
        <v>177688.87883999999</v>
      </c>
      <c r="ER28" s="92">
        <f t="shared" ca="1" si="61"/>
        <v>280171.13832000003</v>
      </c>
      <c r="ES28" s="92">
        <f t="shared" ca="1" si="61"/>
        <v>123402.41064000002</v>
      </c>
      <c r="ET28" s="92">
        <f t="shared" ca="1" si="61"/>
        <v>141586.17072000002</v>
      </c>
      <c r="EU28" s="92">
        <f t="shared" ca="1" si="61"/>
        <v>235682.71560000003</v>
      </c>
      <c r="EV28" s="92">
        <f t="shared" ca="1" si="61"/>
        <v>164977.90092000001</v>
      </c>
      <c r="EW28" s="92">
        <f t="shared" ca="1" si="61"/>
        <v>172657.45008000001</v>
      </c>
      <c r="EX28" s="92">
        <f t="shared" ca="1" si="61"/>
        <v>170538.95376</v>
      </c>
      <c r="EY28" s="92">
        <f t="shared" ca="1" si="61"/>
        <v>217498.95552000002</v>
      </c>
      <c r="EZ28" s="92">
        <f t="shared" ca="1" si="61"/>
        <v>164992.68000000002</v>
      </c>
      <c r="FA28" s="92">
        <f t="shared" ca="1" si="61"/>
        <v>172664.88</v>
      </c>
      <c r="FB28" s="92">
        <f t="shared" ca="1" si="61"/>
        <v>170565.12000000002</v>
      </c>
      <c r="FC28" s="92">
        <f t="shared" ca="1" si="61"/>
        <v>217486.68000000002</v>
      </c>
      <c r="FD28" s="92">
        <f t="shared" ca="1" si="58"/>
        <v>363420</v>
      </c>
      <c r="FE28" s="92">
        <f t="shared" ca="1" si="58"/>
        <v>194308.56000000003</v>
      </c>
      <c r="FF28" s="92">
        <f t="shared" ca="1" si="58"/>
        <v>258432.00000000003</v>
      </c>
      <c r="FG28" s="92">
        <f t="shared" ca="1" si="58"/>
        <v>258432.00000000003</v>
      </c>
      <c r="FH28" s="92">
        <f t="shared" ca="1" si="55"/>
        <v>0</v>
      </c>
      <c r="FI28" s="92">
        <f t="shared" ca="1" si="55"/>
        <v>0</v>
      </c>
      <c r="FJ28" s="92">
        <f t="shared" ca="1" si="55"/>
        <v>0</v>
      </c>
      <c r="FK28" s="92">
        <f t="shared" ca="1" si="55"/>
        <v>0</v>
      </c>
      <c r="FL28" s="92">
        <f t="shared" ca="1" si="55"/>
        <v>0</v>
      </c>
      <c r="FM28" s="92">
        <f t="shared" ca="1" si="55"/>
        <v>0</v>
      </c>
      <c r="FN28" s="94">
        <f t="shared" ca="1" si="66"/>
        <v>15400</v>
      </c>
      <c r="FO28" s="94">
        <f t="shared" ca="1" si="67"/>
        <v>20800</v>
      </c>
      <c r="FP28" s="95">
        <f t="shared" ca="1" si="59"/>
        <v>31.397888605751728</v>
      </c>
      <c r="FQ28" s="95">
        <f t="shared" ca="1" si="59"/>
        <v>30.012798634812288</v>
      </c>
      <c r="FR28" s="95">
        <f t="shared" ca="1" si="40"/>
        <v>51.5</v>
      </c>
      <c r="FS28" s="95">
        <f t="shared" ca="1" si="40"/>
        <v>50.600000000000009</v>
      </c>
      <c r="FT28" s="95">
        <f t="shared" ca="1" si="40"/>
        <v>0.18719449273802366</v>
      </c>
      <c r="FU28" s="95">
        <f t="shared" ca="1" si="40"/>
        <v>40.646138616831408</v>
      </c>
      <c r="FV28" s="95">
        <f t="shared" ca="1" si="40"/>
        <v>21.411387468285032</v>
      </c>
      <c r="FW28" s="95">
        <f t="shared" ca="1" si="40"/>
        <v>18.887261504148523</v>
      </c>
      <c r="FX28" s="95">
        <f t="shared" ca="1" si="40"/>
        <v>22.912754709748956</v>
      </c>
      <c r="FY28" s="95">
        <f t="shared" ca="1" si="40"/>
        <v>0.76071424900027762</v>
      </c>
      <c r="FZ28" s="95">
        <f t="shared" ca="1" si="40"/>
        <v>108.02274506233306</v>
      </c>
      <c r="GA28" s="95">
        <f t="shared" ca="1" si="40"/>
        <v>147.5209363546046</v>
      </c>
      <c r="GB28" s="95">
        <f t="shared" ca="1" si="40"/>
        <v>118.98082376273634</v>
      </c>
      <c r="GC28" s="95">
        <f t="shared" ca="1" si="40"/>
        <v>69.7690549957819</v>
      </c>
      <c r="GD28" s="95">
        <f t="shared" ca="1" si="40"/>
        <v>52.42491923641704</v>
      </c>
      <c r="GE28" s="95">
        <f t="shared" ca="1" si="40"/>
        <v>167.35926566884939</v>
      </c>
      <c r="GF28" s="95">
        <f t="shared" ca="1" si="40"/>
        <v>175.98205965909091</v>
      </c>
      <c r="GG28" s="95">
        <f t="shared" ca="1" si="40"/>
        <v>114.4872298551801</v>
      </c>
      <c r="GH28" s="95">
        <f t="shared" ca="1" si="41"/>
        <v>102.56091333333336</v>
      </c>
      <c r="GI28" s="95">
        <f t="shared" ca="1" si="41"/>
        <v>135.71243142144638</v>
      </c>
      <c r="GJ28" s="95">
        <f t="shared" ca="1" si="41"/>
        <v>79.482534375000029</v>
      </c>
      <c r="GK28" s="95">
        <f t="shared" ca="1" si="41"/>
        <v>49.482534375000014</v>
      </c>
      <c r="GL28" s="95">
        <f t="shared" ca="1" si="41"/>
        <v>0</v>
      </c>
      <c r="GM28" s="95">
        <f t="shared" ca="1" si="38"/>
        <v>0</v>
      </c>
      <c r="GN28" s="95">
        <f t="shared" ca="1" si="38"/>
        <v>0</v>
      </c>
      <c r="GO28" s="95">
        <f t="shared" ca="1" si="38"/>
        <v>0</v>
      </c>
      <c r="GP28" s="95">
        <f t="shared" ca="1" si="38"/>
        <v>0</v>
      </c>
      <c r="GQ28" s="95">
        <f t="shared" ca="1" si="38"/>
        <v>0</v>
      </c>
      <c r="GS28" s="7">
        <v>267.46092739226657</v>
      </c>
      <c r="GT28" s="96">
        <f t="shared" ca="1" si="47"/>
        <v>342908.71293942363</v>
      </c>
      <c r="GU28" s="96">
        <f t="shared" ca="1" si="47"/>
        <v>588469.93959681143</v>
      </c>
      <c r="GV28" s="96">
        <f t="shared" ca="1" si="47"/>
        <v>927870.63501255808</v>
      </c>
      <c r="GW28" s="96">
        <f t="shared" ca="1" si="47"/>
        <v>408684.04150836682</v>
      </c>
      <c r="GX28" s="96">
        <f t="shared" ca="1" si="47"/>
        <v>468905.00899815478</v>
      </c>
      <c r="GY28" s="96">
        <f t="shared" ca="1" si="47"/>
        <v>780533.89901812549</v>
      </c>
      <c r="GZ28" s="96">
        <f t="shared" ca="1" si="47"/>
        <v>546373.72931268776</v>
      </c>
      <c r="HA28" s="96">
        <f t="shared" ca="1" si="47"/>
        <v>571806.85635934584</v>
      </c>
      <c r="HB28" s="96">
        <f t="shared" ca="1" si="47"/>
        <v>564790.82131199189</v>
      </c>
      <c r="HC28" s="96">
        <f t="shared" ca="1" si="47"/>
        <v>720312.93152833753</v>
      </c>
      <c r="HD28" s="96">
        <f t="shared" ca="1" si="47"/>
        <v>546422.67466240062</v>
      </c>
      <c r="HE28" s="96">
        <f t="shared" ca="1" si="47"/>
        <v>571831.46276466595</v>
      </c>
      <c r="HF28" s="96">
        <f t="shared" ca="1" si="47"/>
        <v>564877.47865246702</v>
      </c>
      <c r="HG28" s="96">
        <f t="shared" ca="1" si="47"/>
        <v>720272.27746737387</v>
      </c>
      <c r="HH28" s="96">
        <f t="shared" ca="1" si="47"/>
        <v>1203574.1732651996</v>
      </c>
      <c r="HI28" s="96">
        <f t="shared" ca="1" si="47"/>
        <v>643510.9913057934</v>
      </c>
      <c r="HJ28" s="96">
        <f t="shared" ca="1" si="48"/>
        <v>855874.96765525301</v>
      </c>
      <c r="HK28" s="96">
        <f t="shared" ca="1" si="48"/>
        <v>855874.96765525301</v>
      </c>
      <c r="HL28" s="96">
        <f t="shared" ca="1" si="48"/>
        <v>0</v>
      </c>
      <c r="HM28" s="96">
        <f t="shared" ca="1" si="48"/>
        <v>0</v>
      </c>
      <c r="HN28" s="96">
        <f t="shared" ca="1" si="48"/>
        <v>0</v>
      </c>
      <c r="HO28" s="96">
        <f t="shared" ca="1" si="48"/>
        <v>0</v>
      </c>
      <c r="HP28" s="96">
        <f t="shared" ca="1" si="48"/>
        <v>0</v>
      </c>
      <c r="HQ28" s="96">
        <f t="shared" ca="1" si="48"/>
        <v>0</v>
      </c>
      <c r="HS28" s="97">
        <f t="shared" ca="1" si="21"/>
        <v>2139.6874191381326</v>
      </c>
    </row>
    <row r="29" spans="1:227" ht="17.25" thickTop="1" thickBot="1" x14ac:dyDescent="0.3">
      <c r="A29" s="16" t="s">
        <v>46</v>
      </c>
      <c r="B29" s="73" t="s">
        <v>373</v>
      </c>
      <c r="C29" s="73" t="s">
        <v>374</v>
      </c>
      <c r="D29" s="74" t="s">
        <v>0</v>
      </c>
      <c r="E29" s="74" t="s">
        <v>349</v>
      </c>
      <c r="F29" s="73"/>
      <c r="G29" s="75">
        <f t="shared" ref="G29:G36" ca="1" si="68">127+6</f>
        <v>133</v>
      </c>
      <c r="H29" s="75">
        <v>133</v>
      </c>
      <c r="I29" s="75">
        <f t="shared" ref="I29:I36" ca="1" si="69">G29+H29</f>
        <v>266</v>
      </c>
      <c r="J29" s="76">
        <f ca="1">[1]Parameters!$C$3+G29</f>
        <v>45964</v>
      </c>
      <c r="K29" s="77">
        <f t="shared" ca="1" si="23"/>
        <v>11</v>
      </c>
      <c r="L29" s="77">
        <f t="shared" ca="1" si="24"/>
        <v>2025</v>
      </c>
      <c r="M29" s="76">
        <f ca="1">[1]Parameters!$C$3+I29</f>
        <v>46097</v>
      </c>
      <c r="N29" s="77">
        <f t="shared" ca="1" si="25"/>
        <v>3</v>
      </c>
      <c r="O29" s="77">
        <f t="shared" ca="1" si="26"/>
        <v>2026</v>
      </c>
      <c r="P29" s="78">
        <v>0.95</v>
      </c>
      <c r="Q29" s="79" t="str">
        <f ca="1">VLOOKUP(A29,[1]ABC!A:G,7,0)</f>
        <v>B</v>
      </c>
      <c r="R29" s="80">
        <f t="shared" ca="1" si="9"/>
        <v>0.40287613109009784</v>
      </c>
      <c r="S29" s="81">
        <v>63.72</v>
      </c>
      <c r="T29" s="82">
        <f t="shared" ca="1" si="10"/>
        <v>800</v>
      </c>
      <c r="U29" s="83">
        <f ca="1">IF((ROUND(AVERAGE(BI29:BR29)*2/100,0)*100)&lt;T29,T29,ROUND(AVERAGE(BI29:BR29)*2/100,0)*100)</f>
        <v>3900</v>
      </c>
      <c r="V29" s="80">
        <v>3000</v>
      </c>
      <c r="W29" s="80">
        <f t="shared" ca="1" si="27"/>
        <v>3000</v>
      </c>
      <c r="X29" s="80"/>
      <c r="Y29" s="84">
        <v>6.26</v>
      </c>
      <c r="Z29" s="85">
        <v>175</v>
      </c>
      <c r="AA29" s="85">
        <v>14</v>
      </c>
      <c r="AB29" s="85">
        <v>8</v>
      </c>
      <c r="AC29" s="85">
        <v>5372</v>
      </c>
      <c r="AD29" s="85">
        <v>1171</v>
      </c>
      <c r="AE29" s="85">
        <v>2347</v>
      </c>
      <c r="AF29" s="85">
        <v>3105</v>
      </c>
      <c r="AG29" s="85">
        <v>1246</v>
      </c>
      <c r="AH29" s="85">
        <v>2040</v>
      </c>
      <c r="AI29" s="75">
        <v>8426</v>
      </c>
      <c r="AJ29" s="75">
        <f t="shared" ca="1" si="56"/>
        <v>6507.7849999999999</v>
      </c>
      <c r="AK29" s="75">
        <f t="shared" ca="1" si="56"/>
        <v>4736.0320000000002</v>
      </c>
      <c r="AL29" s="75">
        <f t="shared" ca="1" si="56"/>
        <v>5966.4650000000001</v>
      </c>
      <c r="AM29" s="75">
        <f t="shared" ca="1" si="56"/>
        <v>6844.9520000000002</v>
      </c>
      <c r="AN29" s="75">
        <f t="shared" ca="1" si="56"/>
        <v>10931.109</v>
      </c>
      <c r="AO29" s="75">
        <f t="shared" ca="1" si="56"/>
        <v>9159.1090000000004</v>
      </c>
      <c r="AP29" s="75">
        <f t="shared" ca="1" si="56"/>
        <v>10389.109</v>
      </c>
      <c r="AQ29" s="75">
        <f t="shared" ca="1" si="56"/>
        <v>8267.1090000000004</v>
      </c>
      <c r="AR29" s="75">
        <f t="shared" ca="1" si="56"/>
        <v>9353.1090000000004</v>
      </c>
      <c r="AS29" s="75">
        <f t="shared" ca="1" si="56"/>
        <v>7359.1090000000004</v>
      </c>
      <c r="AT29" s="75">
        <f t="shared" ca="1" si="56"/>
        <v>5782.1090000000004</v>
      </c>
      <c r="AU29" s="75">
        <f t="shared" ca="1" si="56"/>
        <v>3954.1090000000004</v>
      </c>
      <c r="AV29" s="75">
        <f t="shared" ca="1" si="56"/>
        <v>1954.1090000000004</v>
      </c>
      <c r="AW29" s="75">
        <f t="shared" ca="1" si="56"/>
        <v>1954.1090000000004</v>
      </c>
      <c r="AX29" s="75">
        <f t="shared" ca="1" si="56"/>
        <v>1954.1090000000004</v>
      </c>
      <c r="AY29" s="75">
        <f t="shared" ca="1" si="54"/>
        <v>1954.1090000000004</v>
      </c>
      <c r="AZ29" s="75">
        <f t="shared" ca="1" si="12"/>
        <v>1954.1090000000004</v>
      </c>
      <c r="BA29" s="75">
        <f t="shared" ca="1" si="12"/>
        <v>1954.1090000000004</v>
      </c>
      <c r="BB29" s="166"/>
      <c r="BC29" s="86">
        <v>62.95</v>
      </c>
      <c r="BD29" s="86">
        <v>9</v>
      </c>
      <c r="BE29" s="86">
        <v>1800.25</v>
      </c>
      <c r="BF29" s="86">
        <v>1800.25</v>
      </c>
      <c r="BG29" s="86">
        <v>1325.809</v>
      </c>
      <c r="BH29" s="86">
        <v>2387.1120000000001</v>
      </c>
      <c r="BI29" s="86">
        <v>3280.0929999999998</v>
      </c>
      <c r="BJ29" s="86">
        <v>1255.857</v>
      </c>
      <c r="BK29" s="86">
        <v>1787.0550000000001</v>
      </c>
      <c r="BL29" s="86">
        <v>1918.2149999999999</v>
      </c>
      <c r="BM29" s="86">
        <v>1771.7529999999999</v>
      </c>
      <c r="BN29" s="86">
        <v>1769.567</v>
      </c>
      <c r="BO29" s="86">
        <v>2121.5129999999999</v>
      </c>
      <c r="BP29" s="86">
        <v>1913.8430000000001</v>
      </c>
      <c r="BQ29" s="86">
        <v>1772</v>
      </c>
      <c r="BR29" s="86">
        <v>1770</v>
      </c>
      <c r="BS29" s="86">
        <v>2122</v>
      </c>
      <c r="BT29" s="86">
        <v>1914</v>
      </c>
      <c r="BU29" s="86">
        <v>1994</v>
      </c>
      <c r="BV29" s="86">
        <v>1577</v>
      </c>
      <c r="BW29" s="86">
        <f ca="1">VLOOKUP(A29,[3]Export!$B:$Q,16,0)</f>
        <v>1828</v>
      </c>
      <c r="BX29" s="86">
        <v>2000</v>
      </c>
      <c r="BY29" s="86">
        <v>0</v>
      </c>
      <c r="BZ29" s="86">
        <v>0</v>
      </c>
      <c r="CA29" s="86">
        <v>0</v>
      </c>
      <c r="CB29" s="86">
        <v>0</v>
      </c>
      <c r="CC29" s="86">
        <v>0</v>
      </c>
      <c r="CD29" s="86">
        <v>0</v>
      </c>
      <c r="CE29" s="86">
        <f t="shared" ca="1" si="28"/>
        <v>155.49970284314912</v>
      </c>
      <c r="CF29" s="87"/>
      <c r="CG29" s="86">
        <v>0</v>
      </c>
      <c r="CH29" s="86">
        <v>0</v>
      </c>
      <c r="CI29" s="86">
        <v>0</v>
      </c>
      <c r="CJ29" s="86">
        <v>0</v>
      </c>
      <c r="CK29" s="86">
        <v>0</v>
      </c>
      <c r="CL29" s="86">
        <v>0</v>
      </c>
      <c r="CM29" s="86">
        <v>0</v>
      </c>
      <c r="CN29" s="86">
        <v>0</v>
      </c>
      <c r="CO29" s="86">
        <v>0</v>
      </c>
      <c r="CP29" s="86">
        <v>0</v>
      </c>
      <c r="CQ29" s="86">
        <v>3000</v>
      </c>
      <c r="CR29" s="89">
        <v>3000</v>
      </c>
      <c r="CS29" s="118">
        <v>6000</v>
      </c>
      <c r="CT29" s="86">
        <v>0</v>
      </c>
      <c r="CU29" s="86">
        <v>3000</v>
      </c>
      <c r="CV29" s="90">
        <v>0</v>
      </c>
      <c r="CW29" s="90">
        <v>3000</v>
      </c>
      <c r="CX29" s="90">
        <v>0</v>
      </c>
      <c r="CY29" s="90">
        <v>0</v>
      </c>
      <c r="CZ29" s="90">
        <v>0</v>
      </c>
      <c r="DA29" s="90">
        <v>0</v>
      </c>
      <c r="DB29" s="90">
        <v>0</v>
      </c>
      <c r="DC29" s="90">
        <v>0</v>
      </c>
      <c r="DD29" s="90">
        <v>0</v>
      </c>
      <c r="DE29" s="90">
        <v>0</v>
      </c>
      <c r="DF29" s="90">
        <v>0</v>
      </c>
      <c r="DG29" s="86">
        <v>0</v>
      </c>
      <c r="DI29" s="91">
        <f ca="1">VLOOKUP(A29,'[2]2-Relatório'!$A:$J,9,0)</f>
        <v>55.19</v>
      </c>
      <c r="DJ29" s="92">
        <f t="shared" ca="1" si="60"/>
        <v>441.52</v>
      </c>
      <c r="DK29" s="92">
        <f t="shared" ca="1" si="60"/>
        <v>296480.68</v>
      </c>
      <c r="DL29" s="92">
        <f t="shared" ca="1" si="60"/>
        <v>64627.49</v>
      </c>
      <c r="DM29" s="92">
        <f t="shared" ca="1" si="60"/>
        <v>129530.93</v>
      </c>
      <c r="DN29" s="92">
        <f t="shared" ca="1" si="60"/>
        <v>171364.94999999998</v>
      </c>
      <c r="DO29" s="92">
        <f t="shared" ca="1" si="60"/>
        <v>68766.739999999991</v>
      </c>
      <c r="DP29" s="92">
        <f t="shared" ca="1" si="60"/>
        <v>112587.59999999999</v>
      </c>
      <c r="DQ29" s="92">
        <f t="shared" ca="1" si="60"/>
        <v>465030.94</v>
      </c>
      <c r="DR29" s="92">
        <f t="shared" ca="1" si="45"/>
        <v>359164.65414999996</v>
      </c>
      <c r="DS29" s="92">
        <f t="shared" ca="1" si="45"/>
        <v>261381.60608</v>
      </c>
      <c r="DT29" s="92">
        <f t="shared" ca="1" si="45"/>
        <v>329289.20334999997</v>
      </c>
      <c r="DU29" s="92">
        <f t="shared" ca="1" si="45"/>
        <v>377772.90087999997</v>
      </c>
      <c r="DV29" s="92">
        <f t="shared" ca="1" si="45"/>
        <v>603287.90570999996</v>
      </c>
      <c r="DW29" s="92">
        <f t="shared" ca="1" si="45"/>
        <v>505491.22571000003</v>
      </c>
      <c r="DX29" s="92">
        <f t="shared" ca="1" si="45"/>
        <v>573374.92570999998</v>
      </c>
      <c r="DY29" s="92">
        <f t="shared" ca="1" si="45"/>
        <v>456261.74570999999</v>
      </c>
      <c r="DZ29" s="92">
        <f t="shared" ca="1" si="45"/>
        <v>516198.08571000001</v>
      </c>
      <c r="EA29" s="92">
        <f t="shared" ca="1" si="45"/>
        <v>406149.22571000003</v>
      </c>
      <c r="EB29" s="92">
        <f t="shared" ca="1" si="45"/>
        <v>319114.59571000002</v>
      </c>
      <c r="EC29" s="92">
        <f t="shared" ca="1" si="45"/>
        <v>218227.27571000002</v>
      </c>
      <c r="ED29" s="92">
        <f t="shared" ca="1" si="45"/>
        <v>107847.27571000002</v>
      </c>
      <c r="EE29" s="92">
        <f t="shared" ca="1" si="45"/>
        <v>107847.27571000002</v>
      </c>
      <c r="EF29" s="92">
        <f t="shared" ca="1" si="45"/>
        <v>107847.27571000002</v>
      </c>
      <c r="EG29" s="92">
        <f t="shared" ca="1" si="45"/>
        <v>107847.27571000002</v>
      </c>
      <c r="EH29" s="92">
        <f t="shared" ca="1" si="46"/>
        <v>107847.27571000002</v>
      </c>
      <c r="EI29" s="92">
        <f t="shared" ca="1" si="46"/>
        <v>107847.27571000002</v>
      </c>
      <c r="EL29" s="93">
        <f t="shared" ca="1" si="57"/>
        <v>4011.174</v>
      </c>
      <c r="EM29" s="93">
        <f t="shared" ca="1" si="57"/>
        <v>573.48</v>
      </c>
      <c r="EN29" s="92">
        <f t="shared" ca="1" si="61"/>
        <v>99355.797500000001</v>
      </c>
      <c r="EO29" s="92">
        <f t="shared" ca="1" si="61"/>
        <v>99355.797500000001</v>
      </c>
      <c r="EP29" s="92">
        <f t="shared" ca="1" si="61"/>
        <v>73171.398709999994</v>
      </c>
      <c r="EQ29" s="92">
        <f t="shared" ca="1" si="61"/>
        <v>131744.71127999999</v>
      </c>
      <c r="ER29" s="92">
        <f t="shared" ca="1" si="61"/>
        <v>181028.33266999997</v>
      </c>
      <c r="ES29" s="92">
        <f t="shared" ca="1" si="61"/>
        <v>69310.747829999993</v>
      </c>
      <c r="ET29" s="92">
        <f t="shared" ca="1" si="61"/>
        <v>98627.565449999995</v>
      </c>
      <c r="EU29" s="92">
        <f t="shared" ca="1" si="61"/>
        <v>105866.28584999999</v>
      </c>
      <c r="EV29" s="92">
        <f t="shared" ca="1" si="61"/>
        <v>97783.04806999999</v>
      </c>
      <c r="EW29" s="92">
        <f t="shared" ca="1" si="61"/>
        <v>97662.402730000002</v>
      </c>
      <c r="EX29" s="92">
        <f t="shared" ca="1" si="61"/>
        <v>117086.30247</v>
      </c>
      <c r="EY29" s="92">
        <f t="shared" ca="1" si="61"/>
        <v>105624.99516999999</v>
      </c>
      <c r="EZ29" s="92">
        <f t="shared" ca="1" si="61"/>
        <v>97796.68</v>
      </c>
      <c r="FA29" s="92">
        <f t="shared" ca="1" si="61"/>
        <v>97686.3</v>
      </c>
      <c r="FB29" s="92">
        <f t="shared" ca="1" si="61"/>
        <v>117113.18</v>
      </c>
      <c r="FC29" s="92">
        <f t="shared" ca="1" si="61"/>
        <v>105633.65999999999</v>
      </c>
      <c r="FD29" s="92">
        <f t="shared" ca="1" si="58"/>
        <v>110048.86</v>
      </c>
      <c r="FE29" s="92">
        <f t="shared" ca="1" si="58"/>
        <v>87034.62999999999</v>
      </c>
      <c r="FF29" s="92">
        <f t="shared" ca="1" si="58"/>
        <v>100887.31999999999</v>
      </c>
      <c r="FG29" s="92">
        <f t="shared" ca="1" si="58"/>
        <v>110380</v>
      </c>
      <c r="FH29" s="92">
        <f t="shared" ca="1" si="55"/>
        <v>0</v>
      </c>
      <c r="FI29" s="92">
        <f t="shared" ca="1" si="55"/>
        <v>0</v>
      </c>
      <c r="FJ29" s="92">
        <f t="shared" ca="1" si="55"/>
        <v>0</v>
      </c>
      <c r="FK29" s="92">
        <f t="shared" ca="1" si="55"/>
        <v>0</v>
      </c>
      <c r="FL29" s="92">
        <f t="shared" ca="1" si="55"/>
        <v>0</v>
      </c>
      <c r="FM29" s="92">
        <f t="shared" ca="1" si="55"/>
        <v>0</v>
      </c>
      <c r="FN29" s="94">
        <f t="shared" ref="FN29:FN36" ca="1" si="70">SUM(CO29:CU29)</f>
        <v>15000</v>
      </c>
      <c r="FO29" s="94">
        <f t="shared" ref="FO29:FO36" ca="1" si="71">SUM(CV29:DA29)</f>
        <v>3000</v>
      </c>
      <c r="FP29" s="95">
        <f t="shared" ca="1" si="59"/>
        <v>83.399523431294668</v>
      </c>
      <c r="FQ29" s="95">
        <f t="shared" ca="1" si="59"/>
        <v>46.666666666666664</v>
      </c>
      <c r="FR29" s="95">
        <f t="shared" ca="1" si="40"/>
        <v>0.13331481738647408</v>
      </c>
      <c r="FS29" s="95">
        <f t="shared" ca="1" si="40"/>
        <v>89.520899875017349</v>
      </c>
      <c r="FT29" s="95">
        <f t="shared" ca="1" si="40"/>
        <v>26.497029360941131</v>
      </c>
      <c r="FU29" s="95">
        <f t="shared" ca="1" si="40"/>
        <v>29.495892945115269</v>
      </c>
      <c r="FV29" s="95">
        <f t="shared" ca="1" si="40"/>
        <v>28.39858504011929</v>
      </c>
      <c r="FW29" s="95">
        <f t="shared" ca="1" si="40"/>
        <v>29.764535293429109</v>
      </c>
      <c r="FX29" s="95">
        <f t="shared" ca="1" si="40"/>
        <v>34.2462878870544</v>
      </c>
      <c r="FY29" s="95">
        <f t="shared" ca="1" si="40"/>
        <v>131.77876306879051</v>
      </c>
      <c r="FZ29" s="95">
        <f t="shared" ca="1" si="40"/>
        <v>110.19230671543944</v>
      </c>
      <c r="GA29" s="95">
        <f t="shared" ca="1" si="40"/>
        <v>80.291370713852601</v>
      </c>
      <c r="GB29" s="95">
        <f t="shared" ca="1" si="40"/>
        <v>84.370894734088353</v>
      </c>
      <c r="GC29" s="95">
        <f t="shared" ca="1" si="40"/>
        <v>107.29645012678678</v>
      </c>
      <c r="GD29" s="95">
        <f t="shared" ca="1" si="40"/>
        <v>185.06392212189616</v>
      </c>
      <c r="GE29" s="95">
        <f t="shared" ca="1" si="40"/>
        <v>155.23913559322034</v>
      </c>
      <c r="GF29" s="95">
        <f t="shared" ca="1" si="40"/>
        <v>146.87713006597548</v>
      </c>
      <c r="GG29" s="95">
        <f t="shared" ca="1" si="40"/>
        <v>129.57851097178684</v>
      </c>
      <c r="GH29" s="95">
        <f t="shared" ca="1" si="41"/>
        <v>140.71879137412236</v>
      </c>
      <c r="GI29" s="95">
        <f t="shared" ca="1" si="41"/>
        <v>139.99573240329744</v>
      </c>
      <c r="GJ29" s="95">
        <f t="shared" ca="1" si="41"/>
        <v>94.8923796498906</v>
      </c>
      <c r="GK29" s="95">
        <f t="shared" ca="1" si="41"/>
        <v>59.311635000000003</v>
      </c>
      <c r="GL29" s="95">
        <f t="shared" ca="1" si="41"/>
        <v>0</v>
      </c>
      <c r="GM29" s="95">
        <f t="shared" ca="1" si="38"/>
        <v>0</v>
      </c>
      <c r="GN29" s="95">
        <f t="shared" ca="1" si="38"/>
        <v>0</v>
      </c>
      <c r="GO29" s="95">
        <f t="shared" ca="1" si="38"/>
        <v>0</v>
      </c>
      <c r="GP29" s="95">
        <f t="shared" ca="1" si="38"/>
        <v>0</v>
      </c>
      <c r="GQ29" s="95">
        <f t="shared" ca="1" si="38"/>
        <v>0</v>
      </c>
      <c r="GS29" s="7">
        <v>219.4370250314</v>
      </c>
      <c r="GT29" s="96">
        <f t="shared" ca="1" si="47"/>
        <v>290931.58271985542</v>
      </c>
      <c r="GU29" s="96">
        <f t="shared" ca="1" si="47"/>
        <v>523820.75569675531</v>
      </c>
      <c r="GV29" s="96">
        <f t="shared" ca="1" si="47"/>
        <v>719773.84974631993</v>
      </c>
      <c r="GW29" s="96">
        <f t="shared" ca="1" si="47"/>
        <v>275581.52394485893</v>
      </c>
      <c r="GX29" s="96">
        <f t="shared" ca="1" si="47"/>
        <v>392146.03276748856</v>
      </c>
      <c r="GY29" s="96">
        <f t="shared" ca="1" si="47"/>
        <v>420927.39297060692</v>
      </c>
      <c r="GZ29" s="96">
        <f t="shared" ca="1" si="47"/>
        <v>388788.20741045801</v>
      </c>
      <c r="HA29" s="96">
        <f t="shared" ca="1" si="47"/>
        <v>388308.51807373943</v>
      </c>
      <c r="HB29" s="96">
        <f t="shared" ca="1" si="47"/>
        <v>465538.50128544046</v>
      </c>
      <c r="HC29" s="96">
        <f t="shared" ca="1" si="47"/>
        <v>419968.01429716969</v>
      </c>
      <c r="HD29" s="96">
        <f t="shared" ca="1" si="47"/>
        <v>388842.40835564077</v>
      </c>
      <c r="HE29" s="96">
        <f t="shared" ca="1" si="47"/>
        <v>388403.53430557798</v>
      </c>
      <c r="HF29" s="96">
        <f t="shared" ca="1" si="47"/>
        <v>465645.36711663078</v>
      </c>
      <c r="HG29" s="96">
        <f t="shared" ca="1" si="47"/>
        <v>420002.46591009962</v>
      </c>
      <c r="HH29" s="96">
        <f t="shared" ca="1" si="47"/>
        <v>437557.42791261157</v>
      </c>
      <c r="HI29" s="96">
        <f t="shared" ca="1" si="47"/>
        <v>346052.18847451778</v>
      </c>
      <c r="HJ29" s="96">
        <f t="shared" ca="1" si="48"/>
        <v>401130.88175739918</v>
      </c>
      <c r="HK29" s="96">
        <f t="shared" ca="1" si="48"/>
        <v>438874.0500628</v>
      </c>
      <c r="HL29" s="96">
        <f t="shared" ca="1" si="48"/>
        <v>0</v>
      </c>
      <c r="HM29" s="96">
        <f t="shared" ca="1" si="48"/>
        <v>0</v>
      </c>
      <c r="HN29" s="96">
        <f t="shared" ca="1" si="48"/>
        <v>0</v>
      </c>
      <c r="HO29" s="96">
        <f t="shared" ca="1" si="48"/>
        <v>0</v>
      </c>
      <c r="HP29" s="96">
        <f t="shared" ca="1" si="48"/>
        <v>0</v>
      </c>
      <c r="HQ29" s="96">
        <f t="shared" ca="1" si="48"/>
        <v>0</v>
      </c>
      <c r="HS29" s="97">
        <f t="shared" ca="1" si="21"/>
        <v>256960.75631176939</v>
      </c>
    </row>
    <row r="30" spans="1:227" ht="17.25" thickTop="1" thickBot="1" x14ac:dyDescent="0.3">
      <c r="A30" s="102" t="s">
        <v>19</v>
      </c>
      <c r="B30" s="103" t="s">
        <v>375</v>
      </c>
      <c r="C30" s="73" t="s">
        <v>376</v>
      </c>
      <c r="D30" s="74" t="s">
        <v>0</v>
      </c>
      <c r="E30" s="74" t="s">
        <v>349</v>
      </c>
      <c r="F30" s="73"/>
      <c r="G30" s="75">
        <f t="shared" ca="1" si="68"/>
        <v>133</v>
      </c>
      <c r="H30" s="75">
        <v>133</v>
      </c>
      <c r="I30" s="75">
        <f t="shared" ca="1" si="69"/>
        <v>266</v>
      </c>
      <c r="J30" s="76">
        <f ca="1">[1]Parameters!$C$3+G30</f>
        <v>45964</v>
      </c>
      <c r="K30" s="77">
        <f t="shared" ca="1" si="23"/>
        <v>11</v>
      </c>
      <c r="L30" s="77">
        <f t="shared" ca="1" si="24"/>
        <v>2025</v>
      </c>
      <c r="M30" s="76">
        <f ca="1">[1]Parameters!$C$3+I30</f>
        <v>46097</v>
      </c>
      <c r="N30" s="77">
        <f t="shared" ca="1" si="25"/>
        <v>3</v>
      </c>
      <c r="O30" s="77">
        <f t="shared" ca="1" si="26"/>
        <v>2026</v>
      </c>
      <c r="P30" s="78">
        <v>0.98</v>
      </c>
      <c r="Q30" s="79" t="str">
        <f ca="1">VLOOKUP(A30,[1]ABC!A:G,7,0)</f>
        <v>A</v>
      </c>
      <c r="R30" s="80">
        <f t="shared" ca="1" si="9"/>
        <v>30.707685073691295</v>
      </c>
      <c r="S30" s="81">
        <v>63.28</v>
      </c>
      <c r="T30" s="82">
        <f t="shared" ca="1" si="10"/>
        <v>2600</v>
      </c>
      <c r="U30" s="83">
        <f ca="1">IF((ROUND(AVERAGE(BL30:BX30)*3/100,0)*100)&lt;T30,T30,ROUND(AVERAGE(BL30:BX30)*3/100,0)*100)</f>
        <v>15900</v>
      </c>
      <c r="V30" s="80">
        <v>2100</v>
      </c>
      <c r="W30" s="80">
        <f t="shared" ca="1" si="27"/>
        <v>16800</v>
      </c>
      <c r="X30" s="101" t="s">
        <v>350</v>
      </c>
      <c r="Y30" s="84">
        <v>7.46</v>
      </c>
      <c r="Z30" s="85">
        <v>9863</v>
      </c>
      <c r="AA30" s="85">
        <v>5762</v>
      </c>
      <c r="AB30" s="85">
        <v>4683</v>
      </c>
      <c r="AC30" s="85">
        <v>4561</v>
      </c>
      <c r="AD30" s="85">
        <v>4608</v>
      </c>
      <c r="AE30" s="85">
        <v>5700</v>
      </c>
      <c r="AF30" s="85">
        <v>6265</v>
      </c>
      <c r="AG30" s="85">
        <v>2447</v>
      </c>
      <c r="AH30" s="85">
        <v>4055</v>
      </c>
      <c r="AI30" s="75">
        <v>19890</v>
      </c>
      <c r="AJ30" s="75">
        <f t="shared" ca="1" si="56"/>
        <v>22410.753000000001</v>
      </c>
      <c r="AK30" s="75">
        <f t="shared" ca="1" si="56"/>
        <v>23049.434000000001</v>
      </c>
      <c r="AL30" s="75">
        <f t="shared" ca="1" si="56"/>
        <v>24368.633000000002</v>
      </c>
      <c r="AM30" s="75">
        <f t="shared" ca="1" si="56"/>
        <v>25600.392</v>
      </c>
      <c r="AN30" s="75">
        <f t="shared" ca="1" si="56"/>
        <v>23912.400999999998</v>
      </c>
      <c r="AO30" s="75">
        <f t="shared" ca="1" si="56"/>
        <v>21331.400999999998</v>
      </c>
      <c r="AP30" s="75">
        <f t="shared" ca="1" si="56"/>
        <v>18450.400999999998</v>
      </c>
      <c r="AQ30" s="75">
        <f t="shared" ca="1" si="56"/>
        <v>25982.400999999998</v>
      </c>
      <c r="AR30" s="75">
        <f t="shared" ca="1" si="56"/>
        <v>24294.400999999998</v>
      </c>
      <c r="AS30" s="75">
        <f t="shared" ca="1" si="56"/>
        <v>18799.400999999998</v>
      </c>
      <c r="AT30" s="75">
        <f t="shared" ca="1" si="56"/>
        <v>13647.400999999998</v>
      </c>
      <c r="AU30" s="75">
        <f t="shared" ca="1" si="56"/>
        <v>8135.400999999998</v>
      </c>
      <c r="AV30" s="75">
        <f t="shared" ca="1" si="56"/>
        <v>2623.400999999998</v>
      </c>
      <c r="AW30" s="75">
        <f t="shared" ca="1" si="56"/>
        <v>2623.400999999998</v>
      </c>
      <c r="AX30" s="75">
        <f t="shared" ca="1" si="56"/>
        <v>2623.400999999998</v>
      </c>
      <c r="AY30" s="75">
        <f t="shared" ca="1" si="54"/>
        <v>2623.400999999998</v>
      </c>
      <c r="AZ30" s="75">
        <f t="shared" ca="1" si="12"/>
        <v>2623.400999999998</v>
      </c>
      <c r="BA30" s="75">
        <f t="shared" ca="1" si="12"/>
        <v>2623.400999999998</v>
      </c>
      <c r="BB30" s="166"/>
      <c r="BC30" s="86">
        <v>9761.9500000000007</v>
      </c>
      <c r="BD30" s="86">
        <v>5732.92</v>
      </c>
      <c r="BE30" s="86">
        <v>5500</v>
      </c>
      <c r="BF30" s="86">
        <v>5500</v>
      </c>
      <c r="BG30" s="86">
        <v>3140.8721249999999</v>
      </c>
      <c r="BH30" s="86">
        <v>6542.6980000000003</v>
      </c>
      <c r="BI30" s="86">
        <v>7973.4349999999995</v>
      </c>
      <c r="BJ30" s="86">
        <v>3507.4369999999999</v>
      </c>
      <c r="BK30" s="86">
        <v>4215.701</v>
      </c>
      <c r="BL30" s="86">
        <v>5879.2470000000003</v>
      </c>
      <c r="BM30" s="86">
        <v>4681.3190000000004</v>
      </c>
      <c r="BN30" s="86">
        <v>4980.8010000000004</v>
      </c>
      <c r="BO30" s="86">
        <v>5068.241</v>
      </c>
      <c r="BP30" s="86">
        <v>5887.991</v>
      </c>
      <c r="BQ30" s="86">
        <v>4681</v>
      </c>
      <c r="BR30" s="86">
        <v>4981</v>
      </c>
      <c r="BS30" s="86">
        <v>5068</v>
      </c>
      <c r="BT30" s="86">
        <v>5888</v>
      </c>
      <c r="BU30" s="86">
        <v>5495</v>
      </c>
      <c r="BV30" s="86">
        <v>5152</v>
      </c>
      <c r="BW30" s="86">
        <f ca="1">VLOOKUP(A30,[3]Export!$B:$Q,16,0)</f>
        <v>5512</v>
      </c>
      <c r="BX30" s="86">
        <v>5512</v>
      </c>
      <c r="BY30" s="86">
        <v>0</v>
      </c>
      <c r="BZ30" s="86">
        <v>0</v>
      </c>
      <c r="CA30" s="86">
        <v>0</v>
      </c>
      <c r="CB30" s="86">
        <v>0</v>
      </c>
      <c r="CC30" s="86">
        <v>0</v>
      </c>
      <c r="CD30" s="86">
        <v>0</v>
      </c>
      <c r="CE30" s="86">
        <f t="shared" ca="1" si="28"/>
        <v>433.29596353259626</v>
      </c>
      <c r="CF30" s="87"/>
      <c r="CG30" s="86">
        <v>0</v>
      </c>
      <c r="CH30" s="86">
        <v>0</v>
      </c>
      <c r="CI30" s="86">
        <v>0</v>
      </c>
      <c r="CJ30" s="86">
        <v>0</v>
      </c>
      <c r="CK30" s="86">
        <v>0</v>
      </c>
      <c r="CL30" s="86">
        <v>0</v>
      </c>
      <c r="CM30" s="86">
        <v>0</v>
      </c>
      <c r="CN30" s="86">
        <v>0</v>
      </c>
      <c r="CO30" s="89">
        <v>8400</v>
      </c>
      <c r="CP30" s="89">
        <v>5320</v>
      </c>
      <c r="CQ30" s="89">
        <v>6300</v>
      </c>
      <c r="CR30" s="89">
        <v>6300</v>
      </c>
      <c r="CS30" s="89">
        <v>4200</v>
      </c>
      <c r="CT30" s="89">
        <v>2100</v>
      </c>
      <c r="CU30" s="90">
        <v>2100</v>
      </c>
      <c r="CV30" s="90">
        <f ca="1">6300*2</f>
        <v>12600</v>
      </c>
      <c r="CW30" s="86">
        <f ca="1">2100*2</f>
        <v>4200</v>
      </c>
      <c r="CX30" s="90">
        <v>0</v>
      </c>
      <c r="CY30" s="90">
        <v>0</v>
      </c>
      <c r="CZ30" s="90">
        <v>0</v>
      </c>
      <c r="DA30" s="90">
        <v>0</v>
      </c>
      <c r="DB30" s="90">
        <v>0</v>
      </c>
      <c r="DC30" s="90">
        <v>0</v>
      </c>
      <c r="DD30" s="90">
        <v>0</v>
      </c>
      <c r="DE30" s="90">
        <v>0</v>
      </c>
      <c r="DF30" s="90">
        <v>0</v>
      </c>
      <c r="DG30" s="86">
        <v>0</v>
      </c>
      <c r="DI30" s="91">
        <f ca="1">VLOOKUP(A30,'[2]2-Relatório'!$A:$J,9,0)</f>
        <v>64.17</v>
      </c>
      <c r="DJ30" s="92">
        <f t="shared" ca="1" si="60"/>
        <v>300508.11</v>
      </c>
      <c r="DK30" s="92">
        <f t="shared" ca="1" si="60"/>
        <v>292679.37</v>
      </c>
      <c r="DL30" s="92">
        <f t="shared" ca="1" si="60"/>
        <v>295695.35999999999</v>
      </c>
      <c r="DM30" s="92">
        <f t="shared" ca="1" si="60"/>
        <v>365769</v>
      </c>
      <c r="DN30" s="92">
        <f t="shared" ca="1" si="60"/>
        <v>402025.05</v>
      </c>
      <c r="DO30" s="92">
        <f t="shared" ca="1" si="60"/>
        <v>157023.99</v>
      </c>
      <c r="DP30" s="92">
        <f t="shared" ca="1" si="60"/>
        <v>260209.35</v>
      </c>
      <c r="DQ30" s="92">
        <f t="shared" ca="1" si="60"/>
        <v>1276341.3</v>
      </c>
      <c r="DR30" s="92">
        <f t="shared" ca="1" si="45"/>
        <v>1438098.0200100001</v>
      </c>
      <c r="DS30" s="92">
        <f t="shared" ca="1" si="45"/>
        <v>1479082.1797800001</v>
      </c>
      <c r="DT30" s="92">
        <f t="shared" ca="1" si="45"/>
        <v>1563735.1796100002</v>
      </c>
      <c r="DU30" s="92">
        <f t="shared" ca="1" si="45"/>
        <v>1642777.1546400001</v>
      </c>
      <c r="DV30" s="92">
        <f t="shared" ca="1" si="45"/>
        <v>1534458.77217</v>
      </c>
      <c r="DW30" s="92">
        <f t="shared" ca="1" si="45"/>
        <v>1368836.00217</v>
      </c>
      <c r="DX30" s="92">
        <f t="shared" ca="1" si="45"/>
        <v>1183962.23217</v>
      </c>
      <c r="DY30" s="92">
        <f t="shared" ca="1" si="45"/>
        <v>1667290.6721699999</v>
      </c>
      <c r="DZ30" s="92">
        <f t="shared" ca="1" si="45"/>
        <v>1558971.71217</v>
      </c>
      <c r="EA30" s="92">
        <f t="shared" ca="1" si="45"/>
        <v>1206357.5621699998</v>
      </c>
      <c r="EB30" s="92">
        <f t="shared" ca="1" si="45"/>
        <v>875753.72216999985</v>
      </c>
      <c r="EC30" s="92">
        <f t="shared" ca="1" si="45"/>
        <v>522048.68216999987</v>
      </c>
      <c r="ED30" s="92">
        <f t="shared" ca="1" si="45"/>
        <v>168343.64216999989</v>
      </c>
      <c r="EE30" s="92">
        <f t="shared" ca="1" si="45"/>
        <v>168343.64216999989</v>
      </c>
      <c r="EF30" s="92">
        <f t="shared" ca="1" si="45"/>
        <v>168343.64216999989</v>
      </c>
      <c r="EG30" s="92">
        <f t="shared" ca="1" si="45"/>
        <v>168343.64216999989</v>
      </c>
      <c r="EH30" s="92">
        <f t="shared" ca="1" si="46"/>
        <v>168343.64216999989</v>
      </c>
      <c r="EI30" s="92">
        <f t="shared" ca="1" si="46"/>
        <v>168343.64216999989</v>
      </c>
      <c r="EL30" s="93">
        <f t="shared" ca="1" si="57"/>
        <v>617736.19600000011</v>
      </c>
      <c r="EM30" s="93">
        <f t="shared" ca="1" si="57"/>
        <v>362779.1776</v>
      </c>
      <c r="EN30" s="92">
        <f t="shared" ca="1" si="61"/>
        <v>352935</v>
      </c>
      <c r="EO30" s="92">
        <f t="shared" ca="1" si="61"/>
        <v>352935</v>
      </c>
      <c r="EP30" s="92">
        <f t="shared" ca="1" si="61"/>
        <v>201549.76426125001</v>
      </c>
      <c r="EQ30" s="92">
        <f t="shared" ca="1" si="61"/>
        <v>419844.93066000001</v>
      </c>
      <c r="ER30" s="92">
        <f t="shared" ca="1" si="61"/>
        <v>511655.32394999999</v>
      </c>
      <c r="ES30" s="92">
        <f t="shared" ca="1" si="61"/>
        <v>225072.23228999999</v>
      </c>
      <c r="ET30" s="92">
        <f t="shared" ca="1" si="61"/>
        <v>270521.53317000001</v>
      </c>
      <c r="EU30" s="92">
        <f t="shared" ca="1" si="61"/>
        <v>377271.27999000001</v>
      </c>
      <c r="EV30" s="92">
        <f t="shared" ca="1" si="61"/>
        <v>300400.24023000005</v>
      </c>
      <c r="EW30" s="92">
        <f t="shared" ca="1" si="61"/>
        <v>319618.00017000001</v>
      </c>
      <c r="EX30" s="92">
        <f t="shared" ca="1" si="61"/>
        <v>325229.02497000003</v>
      </c>
      <c r="EY30" s="92">
        <f t="shared" ca="1" si="61"/>
        <v>377832.38247000001</v>
      </c>
      <c r="EZ30" s="92">
        <f t="shared" ca="1" si="61"/>
        <v>300379.77</v>
      </c>
      <c r="FA30" s="92">
        <f t="shared" ca="1" si="61"/>
        <v>319630.77</v>
      </c>
      <c r="FB30" s="92">
        <f t="shared" ca="1" si="61"/>
        <v>325213.56</v>
      </c>
      <c r="FC30" s="92">
        <f t="shared" ca="1" si="61"/>
        <v>377832.96000000002</v>
      </c>
      <c r="FD30" s="92">
        <f t="shared" ca="1" si="58"/>
        <v>352614.15</v>
      </c>
      <c r="FE30" s="92">
        <f t="shared" ca="1" si="58"/>
        <v>330603.84000000003</v>
      </c>
      <c r="FF30" s="92">
        <f t="shared" ca="1" si="58"/>
        <v>353705.04000000004</v>
      </c>
      <c r="FG30" s="92">
        <f t="shared" ca="1" si="58"/>
        <v>353705.04000000004</v>
      </c>
      <c r="FH30" s="92">
        <f t="shared" ca="1" si="55"/>
        <v>0</v>
      </c>
      <c r="FI30" s="92">
        <f t="shared" ca="1" si="55"/>
        <v>0</v>
      </c>
      <c r="FJ30" s="92">
        <f t="shared" ca="1" si="55"/>
        <v>0</v>
      </c>
      <c r="FK30" s="92">
        <f t="shared" ca="1" si="55"/>
        <v>0</v>
      </c>
      <c r="FL30" s="92">
        <f t="shared" ca="1" si="55"/>
        <v>0</v>
      </c>
      <c r="FM30" s="92">
        <f t="shared" ca="1" si="55"/>
        <v>0</v>
      </c>
      <c r="FN30" s="94">
        <f t="shared" ca="1" si="70"/>
        <v>34720</v>
      </c>
      <c r="FO30" s="94">
        <f t="shared" ca="1" si="71"/>
        <v>16800</v>
      </c>
      <c r="FP30" s="95">
        <f t="shared" ca="1" si="59"/>
        <v>30.3105424633398</v>
      </c>
      <c r="FQ30" s="95">
        <f t="shared" ca="1" si="59"/>
        <v>30.152173761364192</v>
      </c>
      <c r="FR30" s="95">
        <f t="shared" ca="1" si="40"/>
        <v>25.543636363636363</v>
      </c>
      <c r="FS30" s="95">
        <f t="shared" ca="1" si="40"/>
        <v>24.878181818181819</v>
      </c>
      <c r="FT30" s="95">
        <f t="shared" ca="1" si="40"/>
        <v>44.013253166109081</v>
      </c>
      <c r="FU30" s="95">
        <f t="shared" ca="1" si="40"/>
        <v>26.136006888901182</v>
      </c>
      <c r="FV30" s="95">
        <f t="shared" ca="1" si="40"/>
        <v>23.572023851702557</v>
      </c>
      <c r="FW30" s="95">
        <f t="shared" ca="1" si="40"/>
        <v>20.929812851948586</v>
      </c>
      <c r="FX30" s="95">
        <f t="shared" ca="1" si="40"/>
        <v>28.856410831792861</v>
      </c>
      <c r="FY30" s="95">
        <f t="shared" ca="1" si="40"/>
        <v>101.49258910197173</v>
      </c>
      <c r="FZ30" s="95">
        <f t="shared" ca="1" si="40"/>
        <v>143.61819606824486</v>
      </c>
      <c r="GA30" s="95">
        <f t="shared" ca="1" si="40"/>
        <v>138.82968221376441</v>
      </c>
      <c r="GB30" s="95">
        <f t="shared" ca="1" si="40"/>
        <v>144.24313879312371</v>
      </c>
      <c r="GC30" s="95">
        <f t="shared" ca="1" si="40"/>
        <v>130.43697926848054</v>
      </c>
      <c r="GD30" s="95">
        <f t="shared" ca="1" si="40"/>
        <v>153.2518756675924</v>
      </c>
      <c r="GE30" s="95">
        <f t="shared" ca="1" si="40"/>
        <v>128.47661714515158</v>
      </c>
      <c r="GF30" s="95">
        <f t="shared" ca="1" si="40"/>
        <v>109.2170540647198</v>
      </c>
      <c r="GG30" s="95">
        <f t="shared" ca="1" si="40"/>
        <v>132.38315726902172</v>
      </c>
      <c r="GH30" s="95">
        <f t="shared" ca="1" si="41"/>
        <v>132.63549226569609</v>
      </c>
      <c r="GI30" s="95">
        <f t="shared" ca="1" si="41"/>
        <v>109.46856172360246</v>
      </c>
      <c r="GJ30" s="95">
        <f t="shared" ca="1" si="41"/>
        <v>74.278307329462976</v>
      </c>
      <c r="GK30" s="95">
        <f t="shared" ca="1" si="41"/>
        <v>44.278307329462969</v>
      </c>
      <c r="GL30" s="95">
        <f t="shared" ca="1" si="41"/>
        <v>0</v>
      </c>
      <c r="GM30" s="95">
        <f t="shared" ca="1" si="41"/>
        <v>0</v>
      </c>
      <c r="GN30" s="95">
        <f t="shared" ca="1" si="41"/>
        <v>0</v>
      </c>
      <c r="GO30" s="95">
        <f t="shared" ca="1" si="41"/>
        <v>0</v>
      </c>
      <c r="GP30" s="95">
        <f t="shared" ca="1" si="41"/>
        <v>0</v>
      </c>
      <c r="GQ30" s="95">
        <f t="shared" ca="1" si="41"/>
        <v>0</v>
      </c>
      <c r="GS30" s="7">
        <v>200.80271146613333</v>
      </c>
      <c r="GT30" s="96">
        <f t="shared" ca="1" si="47"/>
        <v>630695.63906839606</v>
      </c>
      <c r="GU30" s="96">
        <f t="shared" ca="1" si="47"/>
        <v>1313791.4987040476</v>
      </c>
      <c r="GV30" s="96">
        <f t="shared" ca="1" si="47"/>
        <v>1601087.3676989686</v>
      </c>
      <c r="GW30" s="96">
        <f t="shared" ca="1" si="47"/>
        <v>704302.85989664029</v>
      </c>
      <c r="GX30" s="96">
        <f t="shared" ca="1" si="47"/>
        <v>846524.19153048971</v>
      </c>
      <c r="GY30" s="96">
        <f t="shared" ca="1" si="47"/>
        <v>1180568.7389791301</v>
      </c>
      <c r="GZ30" s="96">
        <f t="shared" ca="1" si="47"/>
        <v>940021.54843792785</v>
      </c>
      <c r="HA30" s="96">
        <f t="shared" ca="1" si="47"/>
        <v>1000158.3460732284</v>
      </c>
      <c r="HB30" s="96">
        <f t="shared" ca="1" si="47"/>
        <v>1017716.535163827</v>
      </c>
      <c r="HC30" s="96">
        <f t="shared" ca="1" si="47"/>
        <v>1182324.5578881898</v>
      </c>
      <c r="HD30" s="96">
        <f t="shared" ca="1" si="47"/>
        <v>939957.4923729701</v>
      </c>
      <c r="HE30" s="96">
        <f t="shared" ca="1" si="47"/>
        <v>1000198.3058128101</v>
      </c>
      <c r="HF30" s="96">
        <f t="shared" ca="1" si="47"/>
        <v>1017668.1417103637</v>
      </c>
      <c r="HG30" s="96">
        <f t="shared" ca="1" si="47"/>
        <v>1182326.3651125932</v>
      </c>
      <c r="HH30" s="96">
        <f t="shared" ca="1" si="47"/>
        <v>1103410.8995064027</v>
      </c>
      <c r="HI30" s="96">
        <f t="shared" ca="1" si="47"/>
        <v>1034535.5694735189</v>
      </c>
      <c r="HJ30" s="96">
        <f t="shared" ca="1" si="48"/>
        <v>1106824.545601327</v>
      </c>
      <c r="HK30" s="96">
        <f t="shared" ca="1" si="48"/>
        <v>1106824.545601327</v>
      </c>
      <c r="HL30" s="96">
        <f t="shared" ca="1" si="48"/>
        <v>0</v>
      </c>
      <c r="HM30" s="96">
        <f t="shared" ca="1" si="48"/>
        <v>0</v>
      </c>
      <c r="HN30" s="96">
        <f t="shared" ca="1" si="48"/>
        <v>0</v>
      </c>
      <c r="HO30" s="96">
        <f t="shared" ca="1" si="48"/>
        <v>0</v>
      </c>
      <c r="HP30" s="96">
        <f t="shared" ca="1" si="48"/>
        <v>0</v>
      </c>
      <c r="HQ30" s="96">
        <f t="shared" ca="1" si="48"/>
        <v>0</v>
      </c>
      <c r="HS30" s="97">
        <f t="shared" ca="1" si="21"/>
        <v>925298.89443594241</v>
      </c>
    </row>
    <row r="31" spans="1:227" ht="17.25" thickTop="1" thickBot="1" x14ac:dyDescent="0.3">
      <c r="A31" s="16" t="s">
        <v>58</v>
      </c>
      <c r="B31" s="73" t="s">
        <v>377</v>
      </c>
      <c r="C31" s="73" t="s">
        <v>378</v>
      </c>
      <c r="D31" s="74" t="s">
        <v>0</v>
      </c>
      <c r="E31" s="74" t="s">
        <v>349</v>
      </c>
      <c r="F31" s="73"/>
      <c r="G31" s="75">
        <f t="shared" ca="1" si="68"/>
        <v>133</v>
      </c>
      <c r="H31" s="75">
        <v>133</v>
      </c>
      <c r="I31" s="75">
        <f t="shared" ca="1" si="69"/>
        <v>266</v>
      </c>
      <c r="J31" s="76">
        <f ca="1">[1]Parameters!$C$3+G31</f>
        <v>45964</v>
      </c>
      <c r="K31" s="77">
        <f t="shared" ca="1" si="23"/>
        <v>11</v>
      </c>
      <c r="L31" s="77">
        <f t="shared" ca="1" si="24"/>
        <v>2025</v>
      </c>
      <c r="M31" s="76">
        <f ca="1">[1]Parameters!$C$3+I31</f>
        <v>46097</v>
      </c>
      <c r="N31" s="77">
        <f t="shared" ca="1" si="25"/>
        <v>3</v>
      </c>
      <c r="O31" s="77">
        <f t="shared" ca="1" si="26"/>
        <v>2026</v>
      </c>
      <c r="P31" s="78">
        <v>0.95</v>
      </c>
      <c r="Q31" s="79" t="str">
        <f ca="1">VLOOKUP(A31,[1]ABC!A:G,7,0)</f>
        <v>B</v>
      </c>
      <c r="R31" s="80">
        <f t="shared" ca="1" si="9"/>
        <v>43.831109385415367</v>
      </c>
      <c r="S31" s="81">
        <v>45.5</v>
      </c>
      <c r="T31" s="82">
        <f t="shared" ca="1" si="10"/>
        <v>2000</v>
      </c>
      <c r="U31" s="83">
        <f ca="1">IF((ROUND(AVERAGE(BI31:BR31)*2/100,0)*100)&lt;T31,T31,ROUND(AVERAGE(BI31:BR31)*2/100,0)*100)</f>
        <v>2100</v>
      </c>
      <c r="V31" s="80">
        <v>3000</v>
      </c>
      <c r="W31" s="80">
        <f t="shared" ca="1" si="27"/>
        <v>3000</v>
      </c>
      <c r="X31" s="80"/>
      <c r="Y31" s="84">
        <v>6.72</v>
      </c>
      <c r="Z31" s="85">
        <v>1833</v>
      </c>
      <c r="AA31" s="85">
        <v>1893</v>
      </c>
      <c r="AB31" s="85">
        <v>1234</v>
      </c>
      <c r="AC31" s="85">
        <v>2268</v>
      </c>
      <c r="AD31" s="85">
        <v>1265</v>
      </c>
      <c r="AE31" s="85">
        <v>1379</v>
      </c>
      <c r="AF31" s="85">
        <v>1176</v>
      </c>
      <c r="AG31" s="85">
        <v>111</v>
      </c>
      <c r="AH31" s="85">
        <v>28</v>
      </c>
      <c r="AI31" s="75">
        <v>0</v>
      </c>
      <c r="AJ31" s="75">
        <f t="shared" ca="1" si="56"/>
        <v>0</v>
      </c>
      <c r="AK31" s="75">
        <f t="shared" ca="1" si="56"/>
        <v>282</v>
      </c>
      <c r="AL31" s="75">
        <f t="shared" ca="1" si="56"/>
        <v>5455</v>
      </c>
      <c r="AM31" s="75">
        <f t="shared" ca="1" si="56"/>
        <v>7831</v>
      </c>
      <c r="AN31" s="75">
        <f t="shared" ca="1" si="56"/>
        <v>6331</v>
      </c>
      <c r="AO31" s="75">
        <f t="shared" ca="1" si="56"/>
        <v>7831</v>
      </c>
      <c r="AP31" s="75">
        <f t="shared" ca="1" si="56"/>
        <v>9331</v>
      </c>
      <c r="AQ31" s="75">
        <f t="shared" ca="1" si="56"/>
        <v>10831</v>
      </c>
      <c r="AR31" s="75">
        <f t="shared" ca="1" si="56"/>
        <v>9331</v>
      </c>
      <c r="AS31" s="75">
        <f t="shared" ca="1" si="56"/>
        <v>7381</v>
      </c>
      <c r="AT31" s="75">
        <f t="shared" ca="1" si="56"/>
        <v>6331</v>
      </c>
      <c r="AU31" s="75">
        <f t="shared" ca="1" si="56"/>
        <v>4831</v>
      </c>
      <c r="AV31" s="75">
        <f t="shared" ca="1" si="56"/>
        <v>3331</v>
      </c>
      <c r="AW31" s="75">
        <f t="shared" ca="1" si="56"/>
        <v>3331</v>
      </c>
      <c r="AX31" s="75">
        <f t="shared" ca="1" si="56"/>
        <v>3331</v>
      </c>
      <c r="AY31" s="75">
        <f t="shared" ca="1" si="54"/>
        <v>3331</v>
      </c>
      <c r="AZ31" s="75">
        <f t="shared" ca="1" si="12"/>
        <v>3331</v>
      </c>
      <c r="BA31" s="75">
        <f t="shared" ca="1" si="12"/>
        <v>3331</v>
      </c>
      <c r="BB31" s="166"/>
      <c r="BC31" s="86">
        <v>1834.98</v>
      </c>
      <c r="BD31" s="86">
        <v>1889.98</v>
      </c>
      <c r="BE31" s="86">
        <v>743.92361111111097</v>
      </c>
      <c r="BF31" s="86">
        <v>743.92361111111097</v>
      </c>
      <c r="BG31" s="86">
        <v>853</v>
      </c>
      <c r="BH31" s="86">
        <v>192</v>
      </c>
      <c r="BI31" s="86">
        <v>1980</v>
      </c>
      <c r="BJ31" s="86">
        <v>129</v>
      </c>
      <c r="BK31" s="86">
        <v>672</v>
      </c>
      <c r="BL31" s="86">
        <v>809</v>
      </c>
      <c r="BM31" s="86">
        <v>818</v>
      </c>
      <c r="BN31" s="86">
        <v>827</v>
      </c>
      <c r="BO31" s="86">
        <v>624</v>
      </c>
      <c r="BP31" s="86">
        <v>1500</v>
      </c>
      <c r="BQ31" s="86">
        <v>1500</v>
      </c>
      <c r="BR31" s="86">
        <v>1500</v>
      </c>
      <c r="BS31" s="86">
        <v>1500</v>
      </c>
      <c r="BT31" s="86">
        <v>1500</v>
      </c>
      <c r="BU31" s="86">
        <v>1950</v>
      </c>
      <c r="BV31" s="86">
        <v>1050</v>
      </c>
      <c r="BW31" s="86">
        <f ca="1">VLOOKUP(A31,[3]Export!$B:$Q,16,0)</f>
        <v>1500</v>
      </c>
      <c r="BX31" s="86">
        <v>1500</v>
      </c>
      <c r="BY31" s="86">
        <v>0</v>
      </c>
      <c r="BZ31" s="86">
        <v>0</v>
      </c>
      <c r="CA31" s="86">
        <v>0</v>
      </c>
      <c r="CB31" s="86">
        <v>0</v>
      </c>
      <c r="CC31" s="86">
        <v>0</v>
      </c>
      <c r="CD31" s="86">
        <v>0</v>
      </c>
      <c r="CE31" s="86">
        <f t="shared" ca="1" si="28"/>
        <v>399.0754218286217</v>
      </c>
      <c r="CF31" s="87"/>
      <c r="CG31" s="86">
        <v>0</v>
      </c>
      <c r="CH31" s="86">
        <v>0</v>
      </c>
      <c r="CI31" s="86">
        <v>0</v>
      </c>
      <c r="CJ31" s="86">
        <v>0</v>
      </c>
      <c r="CK31" s="86">
        <v>0</v>
      </c>
      <c r="CL31" s="86">
        <v>0</v>
      </c>
      <c r="CM31" s="86">
        <v>0</v>
      </c>
      <c r="CN31" s="86">
        <v>0</v>
      </c>
      <c r="CO31" s="86">
        <v>0</v>
      </c>
      <c r="CP31" s="86">
        <v>1100</v>
      </c>
      <c r="CQ31" s="89">
        <v>6000</v>
      </c>
      <c r="CR31" s="86">
        <v>3000</v>
      </c>
      <c r="CS31" s="86">
        <v>0</v>
      </c>
      <c r="CT31" s="86">
        <v>3000</v>
      </c>
      <c r="CU31" s="90">
        <v>3000</v>
      </c>
      <c r="CV31" s="90">
        <v>3000</v>
      </c>
      <c r="CW31" s="86">
        <v>0</v>
      </c>
      <c r="CX31" s="90">
        <v>0</v>
      </c>
      <c r="CY31" s="90">
        <v>0</v>
      </c>
      <c r="CZ31" s="90">
        <v>0</v>
      </c>
      <c r="DA31" s="90">
        <v>0</v>
      </c>
      <c r="DB31" s="90">
        <v>0</v>
      </c>
      <c r="DC31" s="90">
        <v>0</v>
      </c>
      <c r="DD31" s="90">
        <v>0</v>
      </c>
      <c r="DE31" s="90">
        <v>0</v>
      </c>
      <c r="DF31" s="90">
        <v>0</v>
      </c>
      <c r="DG31" s="86">
        <v>0</v>
      </c>
      <c r="DI31" s="91">
        <f ca="1">VLOOKUP(A31,'[2]2-Relatório'!$A:$J,9,0)</f>
        <v>61.07</v>
      </c>
      <c r="DJ31" s="92">
        <f t="shared" ca="1" si="60"/>
        <v>75360.38</v>
      </c>
      <c r="DK31" s="92">
        <f t="shared" ca="1" si="60"/>
        <v>138506.76</v>
      </c>
      <c r="DL31" s="92">
        <f t="shared" ca="1" si="60"/>
        <v>77253.55</v>
      </c>
      <c r="DM31" s="92">
        <f t="shared" ca="1" si="60"/>
        <v>84215.53</v>
      </c>
      <c r="DN31" s="92">
        <f t="shared" ca="1" si="60"/>
        <v>71818.320000000007</v>
      </c>
      <c r="DO31" s="92">
        <f t="shared" ca="1" si="60"/>
        <v>6778.77</v>
      </c>
      <c r="DP31" s="92">
        <f t="shared" ca="1" si="60"/>
        <v>1709.96</v>
      </c>
      <c r="DQ31" s="92">
        <f t="shared" ca="1" si="60"/>
        <v>0</v>
      </c>
      <c r="DR31" s="92">
        <f t="shared" ca="1" si="45"/>
        <v>0</v>
      </c>
      <c r="DS31" s="92">
        <f t="shared" ca="1" si="45"/>
        <v>17221.740000000002</v>
      </c>
      <c r="DT31" s="92">
        <f t="shared" ca="1" si="45"/>
        <v>333136.84999999998</v>
      </c>
      <c r="DU31" s="92">
        <f t="shared" ca="1" si="45"/>
        <v>478239.17</v>
      </c>
      <c r="DV31" s="92">
        <f t="shared" ca="1" si="45"/>
        <v>386634.17</v>
      </c>
      <c r="DW31" s="92">
        <f t="shared" ca="1" si="45"/>
        <v>478239.17</v>
      </c>
      <c r="DX31" s="92">
        <f t="shared" ca="1" si="45"/>
        <v>569844.17000000004</v>
      </c>
      <c r="DY31" s="92">
        <f t="shared" ca="1" si="45"/>
        <v>661449.17000000004</v>
      </c>
      <c r="DZ31" s="92">
        <f t="shared" ca="1" si="45"/>
        <v>569844.17000000004</v>
      </c>
      <c r="EA31" s="92">
        <f t="shared" ca="1" si="45"/>
        <v>450757.67</v>
      </c>
      <c r="EB31" s="92">
        <f t="shared" ca="1" si="45"/>
        <v>386634.17</v>
      </c>
      <c r="EC31" s="92">
        <f t="shared" ca="1" si="45"/>
        <v>295029.17</v>
      </c>
      <c r="ED31" s="92">
        <f t="shared" ca="1" si="45"/>
        <v>203424.17</v>
      </c>
      <c r="EE31" s="92">
        <f t="shared" ca="1" si="45"/>
        <v>203424.17</v>
      </c>
      <c r="EF31" s="92">
        <f t="shared" ca="1" si="45"/>
        <v>203424.17</v>
      </c>
      <c r="EG31" s="92">
        <f t="shared" ca="1" si="45"/>
        <v>203424.17</v>
      </c>
      <c r="EH31" s="92">
        <f t="shared" ca="1" si="46"/>
        <v>203424.17</v>
      </c>
      <c r="EI31" s="92">
        <f t="shared" ca="1" si="46"/>
        <v>203424.17</v>
      </c>
      <c r="EL31" s="93">
        <f t="shared" ca="1" si="57"/>
        <v>83491.59</v>
      </c>
      <c r="EM31" s="93">
        <f t="shared" ca="1" si="57"/>
        <v>85994.09</v>
      </c>
      <c r="EN31" s="92">
        <f t="shared" ca="1" si="61"/>
        <v>45431.414930555547</v>
      </c>
      <c r="EO31" s="92">
        <f t="shared" ca="1" si="61"/>
        <v>45431.414930555547</v>
      </c>
      <c r="EP31" s="92">
        <f t="shared" ca="1" si="61"/>
        <v>52092.71</v>
      </c>
      <c r="EQ31" s="92">
        <f t="shared" ca="1" si="61"/>
        <v>11725.44</v>
      </c>
      <c r="ER31" s="92">
        <f t="shared" ca="1" si="61"/>
        <v>120918.6</v>
      </c>
      <c r="ES31" s="92">
        <f t="shared" ca="1" si="61"/>
        <v>7878.03</v>
      </c>
      <c r="ET31" s="92">
        <f t="shared" ca="1" si="61"/>
        <v>41039.040000000001</v>
      </c>
      <c r="EU31" s="92">
        <f t="shared" ca="1" si="61"/>
        <v>49405.63</v>
      </c>
      <c r="EV31" s="92">
        <f t="shared" ca="1" si="61"/>
        <v>49955.26</v>
      </c>
      <c r="EW31" s="92">
        <f t="shared" ca="1" si="61"/>
        <v>50504.89</v>
      </c>
      <c r="EX31" s="92">
        <f t="shared" ca="1" si="61"/>
        <v>38107.68</v>
      </c>
      <c r="EY31" s="92">
        <f t="shared" ca="1" si="61"/>
        <v>91605</v>
      </c>
      <c r="EZ31" s="92">
        <f t="shared" ca="1" si="61"/>
        <v>91605</v>
      </c>
      <c r="FA31" s="92">
        <f t="shared" ca="1" si="61"/>
        <v>91605</v>
      </c>
      <c r="FB31" s="92">
        <f t="shared" ca="1" si="61"/>
        <v>91605</v>
      </c>
      <c r="FC31" s="92">
        <f t="shared" ca="1" si="61"/>
        <v>91605</v>
      </c>
      <c r="FD31" s="92">
        <f t="shared" ca="1" si="58"/>
        <v>119086.5</v>
      </c>
      <c r="FE31" s="92">
        <f t="shared" ca="1" si="58"/>
        <v>64123.5</v>
      </c>
      <c r="FF31" s="92">
        <f t="shared" ca="1" si="58"/>
        <v>91605</v>
      </c>
      <c r="FG31" s="92">
        <f t="shared" ca="1" si="58"/>
        <v>91605</v>
      </c>
      <c r="FH31" s="92">
        <f t="shared" ca="1" si="55"/>
        <v>0</v>
      </c>
      <c r="FI31" s="92">
        <f t="shared" ca="1" si="55"/>
        <v>0</v>
      </c>
      <c r="FJ31" s="92">
        <f t="shared" ca="1" si="55"/>
        <v>0</v>
      </c>
      <c r="FK31" s="92">
        <f t="shared" ca="1" si="55"/>
        <v>0</v>
      </c>
      <c r="FL31" s="92">
        <f t="shared" ca="1" si="55"/>
        <v>0</v>
      </c>
      <c r="FM31" s="92">
        <f t="shared" ca="1" si="55"/>
        <v>0</v>
      </c>
      <c r="FN31" s="94">
        <f t="shared" ca="1" si="70"/>
        <v>16100</v>
      </c>
      <c r="FO31" s="94">
        <f t="shared" ca="1" si="71"/>
        <v>3000</v>
      </c>
      <c r="FP31" s="95">
        <f t="shared" ca="1" si="59"/>
        <v>29.967629074976294</v>
      </c>
      <c r="FQ31" s="95">
        <f t="shared" ca="1" si="59"/>
        <v>30.047937015206507</v>
      </c>
      <c r="FR31" s="95">
        <f t="shared" ref="FR31:GG46" ca="1" si="72">IFERROR((DJ31/EN31)*30,0)</f>
        <v>49.763173862310396</v>
      </c>
      <c r="FS31" s="95">
        <f t="shared" ca="1" si="72"/>
        <v>91.461003500583459</v>
      </c>
      <c r="FT31" s="95">
        <f t="shared" ca="1" si="72"/>
        <v>44.490035169988275</v>
      </c>
      <c r="FU31" s="95">
        <f t="shared" ca="1" si="72"/>
        <v>215.46874999999997</v>
      </c>
      <c r="FV31" s="95">
        <f t="shared" ca="1" si="72"/>
        <v>17.81818181818182</v>
      </c>
      <c r="FW31" s="95">
        <f t="shared" ca="1" si="72"/>
        <v>25.813953488372096</v>
      </c>
      <c r="FX31" s="95">
        <f t="shared" ca="1" si="72"/>
        <v>1.25</v>
      </c>
      <c r="FY31" s="95">
        <f t="shared" ca="1" si="72"/>
        <v>0</v>
      </c>
      <c r="FZ31" s="95">
        <f t="shared" ca="1" si="72"/>
        <v>0</v>
      </c>
      <c r="GA31" s="95">
        <f t="shared" ca="1" si="72"/>
        <v>10.229746070133013</v>
      </c>
      <c r="GB31" s="95">
        <f t="shared" ca="1" si="72"/>
        <v>262.25961538461536</v>
      </c>
      <c r="GC31" s="95">
        <f t="shared" ca="1" si="72"/>
        <v>156.62</v>
      </c>
      <c r="GD31" s="95">
        <f t="shared" ca="1" si="72"/>
        <v>126.61999999999999</v>
      </c>
      <c r="GE31" s="95">
        <f t="shared" ca="1" si="72"/>
        <v>156.62</v>
      </c>
      <c r="GF31" s="95">
        <f t="shared" ca="1" si="72"/>
        <v>186.62</v>
      </c>
      <c r="GG31" s="95">
        <f t="shared" ca="1" si="72"/>
        <v>216.62</v>
      </c>
      <c r="GH31" s="95">
        <f t="shared" ca="1" si="41"/>
        <v>143.55384615384617</v>
      </c>
      <c r="GI31" s="95">
        <f t="shared" ca="1" si="41"/>
        <v>210.88571428571427</v>
      </c>
      <c r="GJ31" s="95">
        <f t="shared" ca="1" si="41"/>
        <v>126.61999999999999</v>
      </c>
      <c r="GK31" s="95">
        <f t="shared" ca="1" si="41"/>
        <v>96.61999999999999</v>
      </c>
      <c r="GL31" s="95">
        <f t="shared" ca="1" si="41"/>
        <v>0</v>
      </c>
      <c r="GM31" s="95">
        <f t="shared" ca="1" si="41"/>
        <v>0</v>
      </c>
      <c r="GN31" s="95">
        <f t="shared" ca="1" si="41"/>
        <v>0</v>
      </c>
      <c r="GO31" s="95">
        <f t="shared" ca="1" si="41"/>
        <v>0</v>
      </c>
      <c r="GP31" s="95">
        <f t="shared" ca="1" si="41"/>
        <v>0</v>
      </c>
      <c r="GQ31" s="95">
        <f t="shared" ca="1" si="41"/>
        <v>0</v>
      </c>
      <c r="GS31" s="7">
        <v>179.36714868636668</v>
      </c>
      <c r="GT31" s="96">
        <f t="shared" ca="1" si="47"/>
        <v>153000.17782947078</v>
      </c>
      <c r="GU31" s="96">
        <f t="shared" ca="1" si="47"/>
        <v>34438.4925477824</v>
      </c>
      <c r="GV31" s="96">
        <f t="shared" ca="1" si="47"/>
        <v>355146.95439900603</v>
      </c>
      <c r="GW31" s="96">
        <f t="shared" ca="1" si="47"/>
        <v>23138.362180541302</v>
      </c>
      <c r="GX31" s="96">
        <f t="shared" ca="1" si="47"/>
        <v>120534.7239172384</v>
      </c>
      <c r="GY31" s="96">
        <f t="shared" ca="1" si="47"/>
        <v>145108.02328727065</v>
      </c>
      <c r="GZ31" s="96">
        <f t="shared" ca="1" si="47"/>
        <v>146722.32762544794</v>
      </c>
      <c r="HA31" s="96">
        <f t="shared" ca="1" si="47"/>
        <v>148336.63196362523</v>
      </c>
      <c r="HB31" s="96">
        <f t="shared" ca="1" si="47"/>
        <v>111925.10078029281</v>
      </c>
      <c r="HC31" s="96">
        <f t="shared" ca="1" si="47"/>
        <v>269050.72302954999</v>
      </c>
      <c r="HD31" s="96">
        <f t="shared" ca="1" si="47"/>
        <v>269050.72302954999</v>
      </c>
      <c r="HE31" s="96">
        <f t="shared" ca="1" si="47"/>
        <v>269050.72302954999</v>
      </c>
      <c r="HF31" s="96">
        <f t="shared" ca="1" si="47"/>
        <v>269050.72302954999</v>
      </c>
      <c r="HG31" s="96">
        <f t="shared" ca="1" si="47"/>
        <v>269050.72302954999</v>
      </c>
      <c r="HH31" s="96">
        <f t="shared" ca="1" si="47"/>
        <v>349765.93993841502</v>
      </c>
      <c r="HI31" s="96">
        <f t="shared" ca="1" si="47"/>
        <v>188335.50612068502</v>
      </c>
      <c r="HJ31" s="96">
        <f t="shared" ca="1" si="48"/>
        <v>269050.72302954999</v>
      </c>
      <c r="HK31" s="96">
        <f t="shared" ca="1" si="48"/>
        <v>269050.72302954999</v>
      </c>
      <c r="HL31" s="96">
        <f t="shared" ca="1" si="48"/>
        <v>0</v>
      </c>
      <c r="HM31" s="96">
        <f t="shared" ca="1" si="48"/>
        <v>0</v>
      </c>
      <c r="HN31" s="96">
        <f t="shared" ca="1" si="48"/>
        <v>0</v>
      </c>
      <c r="HO31" s="96">
        <f t="shared" ca="1" si="48"/>
        <v>0</v>
      </c>
      <c r="HP31" s="96">
        <f t="shared" ca="1" si="48"/>
        <v>0</v>
      </c>
      <c r="HQ31" s="96">
        <f t="shared" ca="1" si="48"/>
        <v>0</v>
      </c>
      <c r="HS31" s="97">
        <f t="shared" ca="1" si="21"/>
        <v>226899.44308825384</v>
      </c>
    </row>
    <row r="32" spans="1:227" ht="17.25" thickTop="1" thickBot="1" x14ac:dyDescent="0.3">
      <c r="A32" s="16" t="s">
        <v>38</v>
      </c>
      <c r="B32" s="73" t="s">
        <v>379</v>
      </c>
      <c r="C32" s="73" t="s">
        <v>380</v>
      </c>
      <c r="D32" s="74" t="s">
        <v>0</v>
      </c>
      <c r="E32" s="74" t="s">
        <v>349</v>
      </c>
      <c r="F32" s="73"/>
      <c r="G32" s="75">
        <f t="shared" ca="1" si="68"/>
        <v>133</v>
      </c>
      <c r="H32" s="75">
        <v>133</v>
      </c>
      <c r="I32" s="75">
        <f t="shared" ca="1" si="69"/>
        <v>266</v>
      </c>
      <c r="J32" s="76">
        <f ca="1">[1]Parameters!$C$3+G32</f>
        <v>45964</v>
      </c>
      <c r="K32" s="77">
        <f t="shared" ca="1" si="23"/>
        <v>11</v>
      </c>
      <c r="L32" s="77">
        <f t="shared" ca="1" si="24"/>
        <v>2025</v>
      </c>
      <c r="M32" s="76">
        <f ca="1">[1]Parameters!$C$3+I32</f>
        <v>46097</v>
      </c>
      <c r="N32" s="77">
        <f t="shared" ca="1" si="25"/>
        <v>3</v>
      </c>
      <c r="O32" s="77">
        <f t="shared" ca="1" si="26"/>
        <v>2026</v>
      </c>
      <c r="P32" s="78">
        <v>0.95</v>
      </c>
      <c r="Q32" s="79" t="str">
        <f ca="1">VLOOKUP(A32,[1]ABC!A:G,7,0)</f>
        <v>A</v>
      </c>
      <c r="R32" s="80">
        <f t="shared" ca="1" si="9"/>
        <v>0.64570000662601679</v>
      </c>
      <c r="S32" s="81">
        <v>62.08</v>
      </c>
      <c r="T32" s="82">
        <f t="shared" ca="1" si="10"/>
        <v>4500</v>
      </c>
      <c r="U32" s="83">
        <f ca="1">IF((ROUND(AVERAGE(BI32:BR32)*2/100,0)*100)&lt;T32,T32,ROUND(AVERAGE(BI32:BR32)*2/100,0)*100)</f>
        <v>4500</v>
      </c>
      <c r="V32" s="80">
        <v>3000</v>
      </c>
      <c r="W32" s="80">
        <f t="shared" ca="1" si="27"/>
        <v>6000</v>
      </c>
      <c r="X32" s="80"/>
      <c r="Y32" s="84">
        <v>6.72</v>
      </c>
      <c r="Z32" s="85">
        <v>2991</v>
      </c>
      <c r="AA32" s="85">
        <v>18</v>
      </c>
      <c r="AB32" s="85">
        <v>2982</v>
      </c>
      <c r="AC32" s="85">
        <v>3035</v>
      </c>
      <c r="AD32" s="85">
        <v>3022</v>
      </c>
      <c r="AE32" s="85">
        <v>2239</v>
      </c>
      <c r="AF32" s="85">
        <v>1277</v>
      </c>
      <c r="AG32" s="85">
        <v>2577</v>
      </c>
      <c r="AH32" s="85">
        <v>460</v>
      </c>
      <c r="AI32" s="75">
        <v>10</v>
      </c>
      <c r="AJ32" s="75">
        <f t="shared" ca="1" si="56"/>
        <v>0</v>
      </c>
      <c r="AK32" s="75">
        <f t="shared" ca="1" si="56"/>
        <v>0</v>
      </c>
      <c r="AL32" s="75">
        <f t="shared" ca="1" si="56"/>
        <v>7629</v>
      </c>
      <c r="AM32" s="75">
        <f t="shared" ca="1" si="56"/>
        <v>12088</v>
      </c>
      <c r="AN32" s="75">
        <f t="shared" ca="1" si="56"/>
        <v>9088</v>
      </c>
      <c r="AO32" s="75">
        <f t="shared" ca="1" si="56"/>
        <v>12088</v>
      </c>
      <c r="AP32" s="75">
        <f t="shared" ca="1" si="56"/>
        <v>12088</v>
      </c>
      <c r="AQ32" s="75">
        <f t="shared" ca="1" si="56"/>
        <v>15088</v>
      </c>
      <c r="AR32" s="75">
        <f t="shared" ca="1" si="56"/>
        <v>12088</v>
      </c>
      <c r="AS32" s="75">
        <f t="shared" ca="1" si="56"/>
        <v>10588</v>
      </c>
      <c r="AT32" s="75">
        <f t="shared" ca="1" si="56"/>
        <v>9088</v>
      </c>
      <c r="AU32" s="75">
        <f t="shared" ca="1" si="56"/>
        <v>6088</v>
      </c>
      <c r="AV32" s="75">
        <f t="shared" ca="1" si="56"/>
        <v>3088</v>
      </c>
      <c r="AW32" s="75">
        <f t="shared" ca="1" si="56"/>
        <v>3088</v>
      </c>
      <c r="AX32" s="75">
        <f t="shared" ca="1" si="56"/>
        <v>3088</v>
      </c>
      <c r="AY32" s="75">
        <f t="shared" ca="1" si="54"/>
        <v>3088</v>
      </c>
      <c r="AZ32" s="75">
        <f t="shared" ca="1" si="12"/>
        <v>3088</v>
      </c>
      <c r="BA32" s="75">
        <f t="shared" ca="1" si="12"/>
        <v>3088</v>
      </c>
      <c r="BB32" s="166"/>
      <c r="BC32" s="86">
        <v>2990.9300000000003</v>
      </c>
      <c r="BD32" s="86">
        <v>11</v>
      </c>
      <c r="BE32" s="86">
        <v>1392.7604166666667</v>
      </c>
      <c r="BF32" s="86">
        <v>1392.7604166666667</v>
      </c>
      <c r="BG32" s="86">
        <v>71</v>
      </c>
      <c r="BH32" s="86">
        <v>1739</v>
      </c>
      <c r="BI32" s="86">
        <v>2553</v>
      </c>
      <c r="BJ32" s="86">
        <v>1550</v>
      </c>
      <c r="BK32" s="86">
        <v>1455</v>
      </c>
      <c r="BL32" s="86">
        <v>1325</v>
      </c>
      <c r="BM32" s="86">
        <v>2512</v>
      </c>
      <c r="BN32" s="86">
        <v>1371</v>
      </c>
      <c r="BO32" s="86">
        <v>1541</v>
      </c>
      <c r="BP32" s="86">
        <v>3000</v>
      </c>
      <c r="BQ32" s="86">
        <v>3000</v>
      </c>
      <c r="BR32" s="86">
        <v>3000</v>
      </c>
      <c r="BS32" s="86">
        <v>3000</v>
      </c>
      <c r="BT32" s="86">
        <v>3000</v>
      </c>
      <c r="BU32" s="86">
        <v>4500</v>
      </c>
      <c r="BV32" s="86">
        <v>1500</v>
      </c>
      <c r="BW32" s="86">
        <f ca="1">VLOOKUP(A32,[3]Export!$B:$Q,16,0)</f>
        <v>3000</v>
      </c>
      <c r="BX32" s="86">
        <v>3000</v>
      </c>
      <c r="BY32" s="86">
        <v>0</v>
      </c>
      <c r="BZ32" s="86">
        <v>0</v>
      </c>
      <c r="CA32" s="86">
        <v>0</v>
      </c>
      <c r="CB32" s="86">
        <v>0</v>
      </c>
      <c r="CC32" s="86">
        <v>0</v>
      </c>
      <c r="CD32" s="86">
        <v>0</v>
      </c>
      <c r="CE32" s="86">
        <f t="shared" ca="1" si="28"/>
        <v>922.18449541821292</v>
      </c>
      <c r="CF32" s="87"/>
      <c r="CG32" s="86">
        <v>0</v>
      </c>
      <c r="CH32" s="86">
        <v>0</v>
      </c>
      <c r="CI32" s="86">
        <v>0</v>
      </c>
      <c r="CJ32" s="86">
        <v>0</v>
      </c>
      <c r="CK32" s="86">
        <v>0</v>
      </c>
      <c r="CL32" s="86">
        <v>0</v>
      </c>
      <c r="CM32" s="86">
        <v>0</v>
      </c>
      <c r="CN32" s="86">
        <v>0</v>
      </c>
      <c r="CO32" s="86">
        <v>0</v>
      </c>
      <c r="CP32" s="89">
        <v>1400</v>
      </c>
      <c r="CQ32" s="89">
        <v>9000</v>
      </c>
      <c r="CR32" s="86">
        <v>6000</v>
      </c>
      <c r="CS32" s="86">
        <v>0</v>
      </c>
      <c r="CT32" s="86">
        <v>6000</v>
      </c>
      <c r="CU32" s="90">
        <v>3000</v>
      </c>
      <c r="CV32" s="86">
        <v>6000</v>
      </c>
      <c r="CW32" s="86">
        <v>0</v>
      </c>
      <c r="CX32" s="90">
        <v>3000</v>
      </c>
      <c r="CY32" s="90">
        <v>0</v>
      </c>
      <c r="CZ32" s="90">
        <v>0</v>
      </c>
      <c r="DA32" s="90">
        <v>0</v>
      </c>
      <c r="DB32" s="90">
        <v>0</v>
      </c>
      <c r="DC32" s="90">
        <v>0</v>
      </c>
      <c r="DD32" s="90">
        <v>0</v>
      </c>
      <c r="DE32" s="90">
        <v>0</v>
      </c>
      <c r="DF32" s="90">
        <v>0</v>
      </c>
      <c r="DG32" s="86">
        <v>0</v>
      </c>
      <c r="DI32" s="91">
        <f ca="1">VLOOKUP(A32,'[2]2-Relatório'!$A:$J,9,0)</f>
        <v>55.67</v>
      </c>
      <c r="DJ32" s="92">
        <f t="shared" ca="1" si="60"/>
        <v>166007.94</v>
      </c>
      <c r="DK32" s="92">
        <f t="shared" ca="1" si="60"/>
        <v>168958.45</v>
      </c>
      <c r="DL32" s="92">
        <f t="shared" ca="1" si="60"/>
        <v>168234.74</v>
      </c>
      <c r="DM32" s="92">
        <f t="shared" ca="1" si="60"/>
        <v>124645.13</v>
      </c>
      <c r="DN32" s="92">
        <f t="shared" ca="1" si="60"/>
        <v>71090.59</v>
      </c>
      <c r="DO32" s="92">
        <f t="shared" ca="1" si="60"/>
        <v>143461.59</v>
      </c>
      <c r="DP32" s="92">
        <f t="shared" ca="1" si="60"/>
        <v>25608.2</v>
      </c>
      <c r="DQ32" s="92">
        <f t="shared" ca="1" si="60"/>
        <v>556.70000000000005</v>
      </c>
      <c r="DR32" s="92">
        <f t="shared" ca="1" si="45"/>
        <v>0</v>
      </c>
      <c r="DS32" s="92">
        <f t="shared" ca="1" si="45"/>
        <v>0</v>
      </c>
      <c r="DT32" s="92">
        <f t="shared" ca="1" si="45"/>
        <v>424706.43</v>
      </c>
      <c r="DU32" s="92">
        <f t="shared" ca="1" si="45"/>
        <v>672938.96</v>
      </c>
      <c r="DV32" s="92">
        <f t="shared" ca="1" si="45"/>
        <v>505928.96000000002</v>
      </c>
      <c r="DW32" s="92">
        <f t="shared" ca="1" si="45"/>
        <v>672938.96</v>
      </c>
      <c r="DX32" s="92">
        <f t="shared" ca="1" si="45"/>
        <v>672938.96</v>
      </c>
      <c r="DY32" s="92">
        <f t="shared" ca="1" si="45"/>
        <v>839948.96000000008</v>
      </c>
      <c r="DZ32" s="92">
        <f t="shared" ca="1" si="45"/>
        <v>672938.96</v>
      </c>
      <c r="EA32" s="92">
        <f t="shared" ca="1" si="45"/>
        <v>589433.96</v>
      </c>
      <c r="EB32" s="92">
        <f t="shared" ca="1" si="45"/>
        <v>505928.96000000002</v>
      </c>
      <c r="EC32" s="92">
        <f t="shared" ca="1" si="45"/>
        <v>338918.96</v>
      </c>
      <c r="ED32" s="92">
        <f t="shared" ca="1" si="45"/>
        <v>171908.96</v>
      </c>
      <c r="EE32" s="92">
        <f t="shared" ca="1" si="45"/>
        <v>171908.96</v>
      </c>
      <c r="EF32" s="92">
        <f t="shared" ca="1" si="45"/>
        <v>171908.96</v>
      </c>
      <c r="EG32" s="92">
        <f t="shared" ca="1" si="45"/>
        <v>171908.96</v>
      </c>
      <c r="EH32" s="92">
        <f t="shared" ca="1" si="46"/>
        <v>171908.96</v>
      </c>
      <c r="EI32" s="92">
        <f t="shared" ca="1" si="46"/>
        <v>171908.96</v>
      </c>
      <c r="EL32" s="93">
        <f t="shared" ca="1" si="57"/>
        <v>185676.93440000003</v>
      </c>
      <c r="EM32" s="93">
        <f t="shared" ca="1" si="57"/>
        <v>682.88</v>
      </c>
      <c r="EN32" s="92">
        <f t="shared" ca="1" si="61"/>
        <v>77534.972395833334</v>
      </c>
      <c r="EO32" s="92">
        <f t="shared" ca="1" si="61"/>
        <v>77534.972395833334</v>
      </c>
      <c r="EP32" s="92">
        <f t="shared" ca="1" si="61"/>
        <v>3952.57</v>
      </c>
      <c r="EQ32" s="92">
        <f t="shared" ca="1" si="61"/>
        <v>96810.13</v>
      </c>
      <c r="ER32" s="92">
        <f t="shared" ca="1" si="61"/>
        <v>142125.51</v>
      </c>
      <c r="ES32" s="92">
        <f t="shared" ca="1" si="61"/>
        <v>86288.5</v>
      </c>
      <c r="ET32" s="92">
        <f t="shared" ca="1" si="61"/>
        <v>80999.850000000006</v>
      </c>
      <c r="EU32" s="92">
        <f t="shared" ca="1" si="61"/>
        <v>73762.75</v>
      </c>
      <c r="EV32" s="92">
        <f t="shared" ca="1" si="61"/>
        <v>139843.04</v>
      </c>
      <c r="EW32" s="92">
        <f t="shared" ca="1" si="61"/>
        <v>76323.570000000007</v>
      </c>
      <c r="EX32" s="92">
        <f t="shared" ca="1" si="61"/>
        <v>85787.47</v>
      </c>
      <c r="EY32" s="92">
        <f t="shared" ca="1" si="61"/>
        <v>167010</v>
      </c>
      <c r="EZ32" s="92">
        <f t="shared" ca="1" si="61"/>
        <v>167010</v>
      </c>
      <c r="FA32" s="92">
        <f t="shared" ca="1" si="61"/>
        <v>167010</v>
      </c>
      <c r="FB32" s="92">
        <f t="shared" ca="1" si="61"/>
        <v>167010</v>
      </c>
      <c r="FC32" s="92">
        <f t="shared" ca="1" si="61"/>
        <v>167010</v>
      </c>
      <c r="FD32" s="92">
        <f t="shared" ca="1" si="58"/>
        <v>250515</v>
      </c>
      <c r="FE32" s="92">
        <f t="shared" ca="1" si="58"/>
        <v>83505</v>
      </c>
      <c r="FF32" s="92">
        <f t="shared" ca="1" si="58"/>
        <v>167010</v>
      </c>
      <c r="FG32" s="92">
        <f t="shared" ca="1" si="58"/>
        <v>167010</v>
      </c>
      <c r="FH32" s="92">
        <f t="shared" ca="1" si="55"/>
        <v>0</v>
      </c>
      <c r="FI32" s="92">
        <f t="shared" ca="1" si="55"/>
        <v>0</v>
      </c>
      <c r="FJ32" s="92">
        <f t="shared" ca="1" si="55"/>
        <v>0</v>
      </c>
      <c r="FK32" s="92">
        <f t="shared" ca="1" si="55"/>
        <v>0</v>
      </c>
      <c r="FL32" s="92">
        <f t="shared" ca="1" si="55"/>
        <v>0</v>
      </c>
      <c r="FM32" s="92">
        <f t="shared" ca="1" si="55"/>
        <v>0</v>
      </c>
      <c r="FN32" s="94">
        <f t="shared" ca="1" si="70"/>
        <v>25400</v>
      </c>
      <c r="FO32" s="94">
        <f t="shared" ca="1" si="71"/>
        <v>9000</v>
      </c>
      <c r="FP32" s="95">
        <f t="shared" ca="1" si="59"/>
        <v>30.000702122751115</v>
      </c>
      <c r="FQ32" s="95">
        <f t="shared" ca="1" si="59"/>
        <v>49.090909090909093</v>
      </c>
      <c r="FR32" s="95">
        <f t="shared" ca="1" si="72"/>
        <v>64.232152873864095</v>
      </c>
      <c r="FS32" s="95">
        <f t="shared" ca="1" si="72"/>
        <v>65.373770614412322</v>
      </c>
      <c r="FT32" s="95">
        <f t="shared" ca="1" si="72"/>
        <v>1276.9014084507041</v>
      </c>
      <c r="FU32" s="95">
        <f t="shared" ca="1" si="72"/>
        <v>38.625646923519263</v>
      </c>
      <c r="FV32" s="95">
        <f t="shared" ca="1" si="72"/>
        <v>15.005875440658048</v>
      </c>
      <c r="FW32" s="95">
        <f t="shared" ca="1" si="72"/>
        <v>49.877419354838707</v>
      </c>
      <c r="FX32" s="95">
        <f t="shared" ca="1" si="72"/>
        <v>9.4845360824742269</v>
      </c>
      <c r="FY32" s="95">
        <f t="shared" ca="1" si="72"/>
        <v>0.22641509433962267</v>
      </c>
      <c r="FZ32" s="95">
        <f t="shared" ca="1" si="72"/>
        <v>0</v>
      </c>
      <c r="GA32" s="95">
        <f t="shared" ca="1" si="72"/>
        <v>0</v>
      </c>
      <c r="GB32" s="95">
        <f t="shared" ca="1" si="72"/>
        <v>148.52044127190138</v>
      </c>
      <c r="GC32" s="95">
        <f t="shared" ca="1" si="72"/>
        <v>120.87999999999998</v>
      </c>
      <c r="GD32" s="95">
        <f t="shared" ca="1" si="72"/>
        <v>90.88000000000001</v>
      </c>
      <c r="GE32" s="95">
        <f t="shared" ca="1" si="72"/>
        <v>120.87999999999998</v>
      </c>
      <c r="GF32" s="95">
        <f t="shared" ca="1" si="72"/>
        <v>120.87999999999998</v>
      </c>
      <c r="GG32" s="95">
        <f t="shared" ca="1" si="72"/>
        <v>150.88</v>
      </c>
      <c r="GH32" s="95">
        <f t="shared" ca="1" si="41"/>
        <v>80.586666666666673</v>
      </c>
      <c r="GI32" s="95">
        <f t="shared" ca="1" si="41"/>
        <v>211.76</v>
      </c>
      <c r="GJ32" s="95">
        <f t="shared" ca="1" si="41"/>
        <v>90.88000000000001</v>
      </c>
      <c r="GK32" s="95">
        <f t="shared" ca="1" si="41"/>
        <v>60.88000000000001</v>
      </c>
      <c r="GL32" s="95">
        <f t="shared" ca="1" si="41"/>
        <v>0</v>
      </c>
      <c r="GM32" s="95">
        <f t="shared" ca="1" si="41"/>
        <v>0</v>
      </c>
      <c r="GN32" s="95">
        <f t="shared" ca="1" si="41"/>
        <v>0</v>
      </c>
      <c r="GO32" s="95">
        <f t="shared" ca="1" si="41"/>
        <v>0</v>
      </c>
      <c r="GP32" s="95">
        <f t="shared" ca="1" si="41"/>
        <v>0</v>
      </c>
      <c r="GQ32" s="95">
        <f t="shared" ca="1" si="41"/>
        <v>0</v>
      </c>
      <c r="GS32" s="7">
        <v>178.45347408606668</v>
      </c>
      <c r="GT32" s="96">
        <f t="shared" ca="1" si="47"/>
        <v>12670.196660110734</v>
      </c>
      <c r="GU32" s="96">
        <f t="shared" ca="1" si="47"/>
        <v>310330.59143566998</v>
      </c>
      <c r="GV32" s="96">
        <f t="shared" ca="1" si="47"/>
        <v>455591.71934172825</v>
      </c>
      <c r="GW32" s="96">
        <f t="shared" ca="1" si="47"/>
        <v>276602.88483340334</v>
      </c>
      <c r="GX32" s="96">
        <f t="shared" ca="1" si="47"/>
        <v>259649.80479522701</v>
      </c>
      <c r="GY32" s="96">
        <f t="shared" ca="1" si="47"/>
        <v>236450.85316403836</v>
      </c>
      <c r="GZ32" s="96">
        <f t="shared" ca="1" si="47"/>
        <v>448275.12690419948</v>
      </c>
      <c r="HA32" s="96">
        <f t="shared" ca="1" si="47"/>
        <v>244659.71297199742</v>
      </c>
      <c r="HB32" s="96">
        <f t="shared" ca="1" si="47"/>
        <v>274996.80356662878</v>
      </c>
      <c r="HC32" s="96">
        <f t="shared" ca="1" si="47"/>
        <v>535360.42225820001</v>
      </c>
      <c r="HD32" s="96">
        <f t="shared" ca="1" si="47"/>
        <v>535360.42225820001</v>
      </c>
      <c r="HE32" s="96">
        <f t="shared" ca="1" si="47"/>
        <v>535360.42225820001</v>
      </c>
      <c r="HF32" s="96">
        <f t="shared" ca="1" si="47"/>
        <v>535360.42225820001</v>
      </c>
      <c r="HG32" s="96">
        <f t="shared" ca="1" si="47"/>
        <v>535360.42225820001</v>
      </c>
      <c r="HH32" s="96">
        <f t="shared" ca="1" si="47"/>
        <v>803040.63338730007</v>
      </c>
      <c r="HI32" s="96">
        <f t="shared" ca="1" si="47"/>
        <v>267680.2111291</v>
      </c>
      <c r="HJ32" s="96">
        <f t="shared" ca="1" si="48"/>
        <v>535360.42225820001</v>
      </c>
      <c r="HK32" s="96">
        <f t="shared" ca="1" si="48"/>
        <v>535360.42225820001</v>
      </c>
      <c r="HL32" s="96">
        <f t="shared" ca="1" si="48"/>
        <v>0</v>
      </c>
      <c r="HM32" s="96">
        <f t="shared" ca="1" si="48"/>
        <v>0</v>
      </c>
      <c r="HN32" s="96">
        <f t="shared" ca="1" si="48"/>
        <v>0</v>
      </c>
      <c r="HO32" s="96">
        <f t="shared" ca="1" si="48"/>
        <v>0</v>
      </c>
      <c r="HP32" s="96">
        <f t="shared" ca="1" si="48"/>
        <v>0</v>
      </c>
      <c r="HQ32" s="96">
        <f t="shared" ca="1" si="48"/>
        <v>0</v>
      </c>
      <c r="HS32" s="97">
        <f t="shared" ca="1" si="21"/>
        <v>539286.39868809353</v>
      </c>
    </row>
    <row r="33" spans="1:227" ht="17.25" thickTop="1" thickBot="1" x14ac:dyDescent="0.3">
      <c r="A33" s="16" t="s">
        <v>34</v>
      </c>
      <c r="B33" s="73" t="s">
        <v>381</v>
      </c>
      <c r="C33" s="73" t="s">
        <v>382</v>
      </c>
      <c r="D33" s="74" t="s">
        <v>0</v>
      </c>
      <c r="E33" s="74" t="s">
        <v>349</v>
      </c>
      <c r="F33" s="73"/>
      <c r="G33" s="75">
        <f t="shared" ca="1" si="68"/>
        <v>133</v>
      </c>
      <c r="H33" s="75">
        <v>133</v>
      </c>
      <c r="I33" s="75">
        <f t="shared" ca="1" si="69"/>
        <v>266</v>
      </c>
      <c r="J33" s="76">
        <f ca="1">[1]Parameters!$C$3+G33</f>
        <v>45964</v>
      </c>
      <c r="K33" s="77">
        <f t="shared" ca="1" si="23"/>
        <v>11</v>
      </c>
      <c r="L33" s="77">
        <f t="shared" ca="1" si="24"/>
        <v>2025</v>
      </c>
      <c r="M33" s="76">
        <f ca="1">[1]Parameters!$C$3+I33</f>
        <v>46097</v>
      </c>
      <c r="N33" s="77">
        <f t="shared" ca="1" si="25"/>
        <v>3</v>
      </c>
      <c r="O33" s="77">
        <f t="shared" ca="1" si="26"/>
        <v>2026</v>
      </c>
      <c r="P33" s="78">
        <v>0.98</v>
      </c>
      <c r="Q33" s="79" t="str">
        <f ca="1">VLOOKUP(A33,[1]ABC!A:G,7,0)</f>
        <v>A</v>
      </c>
      <c r="R33" s="80">
        <f t="shared" ca="1" si="9"/>
        <v>31.541888949845546</v>
      </c>
      <c r="S33" s="81">
        <v>45.78</v>
      </c>
      <c r="T33" s="82">
        <f t="shared" ca="1" si="10"/>
        <v>3100</v>
      </c>
      <c r="U33" s="83">
        <f ca="1">IF((ROUND(AVERAGE(BL33:BX33)*3/100,0)*100)&lt;T33,T33,ROUND(AVERAGE(BL33:BX33)*3/100,0)*100)</f>
        <v>8200</v>
      </c>
      <c r="V33" s="80">
        <v>3000</v>
      </c>
      <c r="W33" s="80">
        <f t="shared" ca="1" si="27"/>
        <v>9000</v>
      </c>
      <c r="X33" s="80"/>
      <c r="Y33" s="84">
        <v>6.72</v>
      </c>
      <c r="Z33" s="85">
        <v>22</v>
      </c>
      <c r="AA33" s="85">
        <v>2478</v>
      </c>
      <c r="AB33" s="85">
        <v>2982</v>
      </c>
      <c r="AC33" s="85">
        <v>3328</v>
      </c>
      <c r="AD33" s="85">
        <v>1471</v>
      </c>
      <c r="AE33" s="85">
        <v>3346</v>
      </c>
      <c r="AF33" s="85">
        <v>3472</v>
      </c>
      <c r="AG33" s="85">
        <v>1655</v>
      </c>
      <c r="AH33" s="85">
        <v>2366</v>
      </c>
      <c r="AI33" s="75">
        <v>2871</v>
      </c>
      <c r="AJ33" s="75">
        <f t="shared" ca="1" si="56"/>
        <v>424.86599999999999</v>
      </c>
      <c r="AK33" s="75">
        <f t="shared" ca="1" si="56"/>
        <v>1377.6769999999999</v>
      </c>
      <c r="AL33" s="75">
        <f t="shared" ca="1" si="56"/>
        <v>8223.3739999999998</v>
      </c>
      <c r="AM33" s="75">
        <f t="shared" ca="1" si="56"/>
        <v>5662.4750000000004</v>
      </c>
      <c r="AN33" s="75">
        <f t="shared" ca="1" si="56"/>
        <v>11662.475</v>
      </c>
      <c r="AO33" s="75">
        <f t="shared" ca="1" si="56"/>
        <v>8662.4750000000004</v>
      </c>
      <c r="AP33" s="75">
        <f t="shared" ca="1" si="56"/>
        <v>11662.475</v>
      </c>
      <c r="AQ33" s="75">
        <f t="shared" ca="1" si="56"/>
        <v>8662.4750000000004</v>
      </c>
      <c r="AR33" s="75">
        <f t="shared" ca="1" si="56"/>
        <v>11662.475</v>
      </c>
      <c r="AS33" s="75">
        <f t="shared" ca="1" si="56"/>
        <v>10762.475</v>
      </c>
      <c r="AT33" s="75">
        <f t="shared" ca="1" si="56"/>
        <v>8662.4750000000004</v>
      </c>
      <c r="AU33" s="75">
        <f t="shared" ca="1" si="56"/>
        <v>5662.4750000000004</v>
      </c>
      <c r="AV33" s="75">
        <f t="shared" ca="1" si="56"/>
        <v>3162.4750000000004</v>
      </c>
      <c r="AW33" s="75">
        <f t="shared" ca="1" si="56"/>
        <v>3162.4750000000004</v>
      </c>
      <c r="AX33" s="75">
        <f t="shared" ca="1" si="56"/>
        <v>3162.4750000000004</v>
      </c>
      <c r="AY33" s="75">
        <f t="shared" ca="1" si="54"/>
        <v>3162.4750000000004</v>
      </c>
      <c r="AZ33" s="75">
        <f t="shared" ca="1" si="12"/>
        <v>3162.4750000000004</v>
      </c>
      <c r="BA33" s="75">
        <f t="shared" ca="1" si="12"/>
        <v>3162.4750000000004</v>
      </c>
      <c r="BB33" s="166"/>
      <c r="BC33" s="86">
        <v>16.95</v>
      </c>
      <c r="BD33" s="86">
        <v>2478</v>
      </c>
      <c r="BE33" s="86">
        <v>1840.09375</v>
      </c>
      <c r="BF33" s="86">
        <v>1840.09375</v>
      </c>
      <c r="BG33" s="86">
        <v>1658.217625</v>
      </c>
      <c r="BH33" s="86">
        <v>2496.4119999999998</v>
      </c>
      <c r="BI33" s="86">
        <v>3908.5680000000002</v>
      </c>
      <c r="BJ33" s="86">
        <v>1450.4110000000001</v>
      </c>
      <c r="BK33" s="86">
        <v>2029.701</v>
      </c>
      <c r="BL33" s="86">
        <v>2446.134</v>
      </c>
      <c r="BM33" s="86">
        <v>2047.1890000000001</v>
      </c>
      <c r="BN33" s="86">
        <v>2154.3029999999999</v>
      </c>
      <c r="BO33" s="86">
        <v>2560.8989999999999</v>
      </c>
      <c r="BP33" s="86">
        <v>3000</v>
      </c>
      <c r="BQ33" s="86">
        <v>3000</v>
      </c>
      <c r="BR33" s="86">
        <v>3000</v>
      </c>
      <c r="BS33" s="86">
        <v>3000</v>
      </c>
      <c r="BT33" s="86">
        <v>3000</v>
      </c>
      <c r="BU33" s="86">
        <v>3900</v>
      </c>
      <c r="BV33" s="86">
        <v>2100</v>
      </c>
      <c r="BW33" s="86">
        <f ca="1">VLOOKUP(A33,[3]Export!$B:$Q,16,0)</f>
        <v>3000</v>
      </c>
      <c r="BX33" s="86">
        <v>2500</v>
      </c>
      <c r="BY33" s="86">
        <v>0</v>
      </c>
      <c r="BZ33" s="86">
        <v>0</v>
      </c>
      <c r="CA33" s="86">
        <v>0</v>
      </c>
      <c r="CB33" s="86">
        <v>0</v>
      </c>
      <c r="CC33" s="86">
        <v>0</v>
      </c>
      <c r="CD33" s="86">
        <v>0</v>
      </c>
      <c r="CE33" s="86">
        <f t="shared" ca="1" si="28"/>
        <v>513.1000252131704</v>
      </c>
      <c r="CF33" s="87"/>
      <c r="CG33" s="86">
        <v>0</v>
      </c>
      <c r="CH33" s="86">
        <v>0</v>
      </c>
      <c r="CI33" s="86">
        <v>0</v>
      </c>
      <c r="CJ33" s="86">
        <v>0</v>
      </c>
      <c r="CK33" s="86">
        <v>0</v>
      </c>
      <c r="CL33" s="86">
        <v>0</v>
      </c>
      <c r="CM33" s="86">
        <v>0</v>
      </c>
      <c r="CN33" s="86">
        <v>0</v>
      </c>
      <c r="CO33" s="86">
        <v>0</v>
      </c>
      <c r="CP33" s="89">
        <v>3000</v>
      </c>
      <c r="CQ33" s="89">
        <v>9000</v>
      </c>
      <c r="CR33" s="86">
        <v>0</v>
      </c>
      <c r="CS33" s="89">
        <v>9000</v>
      </c>
      <c r="CT33" s="86">
        <v>0</v>
      </c>
      <c r="CU33" s="90">
        <v>6000</v>
      </c>
      <c r="CV33" s="90">
        <v>0</v>
      </c>
      <c r="CW33" s="86">
        <v>6000</v>
      </c>
      <c r="CX33" s="90">
        <v>3000</v>
      </c>
      <c r="CY33" s="90">
        <v>0</v>
      </c>
      <c r="CZ33" s="90">
        <v>0</v>
      </c>
      <c r="DA33" s="90">
        <v>0</v>
      </c>
      <c r="DB33" s="90">
        <v>0</v>
      </c>
      <c r="DC33" s="90">
        <v>0</v>
      </c>
      <c r="DD33" s="90">
        <v>0</v>
      </c>
      <c r="DE33" s="90">
        <v>0</v>
      </c>
      <c r="DF33" s="90">
        <v>0</v>
      </c>
      <c r="DG33" s="86">
        <v>0</v>
      </c>
      <c r="DI33" s="91">
        <f ca="1">VLOOKUP(A33,'[2]2-Relatório'!$A:$J,9,0)</f>
        <v>57.13</v>
      </c>
      <c r="DJ33" s="92">
        <f t="shared" ca="1" si="60"/>
        <v>170361.66</v>
      </c>
      <c r="DK33" s="92">
        <f t="shared" ca="1" si="60"/>
        <v>190128.64000000001</v>
      </c>
      <c r="DL33" s="92">
        <f t="shared" ca="1" si="60"/>
        <v>84038.23000000001</v>
      </c>
      <c r="DM33" s="92">
        <f t="shared" ca="1" si="60"/>
        <v>191156.98</v>
      </c>
      <c r="DN33" s="92">
        <f t="shared" ca="1" si="60"/>
        <v>198355.36000000002</v>
      </c>
      <c r="DO33" s="92">
        <f t="shared" ca="1" si="60"/>
        <v>94550.150000000009</v>
      </c>
      <c r="DP33" s="92">
        <f t="shared" ca="1" si="60"/>
        <v>135169.58000000002</v>
      </c>
      <c r="DQ33" s="92">
        <f t="shared" ca="1" si="60"/>
        <v>164020.23000000001</v>
      </c>
      <c r="DR33" s="92">
        <f t="shared" ca="1" si="45"/>
        <v>24272.594580000001</v>
      </c>
      <c r="DS33" s="92">
        <f t="shared" ca="1" si="45"/>
        <v>78706.687009999994</v>
      </c>
      <c r="DT33" s="92">
        <f t="shared" ca="1" si="45"/>
        <v>469801.35662000004</v>
      </c>
      <c r="DU33" s="92">
        <f t="shared" ca="1" si="45"/>
        <v>323497.19675000006</v>
      </c>
      <c r="DV33" s="92">
        <f t="shared" ca="1" si="45"/>
        <v>666277.19675</v>
      </c>
      <c r="DW33" s="92">
        <f t="shared" ca="1" si="45"/>
        <v>494887.19675000006</v>
      </c>
      <c r="DX33" s="92">
        <f t="shared" ca="1" si="45"/>
        <v>666277.19675</v>
      </c>
      <c r="DY33" s="92">
        <f t="shared" ca="1" si="45"/>
        <v>494887.19675000006</v>
      </c>
      <c r="DZ33" s="92">
        <f t="shared" ca="1" si="45"/>
        <v>666277.19675</v>
      </c>
      <c r="EA33" s="92">
        <f t="shared" ca="1" si="45"/>
        <v>614860.19675</v>
      </c>
      <c r="EB33" s="92">
        <f t="shared" ca="1" si="45"/>
        <v>494887.19675000006</v>
      </c>
      <c r="EC33" s="92">
        <f t="shared" ca="1" si="45"/>
        <v>323497.19675000006</v>
      </c>
      <c r="ED33" s="92">
        <f t="shared" ca="1" si="45"/>
        <v>180672.19675000003</v>
      </c>
      <c r="EE33" s="92">
        <f t="shared" ca="1" si="45"/>
        <v>180672.19675000003</v>
      </c>
      <c r="EF33" s="92">
        <f t="shared" ca="1" si="45"/>
        <v>180672.19675000003</v>
      </c>
      <c r="EG33" s="92">
        <f t="shared" ca="1" si="45"/>
        <v>180672.19675000003</v>
      </c>
      <c r="EH33" s="92">
        <f t="shared" ca="1" si="46"/>
        <v>180672.19675000003</v>
      </c>
      <c r="EI33" s="92">
        <f t="shared" ca="1" si="46"/>
        <v>180672.19675000003</v>
      </c>
      <c r="EL33" s="93">
        <f t="shared" ca="1" si="57"/>
        <v>775.971</v>
      </c>
      <c r="EM33" s="93">
        <f t="shared" ca="1" si="57"/>
        <v>113442.84</v>
      </c>
      <c r="EN33" s="92">
        <f t="shared" ca="1" si="61"/>
        <v>105124.5559375</v>
      </c>
      <c r="EO33" s="92">
        <f t="shared" ca="1" si="61"/>
        <v>105124.5559375</v>
      </c>
      <c r="EP33" s="92">
        <f t="shared" ca="1" si="61"/>
        <v>94733.972916250001</v>
      </c>
      <c r="EQ33" s="92">
        <f t="shared" ca="1" si="61"/>
        <v>142620.01756000001</v>
      </c>
      <c r="ER33" s="92">
        <f t="shared" ca="1" si="61"/>
        <v>223296.48984000002</v>
      </c>
      <c r="ES33" s="92">
        <f t="shared" ca="1" si="61"/>
        <v>82861.980430000011</v>
      </c>
      <c r="ET33" s="92">
        <f t="shared" ca="1" si="61"/>
        <v>115956.81813</v>
      </c>
      <c r="EU33" s="92">
        <f t="shared" ca="1" si="61"/>
        <v>139747.63542000001</v>
      </c>
      <c r="EV33" s="92">
        <f t="shared" ca="1" si="61"/>
        <v>116955.90757000001</v>
      </c>
      <c r="EW33" s="92">
        <f t="shared" ca="1" si="61"/>
        <v>123075.33039</v>
      </c>
      <c r="EX33" s="92">
        <f t="shared" ca="1" si="61"/>
        <v>146304.15987</v>
      </c>
      <c r="EY33" s="92">
        <f t="shared" ca="1" si="61"/>
        <v>171390</v>
      </c>
      <c r="EZ33" s="92">
        <f t="shared" ca="1" si="61"/>
        <v>171390</v>
      </c>
      <c r="FA33" s="92">
        <f t="shared" ca="1" si="61"/>
        <v>171390</v>
      </c>
      <c r="FB33" s="92">
        <f t="shared" ca="1" si="61"/>
        <v>171390</v>
      </c>
      <c r="FC33" s="92">
        <f t="shared" ca="1" si="61"/>
        <v>171390</v>
      </c>
      <c r="FD33" s="92">
        <f t="shared" ca="1" si="58"/>
        <v>222807</v>
      </c>
      <c r="FE33" s="92">
        <f t="shared" ca="1" si="58"/>
        <v>119973</v>
      </c>
      <c r="FF33" s="92">
        <f t="shared" ca="1" si="58"/>
        <v>171390</v>
      </c>
      <c r="FG33" s="92">
        <f t="shared" ca="1" si="58"/>
        <v>142825</v>
      </c>
      <c r="FH33" s="92">
        <f t="shared" ca="1" si="55"/>
        <v>0</v>
      </c>
      <c r="FI33" s="92">
        <f t="shared" ca="1" si="55"/>
        <v>0</v>
      </c>
      <c r="FJ33" s="92">
        <f t="shared" ca="1" si="55"/>
        <v>0</v>
      </c>
      <c r="FK33" s="92">
        <f t="shared" ca="1" si="55"/>
        <v>0</v>
      </c>
      <c r="FL33" s="92">
        <f t="shared" ca="1" si="55"/>
        <v>0</v>
      </c>
      <c r="FM33" s="92">
        <f t="shared" ca="1" si="55"/>
        <v>0</v>
      </c>
      <c r="FN33" s="94">
        <f t="shared" ca="1" si="70"/>
        <v>27000</v>
      </c>
      <c r="FO33" s="94">
        <f t="shared" ca="1" si="71"/>
        <v>9000</v>
      </c>
      <c r="FP33" s="95">
        <f t="shared" ca="1" si="59"/>
        <v>38.938053097345133</v>
      </c>
      <c r="FQ33" s="95">
        <f t="shared" ca="1" si="59"/>
        <v>30</v>
      </c>
      <c r="FR33" s="95">
        <f t="shared" ca="1" si="72"/>
        <v>48.617088123906733</v>
      </c>
      <c r="FS33" s="95">
        <f t="shared" ca="1" si="72"/>
        <v>54.258105055788604</v>
      </c>
      <c r="FT33" s="95">
        <f t="shared" ca="1" si="72"/>
        <v>26.612912162238057</v>
      </c>
      <c r="FU33" s="95">
        <f t="shared" ca="1" si="72"/>
        <v>40.209708974319945</v>
      </c>
      <c r="FV33" s="95">
        <f t="shared" ca="1" si="72"/>
        <v>26.649146183461564</v>
      </c>
      <c r="FW33" s="95">
        <f t="shared" ca="1" si="72"/>
        <v>34.231676400689189</v>
      </c>
      <c r="FX33" s="95">
        <f t="shared" ca="1" si="72"/>
        <v>34.970668093477812</v>
      </c>
      <c r="FY33" s="95">
        <f t="shared" ca="1" si="72"/>
        <v>35.2106630299076</v>
      </c>
      <c r="FZ33" s="95">
        <f t="shared" ca="1" si="72"/>
        <v>6.2260885536215751</v>
      </c>
      <c r="GA33" s="95">
        <f t="shared" ca="1" si="72"/>
        <v>19.185003223780498</v>
      </c>
      <c r="GB33" s="95">
        <f t="shared" ca="1" si="72"/>
        <v>96.333834329272662</v>
      </c>
      <c r="GC33" s="95">
        <f t="shared" ca="1" si="72"/>
        <v>56.624750000000013</v>
      </c>
      <c r="GD33" s="95">
        <f t="shared" ca="1" si="72"/>
        <v>116.62474999999999</v>
      </c>
      <c r="GE33" s="95">
        <f t="shared" ca="1" si="72"/>
        <v>86.624750000000006</v>
      </c>
      <c r="GF33" s="95">
        <f t="shared" ca="1" si="72"/>
        <v>116.62474999999999</v>
      </c>
      <c r="GG33" s="95">
        <f t="shared" ca="1" si="72"/>
        <v>86.624750000000006</v>
      </c>
      <c r="GH33" s="95">
        <f t="shared" ca="1" si="41"/>
        <v>89.711346153846165</v>
      </c>
      <c r="GI33" s="95">
        <f t="shared" ca="1" si="41"/>
        <v>153.74964285714285</v>
      </c>
      <c r="GJ33" s="95">
        <f t="shared" ca="1" si="41"/>
        <v>86.624750000000006</v>
      </c>
      <c r="GK33" s="95">
        <f t="shared" ca="1" si="41"/>
        <v>67.949700000000021</v>
      </c>
      <c r="GL33" s="95">
        <f t="shared" ca="1" si="41"/>
        <v>0</v>
      </c>
      <c r="GM33" s="95">
        <f t="shared" ca="1" si="41"/>
        <v>0</v>
      </c>
      <c r="GN33" s="95">
        <f t="shared" ca="1" si="41"/>
        <v>0</v>
      </c>
      <c r="GO33" s="95">
        <f t="shared" ca="1" si="41"/>
        <v>0</v>
      </c>
      <c r="GP33" s="95">
        <f t="shared" ca="1" si="41"/>
        <v>0</v>
      </c>
      <c r="GQ33" s="95">
        <f t="shared" ca="1" si="41"/>
        <v>0</v>
      </c>
      <c r="GS33" s="7">
        <v>186.41824093823334</v>
      </c>
      <c r="GT33" s="96">
        <f t="shared" ca="1" si="47"/>
        <v>309122.01274527505</v>
      </c>
      <c r="GU33" s="96">
        <f t="shared" ca="1" si="47"/>
        <v>465376.73369709693</v>
      </c>
      <c r="GV33" s="96">
        <f t="shared" ca="1" si="47"/>
        <v>728628.3711474688</v>
      </c>
      <c r="GW33" s="96">
        <f t="shared" ca="1" si="47"/>
        <v>270383.06725746399</v>
      </c>
      <c r="GX33" s="96">
        <f t="shared" ca="1" si="47"/>
        <v>378373.29005057312</v>
      </c>
      <c r="GY33" s="96">
        <f t="shared" ca="1" si="47"/>
        <v>456003.99737920449</v>
      </c>
      <c r="GZ33" s="96">
        <f t="shared" ca="1" si="47"/>
        <v>381633.37224810099</v>
      </c>
      <c r="HA33" s="96">
        <f t="shared" ca="1" si="47"/>
        <v>401601.37570795888</v>
      </c>
      <c r="HB33" s="96">
        <f t="shared" ca="1" si="47"/>
        <v>477398.2868004808</v>
      </c>
      <c r="HC33" s="96">
        <f t="shared" ca="1" si="47"/>
        <v>559254.72281469998</v>
      </c>
      <c r="HD33" s="96">
        <f t="shared" ca="1" si="47"/>
        <v>559254.72281469998</v>
      </c>
      <c r="HE33" s="96">
        <f t="shared" ca="1" si="47"/>
        <v>559254.72281469998</v>
      </c>
      <c r="HF33" s="96">
        <f t="shared" ca="1" si="47"/>
        <v>559254.72281469998</v>
      </c>
      <c r="HG33" s="96">
        <f t="shared" ca="1" si="47"/>
        <v>559254.72281469998</v>
      </c>
      <c r="HH33" s="96">
        <f t="shared" ca="1" si="47"/>
        <v>727031.13965910999</v>
      </c>
      <c r="HI33" s="96">
        <f t="shared" ca="1" si="47"/>
        <v>391478.30597029004</v>
      </c>
      <c r="HJ33" s="96">
        <f t="shared" ca="1" si="48"/>
        <v>559254.72281469998</v>
      </c>
      <c r="HK33" s="96">
        <f t="shared" ca="1" si="48"/>
        <v>466045.60234558332</v>
      </c>
      <c r="HL33" s="96">
        <f t="shared" ca="1" si="48"/>
        <v>0</v>
      </c>
      <c r="HM33" s="96">
        <f t="shared" ca="1" si="48"/>
        <v>0</v>
      </c>
      <c r="HN33" s="96">
        <f t="shared" ca="1" si="48"/>
        <v>0</v>
      </c>
      <c r="HO33" s="96">
        <f t="shared" ca="1" si="48"/>
        <v>0</v>
      </c>
      <c r="HP33" s="96">
        <f t="shared" ca="1" si="48"/>
        <v>0</v>
      </c>
      <c r="HQ33" s="96">
        <f t="shared" ca="1" si="48"/>
        <v>0</v>
      </c>
      <c r="HS33" s="97">
        <f t="shared" ca="1" si="21"/>
        <v>274221.23242014123</v>
      </c>
    </row>
    <row r="34" spans="1:227" ht="17.25" thickTop="1" thickBot="1" x14ac:dyDescent="0.3">
      <c r="A34" s="102" t="s">
        <v>52</v>
      </c>
      <c r="B34" s="103" t="s">
        <v>383</v>
      </c>
      <c r="C34" s="73" t="s">
        <v>384</v>
      </c>
      <c r="D34" s="74" t="s">
        <v>0</v>
      </c>
      <c r="E34" s="74" t="s">
        <v>349</v>
      </c>
      <c r="F34" s="73"/>
      <c r="G34" s="75">
        <f t="shared" ca="1" si="68"/>
        <v>133</v>
      </c>
      <c r="H34" s="75">
        <v>133</v>
      </c>
      <c r="I34" s="75">
        <f t="shared" ca="1" si="69"/>
        <v>266</v>
      </c>
      <c r="J34" s="76">
        <f ca="1">[1]Parameters!$C$3+G34</f>
        <v>45964</v>
      </c>
      <c r="K34" s="77">
        <f t="shared" ca="1" si="23"/>
        <v>11</v>
      </c>
      <c r="L34" s="77">
        <f t="shared" ca="1" si="24"/>
        <v>2025</v>
      </c>
      <c r="M34" s="76">
        <f ca="1">[1]Parameters!$C$3+I34</f>
        <v>46097</v>
      </c>
      <c r="N34" s="77">
        <f t="shared" ca="1" si="25"/>
        <v>3</v>
      </c>
      <c r="O34" s="77">
        <f t="shared" ca="1" si="26"/>
        <v>2026</v>
      </c>
      <c r="P34" s="78">
        <v>0.95</v>
      </c>
      <c r="Q34" s="79" t="str">
        <f ca="1">VLOOKUP(A34,[1]ABC!A:G,7,0)</f>
        <v>B</v>
      </c>
      <c r="R34" s="80">
        <f t="shared" ca="1" si="9"/>
        <v>49.339390488341323</v>
      </c>
      <c r="S34" s="81">
        <v>50.69</v>
      </c>
      <c r="T34" s="82">
        <f t="shared" ca="1" si="10"/>
        <v>1600</v>
      </c>
      <c r="U34" s="83">
        <f ca="1">IF((ROUND(AVERAGE(BI34:BR34)*2/100,0)*100)&lt;T34,T34,ROUND(AVERAGE(BI34:BR34)*2/100,0)*100)</f>
        <v>3300</v>
      </c>
      <c r="V34" s="80">
        <v>3000</v>
      </c>
      <c r="W34" s="80">
        <f t="shared" ca="1" si="27"/>
        <v>3000</v>
      </c>
      <c r="X34" s="80"/>
      <c r="Y34" s="84">
        <v>6.72</v>
      </c>
      <c r="Z34" s="85">
        <v>3</v>
      </c>
      <c r="AA34" s="85">
        <v>2979</v>
      </c>
      <c r="AB34" s="85">
        <v>15</v>
      </c>
      <c r="AC34" s="85">
        <v>4432</v>
      </c>
      <c r="AD34" s="85">
        <v>1428</v>
      </c>
      <c r="AE34" s="85">
        <v>1956</v>
      </c>
      <c r="AF34" s="85">
        <v>1202</v>
      </c>
      <c r="AG34" s="85">
        <v>1706</v>
      </c>
      <c r="AH34" s="85">
        <v>1737</v>
      </c>
      <c r="AI34" s="75">
        <v>2467</v>
      </c>
      <c r="AJ34" s="75">
        <f t="shared" ca="1" si="56"/>
        <v>3708.3630000000003</v>
      </c>
      <c r="AK34" s="75">
        <f t="shared" ca="1" si="56"/>
        <v>8487.4820000000018</v>
      </c>
      <c r="AL34" s="75">
        <f t="shared" ca="1" si="56"/>
        <v>7063.3030000000017</v>
      </c>
      <c r="AM34" s="75">
        <f t="shared" ca="1" si="56"/>
        <v>5353.8510000000015</v>
      </c>
      <c r="AN34" s="75">
        <f t="shared" ca="1" si="56"/>
        <v>3690.3050000000012</v>
      </c>
      <c r="AO34" s="75">
        <f t="shared" ca="1" si="56"/>
        <v>7790.3050000000003</v>
      </c>
      <c r="AP34" s="75">
        <f t="shared" ca="1" si="56"/>
        <v>8890.3050000000003</v>
      </c>
      <c r="AQ34" s="75">
        <f t="shared" ca="1" si="56"/>
        <v>9990.3050000000003</v>
      </c>
      <c r="AR34" s="75">
        <f t="shared" ca="1" si="56"/>
        <v>11090.305</v>
      </c>
      <c r="AS34" s="75">
        <f t="shared" ca="1" si="56"/>
        <v>8620.3050000000003</v>
      </c>
      <c r="AT34" s="75">
        <f t="shared" ca="1" si="56"/>
        <v>7290.3050000000003</v>
      </c>
      <c r="AU34" s="75">
        <f t="shared" ca="1" si="56"/>
        <v>5390.3050000000003</v>
      </c>
      <c r="AV34" s="75">
        <f t="shared" ca="1" si="56"/>
        <v>3690.3050000000003</v>
      </c>
      <c r="AW34" s="75">
        <f t="shared" ca="1" si="56"/>
        <v>3690.3050000000003</v>
      </c>
      <c r="AX34" s="75">
        <f t="shared" ca="1" si="56"/>
        <v>3690.3050000000003</v>
      </c>
      <c r="AY34" s="75">
        <f t="shared" ca="1" si="54"/>
        <v>3690.3050000000003</v>
      </c>
      <c r="AZ34" s="75">
        <f t="shared" ca="1" si="12"/>
        <v>3690.3050000000003</v>
      </c>
      <c r="BA34" s="75">
        <f t="shared" ca="1" si="12"/>
        <v>3690.3050000000003</v>
      </c>
      <c r="BB34" s="166"/>
      <c r="BC34" s="86">
        <v>2.98</v>
      </c>
      <c r="BD34" s="86">
        <v>2978.87</v>
      </c>
      <c r="BE34" s="86">
        <v>1117.75</v>
      </c>
      <c r="BF34" s="86">
        <v>1117.75</v>
      </c>
      <c r="BG34" s="86">
        <v>1087.5350000000001</v>
      </c>
      <c r="BH34" s="86">
        <v>1722.568</v>
      </c>
      <c r="BI34" s="86">
        <v>2614.4560000000001</v>
      </c>
      <c r="BJ34" s="86">
        <v>946.53800000000001</v>
      </c>
      <c r="BK34" s="86">
        <v>1393.575</v>
      </c>
      <c r="BL34" s="86">
        <v>1758.6369999999999</v>
      </c>
      <c r="BM34" s="86">
        <v>1220.8810000000001</v>
      </c>
      <c r="BN34" s="86">
        <v>1424.1790000000001</v>
      </c>
      <c r="BO34" s="86">
        <v>1709.452</v>
      </c>
      <c r="BP34" s="86">
        <v>1663.546</v>
      </c>
      <c r="BQ34" s="86">
        <v>1900</v>
      </c>
      <c r="BR34" s="86">
        <v>1900</v>
      </c>
      <c r="BS34" s="86">
        <v>1900</v>
      </c>
      <c r="BT34" s="86">
        <v>1900</v>
      </c>
      <c r="BU34" s="86">
        <v>2470</v>
      </c>
      <c r="BV34" s="86">
        <v>1330</v>
      </c>
      <c r="BW34" s="86">
        <f ca="1">VLOOKUP(A34,[3]Export!$B:$Q,16,0)</f>
        <v>1900</v>
      </c>
      <c r="BX34" s="86">
        <v>1700</v>
      </c>
      <c r="BY34" s="86">
        <v>0</v>
      </c>
      <c r="BZ34" s="86">
        <v>0</v>
      </c>
      <c r="CA34" s="86">
        <v>0</v>
      </c>
      <c r="CB34" s="86">
        <v>0</v>
      </c>
      <c r="CC34" s="86">
        <v>0</v>
      </c>
      <c r="CD34" s="86">
        <v>0</v>
      </c>
      <c r="CE34" s="86">
        <f t="shared" ca="1" si="28"/>
        <v>316.89436400205824</v>
      </c>
      <c r="CF34" s="87"/>
      <c r="CG34" s="86">
        <v>0</v>
      </c>
      <c r="CH34" s="86">
        <v>0</v>
      </c>
      <c r="CI34" s="86">
        <v>0</v>
      </c>
      <c r="CJ34" s="86">
        <v>0</v>
      </c>
      <c r="CK34" s="86">
        <v>0</v>
      </c>
      <c r="CL34" s="86">
        <v>0</v>
      </c>
      <c r="CM34" s="86">
        <v>0</v>
      </c>
      <c r="CN34" s="86">
        <v>0</v>
      </c>
      <c r="CO34" s="86">
        <v>3000</v>
      </c>
      <c r="CP34" s="89">
        <v>6000</v>
      </c>
      <c r="CQ34" s="86">
        <v>0</v>
      </c>
      <c r="CR34" s="86">
        <v>0</v>
      </c>
      <c r="CS34" s="86">
        <v>0</v>
      </c>
      <c r="CT34" s="86">
        <v>6000</v>
      </c>
      <c r="CU34" s="90">
        <v>3000</v>
      </c>
      <c r="CV34" s="90">
        <v>3000</v>
      </c>
      <c r="CW34" s="90">
        <v>3000</v>
      </c>
      <c r="CX34" s="90">
        <v>0</v>
      </c>
      <c r="CY34" s="90">
        <v>0</v>
      </c>
      <c r="CZ34" s="90">
        <v>0</v>
      </c>
      <c r="DA34" s="90">
        <v>0</v>
      </c>
      <c r="DB34" s="90">
        <v>0</v>
      </c>
      <c r="DC34" s="90">
        <v>0</v>
      </c>
      <c r="DD34" s="90">
        <v>0</v>
      </c>
      <c r="DE34" s="90">
        <v>0</v>
      </c>
      <c r="DF34" s="90">
        <v>0</v>
      </c>
      <c r="DG34" s="86">
        <v>0</v>
      </c>
      <c r="DI34" s="91">
        <f ca="1">VLOOKUP(A34,'[2]2-Relatório'!$A:$J,9,0)</f>
        <v>55.67</v>
      </c>
      <c r="DJ34" s="92">
        <f t="shared" ca="1" si="60"/>
        <v>835.05000000000007</v>
      </c>
      <c r="DK34" s="92">
        <f t="shared" ca="1" si="60"/>
        <v>246729.44</v>
      </c>
      <c r="DL34" s="92">
        <f t="shared" ca="1" si="60"/>
        <v>79496.760000000009</v>
      </c>
      <c r="DM34" s="92">
        <f t="shared" ca="1" si="60"/>
        <v>108890.52</v>
      </c>
      <c r="DN34" s="92">
        <f t="shared" ca="1" si="60"/>
        <v>66915.34</v>
      </c>
      <c r="DO34" s="92">
        <f t="shared" ca="1" si="60"/>
        <v>94973.02</v>
      </c>
      <c r="DP34" s="92">
        <f t="shared" ca="1" si="60"/>
        <v>96698.790000000008</v>
      </c>
      <c r="DQ34" s="92">
        <f t="shared" ca="1" si="60"/>
        <v>137337.89000000001</v>
      </c>
      <c r="DR34" s="92">
        <f t="shared" ca="1" si="45"/>
        <v>206444.56821000003</v>
      </c>
      <c r="DS34" s="92">
        <f t="shared" ca="1" si="45"/>
        <v>472498.12294000009</v>
      </c>
      <c r="DT34" s="92">
        <f t="shared" ca="1" si="45"/>
        <v>393214.07801000011</v>
      </c>
      <c r="DU34" s="92">
        <f t="shared" ca="1" si="45"/>
        <v>298048.88517000008</v>
      </c>
      <c r="DV34" s="92">
        <f t="shared" ca="1" si="45"/>
        <v>205439.27935000008</v>
      </c>
      <c r="DW34" s="92">
        <f t="shared" ca="1" si="45"/>
        <v>433686.27935000003</v>
      </c>
      <c r="DX34" s="92">
        <f t="shared" ca="1" si="45"/>
        <v>494923.27935000003</v>
      </c>
      <c r="DY34" s="92">
        <f t="shared" ca="1" si="45"/>
        <v>556160.27935000008</v>
      </c>
      <c r="DZ34" s="92">
        <f t="shared" ca="1" si="45"/>
        <v>617397.27935000008</v>
      </c>
      <c r="EA34" s="92">
        <f t="shared" ca="1" si="45"/>
        <v>479892.37935</v>
      </c>
      <c r="EB34" s="92">
        <f t="shared" ca="1" si="45"/>
        <v>405851.27935000003</v>
      </c>
      <c r="EC34" s="92">
        <f t="shared" ca="1" si="45"/>
        <v>300078.27935000003</v>
      </c>
      <c r="ED34" s="92">
        <f t="shared" ca="1" si="45"/>
        <v>205439.27935000003</v>
      </c>
      <c r="EE34" s="92">
        <f t="shared" ca="1" si="45"/>
        <v>205439.27935000003</v>
      </c>
      <c r="EF34" s="92">
        <f t="shared" ca="1" si="45"/>
        <v>205439.27935000003</v>
      </c>
      <c r="EG34" s="92">
        <f t="shared" ref="EG34:EI68" ca="1" si="73">AY34*$DI34</f>
        <v>205439.27935000003</v>
      </c>
      <c r="EH34" s="92">
        <f t="shared" ca="1" si="46"/>
        <v>205439.27935000003</v>
      </c>
      <c r="EI34" s="92">
        <f t="shared" ca="1" si="46"/>
        <v>205439.27935000003</v>
      </c>
      <c r="EL34" s="93">
        <f t="shared" ca="1" si="57"/>
        <v>151.05619999999999</v>
      </c>
      <c r="EM34" s="93">
        <f t="shared" ca="1" si="57"/>
        <v>150998.9203</v>
      </c>
      <c r="EN34" s="92">
        <f t="shared" ca="1" si="61"/>
        <v>62225.142500000002</v>
      </c>
      <c r="EO34" s="92">
        <f t="shared" ca="1" si="61"/>
        <v>62225.142500000002</v>
      </c>
      <c r="EP34" s="92">
        <f t="shared" ca="1" si="61"/>
        <v>60543.073450000004</v>
      </c>
      <c r="EQ34" s="92">
        <f t="shared" ca="1" si="61"/>
        <v>95895.360560000001</v>
      </c>
      <c r="ER34" s="92">
        <f t="shared" ca="1" si="61"/>
        <v>145546.76552000002</v>
      </c>
      <c r="ES34" s="92">
        <f t="shared" ca="1" si="61"/>
        <v>52693.77046</v>
      </c>
      <c r="ET34" s="92">
        <f t="shared" ca="1" si="61"/>
        <v>77580.320250000004</v>
      </c>
      <c r="EU34" s="92">
        <f t="shared" ca="1" si="61"/>
        <v>97903.321790000002</v>
      </c>
      <c r="EV34" s="92">
        <f t="shared" ca="1" si="61"/>
        <v>67966.445270000011</v>
      </c>
      <c r="EW34" s="92">
        <f t="shared" ca="1" si="61"/>
        <v>79284.044930000004</v>
      </c>
      <c r="EX34" s="92">
        <f t="shared" ca="1" si="61"/>
        <v>95165.192840000003</v>
      </c>
      <c r="EY34" s="92">
        <f t="shared" ca="1" si="61"/>
        <v>92609.605820000012</v>
      </c>
      <c r="EZ34" s="92">
        <f t="shared" ca="1" si="61"/>
        <v>105773</v>
      </c>
      <c r="FA34" s="92">
        <f t="shared" ca="1" si="61"/>
        <v>105773</v>
      </c>
      <c r="FB34" s="92">
        <f t="shared" ca="1" si="61"/>
        <v>105773</v>
      </c>
      <c r="FC34" s="92">
        <f t="shared" ca="1" si="61"/>
        <v>105773</v>
      </c>
      <c r="FD34" s="92">
        <f t="shared" ca="1" si="58"/>
        <v>137504.9</v>
      </c>
      <c r="FE34" s="92">
        <f t="shared" ca="1" si="58"/>
        <v>74041.100000000006</v>
      </c>
      <c r="FF34" s="92">
        <f t="shared" ca="1" si="58"/>
        <v>105773</v>
      </c>
      <c r="FG34" s="92">
        <f t="shared" ca="1" si="58"/>
        <v>94639</v>
      </c>
      <c r="FH34" s="92">
        <f t="shared" ca="1" si="55"/>
        <v>0</v>
      </c>
      <c r="FI34" s="92">
        <f t="shared" ca="1" si="55"/>
        <v>0</v>
      </c>
      <c r="FJ34" s="92">
        <f t="shared" ca="1" si="55"/>
        <v>0</v>
      </c>
      <c r="FK34" s="92">
        <f t="shared" ca="1" si="55"/>
        <v>0</v>
      </c>
      <c r="FL34" s="92">
        <f t="shared" ca="1" si="55"/>
        <v>0</v>
      </c>
      <c r="FM34" s="92">
        <f t="shared" ca="1" si="55"/>
        <v>0</v>
      </c>
      <c r="FN34" s="94">
        <f t="shared" ca="1" si="70"/>
        <v>18000</v>
      </c>
      <c r="FO34" s="94">
        <f t="shared" ca="1" si="71"/>
        <v>6000</v>
      </c>
      <c r="FP34" s="95">
        <f t="shared" ca="1" si="59"/>
        <v>30.201342281879199</v>
      </c>
      <c r="FQ34" s="95">
        <f t="shared" ca="1" si="59"/>
        <v>30.001309221281893</v>
      </c>
      <c r="FR34" s="95">
        <f t="shared" ca="1" si="72"/>
        <v>0.40259449787519574</v>
      </c>
      <c r="FS34" s="95">
        <f t="shared" ca="1" si="72"/>
        <v>118.9532543055245</v>
      </c>
      <c r="FT34" s="95">
        <f t="shared" ca="1" si="72"/>
        <v>39.391835665059055</v>
      </c>
      <c r="FU34" s="95">
        <f t="shared" ca="1" si="72"/>
        <v>34.06541860756731</v>
      </c>
      <c r="FV34" s="95">
        <f t="shared" ca="1" si="72"/>
        <v>13.792544223348948</v>
      </c>
      <c r="FW34" s="95">
        <f t="shared" ca="1" si="72"/>
        <v>54.070729331521825</v>
      </c>
      <c r="FX34" s="95">
        <f t="shared" ca="1" si="72"/>
        <v>37.393035896883916</v>
      </c>
      <c r="FY34" s="95">
        <f t="shared" ca="1" si="72"/>
        <v>42.083727341117019</v>
      </c>
      <c r="FZ34" s="95">
        <f t="shared" ca="1" si="72"/>
        <v>91.123451016110494</v>
      </c>
      <c r="GA34" s="95">
        <f t="shared" ca="1" si="72"/>
        <v>178.78683789046184</v>
      </c>
      <c r="GB34" s="95">
        <f t="shared" ca="1" si="72"/>
        <v>123.95732082562135</v>
      </c>
      <c r="GC34" s="95">
        <f t="shared" ca="1" si="72"/>
        <v>96.550098404252125</v>
      </c>
      <c r="GD34" s="95">
        <f t="shared" ca="1" si="72"/>
        <v>58.267973684210553</v>
      </c>
      <c r="GE34" s="95">
        <f t="shared" ca="1" si="72"/>
        <v>123.0048157894737</v>
      </c>
      <c r="GF34" s="95">
        <f t="shared" ca="1" si="72"/>
        <v>140.37323684210526</v>
      </c>
      <c r="GG34" s="95">
        <f t="shared" ca="1" si="72"/>
        <v>157.74165789473685</v>
      </c>
      <c r="GH34" s="95">
        <f t="shared" ca="1" si="41"/>
        <v>134.70006072874497</v>
      </c>
      <c r="GI34" s="95">
        <f t="shared" ca="1" si="41"/>
        <v>194.44296992481202</v>
      </c>
      <c r="GJ34" s="95">
        <f t="shared" ca="1" si="41"/>
        <v>115.11007894736844</v>
      </c>
      <c r="GK34" s="95">
        <f t="shared" ca="1" si="41"/>
        <v>95.123029411764719</v>
      </c>
      <c r="GL34" s="95">
        <f t="shared" ca="1" si="41"/>
        <v>0</v>
      </c>
      <c r="GM34" s="95">
        <f t="shared" ca="1" si="41"/>
        <v>0</v>
      </c>
      <c r="GN34" s="95">
        <f t="shared" ca="1" si="41"/>
        <v>0</v>
      </c>
      <c r="GO34" s="95">
        <f t="shared" ca="1" si="41"/>
        <v>0</v>
      </c>
      <c r="GP34" s="95">
        <f t="shared" ca="1" si="41"/>
        <v>0</v>
      </c>
      <c r="GQ34" s="95">
        <f t="shared" ca="1" si="41"/>
        <v>0</v>
      </c>
      <c r="GS34" s="7">
        <v>183.90358136626671</v>
      </c>
      <c r="GT34" s="96">
        <f t="shared" ca="1" si="47"/>
        <v>200001.58136116288</v>
      </c>
      <c r="GU34" s="96">
        <f t="shared" ca="1" si="47"/>
        <v>316786.42434692732</v>
      </c>
      <c r="GV34" s="96">
        <f t="shared" ca="1" si="47"/>
        <v>480807.8217245242</v>
      </c>
      <c r="GW34" s="96">
        <f t="shared" ca="1" si="47"/>
        <v>174071.72809926336</v>
      </c>
      <c r="GX34" s="96">
        <f t="shared" ca="1" si="47"/>
        <v>256283.43340249514</v>
      </c>
      <c r="GY34" s="96">
        <f t="shared" ca="1" si="47"/>
        <v>323419.64262322715</v>
      </c>
      <c r="GZ34" s="96">
        <f t="shared" ca="1" si="47"/>
        <v>224524.38832202909</v>
      </c>
      <c r="HA34" s="96">
        <f t="shared" ca="1" si="47"/>
        <v>261911.61860662836</v>
      </c>
      <c r="HB34" s="96">
        <f t="shared" ca="1" si="47"/>
        <v>314374.34497372736</v>
      </c>
      <c r="HC34" s="96">
        <f t="shared" ca="1" si="47"/>
        <v>305932.06716752751</v>
      </c>
      <c r="HD34" s="96">
        <f t="shared" ca="1" si="47"/>
        <v>349416.80459590675</v>
      </c>
      <c r="HE34" s="96">
        <f t="shared" ca="1" si="47"/>
        <v>349416.80459590675</v>
      </c>
      <c r="HF34" s="96">
        <f t="shared" ca="1" si="47"/>
        <v>349416.80459590675</v>
      </c>
      <c r="HG34" s="96">
        <f t="shared" ca="1" si="47"/>
        <v>349416.80459590675</v>
      </c>
      <c r="HH34" s="96">
        <f t="shared" ca="1" si="47"/>
        <v>454241.84597467876</v>
      </c>
      <c r="HI34" s="96">
        <f t="shared" ref="HI34:HP52" ca="1" si="74">$GS34*BV34</f>
        <v>244591.76321713472</v>
      </c>
      <c r="HJ34" s="96">
        <f t="shared" ca="1" si="48"/>
        <v>349416.80459590675</v>
      </c>
      <c r="HK34" s="96">
        <f t="shared" ca="1" si="48"/>
        <v>312636.08832265338</v>
      </c>
      <c r="HL34" s="96">
        <f t="shared" ca="1" si="48"/>
        <v>0</v>
      </c>
      <c r="HM34" s="96">
        <f t="shared" ca="1" si="48"/>
        <v>0</v>
      </c>
      <c r="HN34" s="96">
        <f t="shared" ca="1" si="48"/>
        <v>0</v>
      </c>
      <c r="HO34" s="96">
        <f t="shared" ca="1" si="48"/>
        <v>0</v>
      </c>
      <c r="HP34" s="96">
        <f t="shared" ca="1" si="48"/>
        <v>0</v>
      </c>
      <c r="HQ34" s="96">
        <f t="shared" ca="1" si="48"/>
        <v>0</v>
      </c>
      <c r="HS34" s="97">
        <f t="shared" ca="1" si="21"/>
        <v>262614.31419102888</v>
      </c>
    </row>
    <row r="35" spans="1:227" ht="17.25" thickTop="1" thickBot="1" x14ac:dyDescent="0.3">
      <c r="A35" s="102" t="s">
        <v>71</v>
      </c>
      <c r="B35" s="103" t="s">
        <v>385</v>
      </c>
      <c r="C35" s="73" t="s">
        <v>386</v>
      </c>
      <c r="D35" s="74" t="s">
        <v>0</v>
      </c>
      <c r="E35" s="74" t="s">
        <v>349</v>
      </c>
      <c r="F35" s="73"/>
      <c r="G35" s="75">
        <f t="shared" ca="1" si="68"/>
        <v>133</v>
      </c>
      <c r="H35" s="75">
        <v>133</v>
      </c>
      <c r="I35" s="75">
        <f t="shared" ca="1" si="69"/>
        <v>266</v>
      </c>
      <c r="J35" s="76">
        <f ca="1">[1]Parameters!$C$3+G35</f>
        <v>45964</v>
      </c>
      <c r="K35" s="77">
        <f t="shared" ca="1" si="23"/>
        <v>11</v>
      </c>
      <c r="L35" s="77">
        <f t="shared" ca="1" si="24"/>
        <v>2025</v>
      </c>
      <c r="M35" s="76">
        <f ca="1">[1]Parameters!$C$3+I35</f>
        <v>46097</v>
      </c>
      <c r="N35" s="77">
        <f t="shared" ca="1" si="25"/>
        <v>3</v>
      </c>
      <c r="O35" s="77">
        <f t="shared" ca="1" si="26"/>
        <v>2026</v>
      </c>
      <c r="P35" s="78">
        <v>0.9</v>
      </c>
      <c r="Q35" s="79" t="str">
        <f ca="1">VLOOKUP(A35,[1]ABC!A:G,7,0)</f>
        <v>C</v>
      </c>
      <c r="R35" s="80">
        <f t="shared" ca="1" si="9"/>
        <v>49.888020261412684</v>
      </c>
      <c r="S35" s="81">
        <v>45.5</v>
      </c>
      <c r="T35" s="82">
        <f t="shared" ca="1" si="10"/>
        <v>800</v>
      </c>
      <c r="U35" s="83">
        <f ca="1">IF((ROUND(AVERAGE(BI35:BR35)/10,0)*10)&lt;T35,T35,ROUND(AVERAGE(BI35:BR35)/10,0)*10)</f>
        <v>800</v>
      </c>
      <c r="V35" s="80">
        <v>3000</v>
      </c>
      <c r="W35" s="80">
        <f t="shared" ca="1" si="27"/>
        <v>3000</v>
      </c>
      <c r="X35" s="80"/>
      <c r="Y35" s="84">
        <v>6.72</v>
      </c>
      <c r="Z35" s="85">
        <v>1822</v>
      </c>
      <c r="AA35" s="85">
        <v>2095</v>
      </c>
      <c r="AB35" s="85">
        <v>54</v>
      </c>
      <c r="AC35" s="85">
        <v>3</v>
      </c>
      <c r="AD35" s="85">
        <v>2</v>
      </c>
      <c r="AE35" s="85">
        <v>2227</v>
      </c>
      <c r="AF35" s="85">
        <v>1720</v>
      </c>
      <c r="AG35" s="85">
        <v>832</v>
      </c>
      <c r="AH35" s="85">
        <v>1133</v>
      </c>
      <c r="AI35" s="75">
        <v>4</v>
      </c>
      <c r="AJ35" s="75">
        <f t="shared" ca="1" si="56"/>
        <v>0</v>
      </c>
      <c r="AK35" s="75">
        <f t="shared" ca="1" si="56"/>
        <v>0</v>
      </c>
      <c r="AL35" s="75">
        <f t="shared" ca="1" si="56"/>
        <v>2329.991</v>
      </c>
      <c r="AM35" s="75">
        <f t="shared" ca="1" si="56"/>
        <v>1527.729</v>
      </c>
      <c r="AN35" s="75">
        <f t="shared" ca="1" si="56"/>
        <v>3695.9560000000001</v>
      </c>
      <c r="AO35" s="75">
        <f t="shared" ca="1" si="56"/>
        <v>3105.9560000000001</v>
      </c>
      <c r="AP35" s="75">
        <f t="shared" ca="1" si="56"/>
        <v>2435.9560000000001</v>
      </c>
      <c r="AQ35" s="75">
        <f t="shared" ca="1" si="56"/>
        <v>1633.9560000000001</v>
      </c>
      <c r="AR35" s="75">
        <f t="shared" ca="1" si="56"/>
        <v>3933.9560000000001</v>
      </c>
      <c r="AS35" s="75">
        <f t="shared" ca="1" si="56"/>
        <v>3101.9560000000001</v>
      </c>
      <c r="AT35" s="75">
        <f t="shared" ca="1" si="56"/>
        <v>2966.9560000000001</v>
      </c>
      <c r="AU35" s="75">
        <f t="shared" ca="1" si="56"/>
        <v>2410.9560000000001</v>
      </c>
      <c r="AV35" s="75">
        <f t="shared" ca="1" si="56"/>
        <v>1410.9560000000001</v>
      </c>
      <c r="AW35" s="75">
        <f t="shared" ca="1" si="56"/>
        <v>1410.9560000000001</v>
      </c>
      <c r="AX35" s="75">
        <f t="shared" ca="1" si="56"/>
        <v>1410.9560000000001</v>
      </c>
      <c r="AY35" s="75">
        <f t="shared" ca="1" si="54"/>
        <v>1410.9560000000001</v>
      </c>
      <c r="AZ35" s="75">
        <f t="shared" ca="1" si="12"/>
        <v>1410.9560000000001</v>
      </c>
      <c r="BA35" s="75">
        <f t="shared" ca="1" si="12"/>
        <v>1410.9560000000001</v>
      </c>
      <c r="BB35" s="166"/>
      <c r="BC35" s="86">
        <v>1823.95</v>
      </c>
      <c r="BD35" s="86">
        <v>2092</v>
      </c>
      <c r="BE35" s="86">
        <v>652.33333333333337</v>
      </c>
      <c r="BF35" s="86">
        <v>652.33333333333337</v>
      </c>
      <c r="BG35" s="86">
        <v>464.52499999999998</v>
      </c>
      <c r="BH35" s="86">
        <v>785.86699999999996</v>
      </c>
      <c r="BI35" s="86">
        <v>1141.0920000000001</v>
      </c>
      <c r="BJ35" s="86">
        <v>402.22399999999999</v>
      </c>
      <c r="BK35" s="86">
        <v>601.15</v>
      </c>
      <c r="BL35" s="86">
        <v>700.61300000000006</v>
      </c>
      <c r="BM35" s="86">
        <v>590.22</v>
      </c>
      <c r="BN35" s="86">
        <v>670.00900000000001</v>
      </c>
      <c r="BO35" s="86">
        <v>802.26199999999994</v>
      </c>
      <c r="BP35" s="86">
        <v>831.77300000000002</v>
      </c>
      <c r="BQ35" s="86">
        <v>590</v>
      </c>
      <c r="BR35" s="86">
        <v>670</v>
      </c>
      <c r="BS35" s="86">
        <v>802</v>
      </c>
      <c r="BT35" s="86">
        <v>700</v>
      </c>
      <c r="BU35" s="86">
        <v>832</v>
      </c>
      <c r="BV35" s="86">
        <v>135</v>
      </c>
      <c r="BW35" s="86">
        <f ca="1">VLOOKUP(A35,[3]Export!$B:$Q,16,0)</f>
        <v>556</v>
      </c>
      <c r="BX35" s="86">
        <v>1000</v>
      </c>
      <c r="BY35" s="86">
        <v>0</v>
      </c>
      <c r="BZ35" s="86">
        <v>0</v>
      </c>
      <c r="CA35" s="86">
        <v>0</v>
      </c>
      <c r="CB35" s="86">
        <v>0</v>
      </c>
      <c r="CC35" s="86">
        <v>0</v>
      </c>
      <c r="CD35" s="86">
        <v>0</v>
      </c>
      <c r="CE35" s="86">
        <f t="shared" ca="1" si="28"/>
        <v>205.71721757046924</v>
      </c>
      <c r="CF35" s="87"/>
      <c r="CG35" s="86">
        <v>0</v>
      </c>
      <c r="CH35" s="86">
        <v>0</v>
      </c>
      <c r="CI35" s="86">
        <v>0</v>
      </c>
      <c r="CJ35" s="86">
        <v>0</v>
      </c>
      <c r="CK35" s="86">
        <v>0</v>
      </c>
      <c r="CL35" s="86">
        <v>0</v>
      </c>
      <c r="CM35" s="86">
        <v>0</v>
      </c>
      <c r="CN35" s="86">
        <v>0</v>
      </c>
      <c r="CO35" s="86">
        <v>0</v>
      </c>
      <c r="CP35" s="86">
        <v>0</v>
      </c>
      <c r="CQ35" s="89">
        <v>3000</v>
      </c>
      <c r="CR35" s="89">
        <v>0</v>
      </c>
      <c r="CS35" s="86">
        <v>3000</v>
      </c>
      <c r="CT35" s="86">
        <v>0</v>
      </c>
      <c r="CU35" s="90">
        <v>0</v>
      </c>
      <c r="CV35" s="90">
        <v>0</v>
      </c>
      <c r="CW35" s="86">
        <v>3000</v>
      </c>
      <c r="CX35" s="90">
        <v>0</v>
      </c>
      <c r="CY35" s="90">
        <v>0</v>
      </c>
      <c r="CZ35" s="90">
        <v>0</v>
      </c>
      <c r="DA35" s="90">
        <v>0</v>
      </c>
      <c r="DB35" s="90">
        <v>0</v>
      </c>
      <c r="DC35" s="90">
        <v>0</v>
      </c>
      <c r="DD35" s="90">
        <v>0</v>
      </c>
      <c r="DE35" s="90">
        <v>0</v>
      </c>
      <c r="DF35" s="90">
        <v>0</v>
      </c>
      <c r="DG35" s="86">
        <v>0</v>
      </c>
      <c r="DI35" s="91">
        <f ca="1">VLOOKUP(A35,'[2]2-Relatório'!$A:$J,9,0)</f>
        <v>58.85</v>
      </c>
      <c r="DJ35" s="92">
        <f t="shared" ca="1" si="60"/>
        <v>3177.9</v>
      </c>
      <c r="DK35" s="92">
        <f t="shared" ca="1" si="60"/>
        <v>176.55</v>
      </c>
      <c r="DL35" s="92">
        <f t="shared" ca="1" si="60"/>
        <v>117.7</v>
      </c>
      <c r="DM35" s="92">
        <f t="shared" ca="1" si="60"/>
        <v>131058.95</v>
      </c>
      <c r="DN35" s="92">
        <f t="shared" ca="1" si="60"/>
        <v>101222</v>
      </c>
      <c r="DO35" s="92">
        <f t="shared" ca="1" si="60"/>
        <v>48963.200000000004</v>
      </c>
      <c r="DP35" s="92">
        <f t="shared" ca="1" si="60"/>
        <v>66677.05</v>
      </c>
      <c r="DQ35" s="92">
        <f t="shared" ca="1" si="60"/>
        <v>235.4</v>
      </c>
      <c r="DR35" s="92">
        <f t="shared" ca="1" si="60"/>
        <v>0</v>
      </c>
      <c r="DS35" s="92">
        <f t="shared" ca="1" si="60"/>
        <v>0</v>
      </c>
      <c r="DT35" s="92">
        <f t="shared" ca="1" si="60"/>
        <v>137119.97034999999</v>
      </c>
      <c r="DU35" s="92">
        <f t="shared" ca="1" si="60"/>
        <v>89906.851650000011</v>
      </c>
      <c r="DV35" s="92">
        <f t="shared" ca="1" si="60"/>
        <v>217507.01060000001</v>
      </c>
      <c r="DW35" s="92">
        <f t="shared" ca="1" si="60"/>
        <v>182785.51060000001</v>
      </c>
      <c r="DX35" s="92">
        <f t="shared" ca="1" si="60"/>
        <v>143356.01060000001</v>
      </c>
      <c r="DY35" s="92">
        <f t="shared" ca="1" si="60"/>
        <v>96158.310600000012</v>
      </c>
      <c r="DZ35" s="92">
        <f t="shared" ref="DZ35:EI69" ca="1" si="75">AR35*$DI35</f>
        <v>231513.31060000003</v>
      </c>
      <c r="EA35" s="92">
        <f t="shared" ca="1" si="75"/>
        <v>182550.11060000001</v>
      </c>
      <c r="EB35" s="92">
        <f t="shared" ca="1" si="75"/>
        <v>174605.36060000001</v>
      </c>
      <c r="EC35" s="92">
        <f t="shared" ca="1" si="75"/>
        <v>141884.76060000001</v>
      </c>
      <c r="ED35" s="92">
        <f t="shared" ca="1" si="75"/>
        <v>83034.760600000009</v>
      </c>
      <c r="EE35" s="92">
        <f t="shared" ca="1" si="75"/>
        <v>83034.760600000009</v>
      </c>
      <c r="EF35" s="92">
        <f t="shared" ca="1" si="75"/>
        <v>83034.760600000009</v>
      </c>
      <c r="EG35" s="92">
        <f t="shared" ca="1" si="73"/>
        <v>83034.760600000009</v>
      </c>
      <c r="EH35" s="92">
        <f t="shared" ca="1" si="46"/>
        <v>83034.760600000009</v>
      </c>
      <c r="EI35" s="92">
        <f t="shared" ca="1" si="46"/>
        <v>83034.760600000009</v>
      </c>
      <c r="EL35" s="93">
        <f t="shared" ca="1" si="57"/>
        <v>82989.725000000006</v>
      </c>
      <c r="EM35" s="93">
        <f t="shared" ca="1" si="57"/>
        <v>95186</v>
      </c>
      <c r="EN35" s="92">
        <f t="shared" ca="1" si="61"/>
        <v>38389.816666666673</v>
      </c>
      <c r="EO35" s="92">
        <f t="shared" ca="1" si="61"/>
        <v>38389.816666666673</v>
      </c>
      <c r="EP35" s="92">
        <f t="shared" ca="1" si="61"/>
        <v>27337.296249999999</v>
      </c>
      <c r="EQ35" s="92">
        <f t="shared" ca="1" si="61"/>
        <v>46248.272949999999</v>
      </c>
      <c r="ER35" s="92">
        <f t="shared" ca="1" si="61"/>
        <v>67153.264200000005</v>
      </c>
      <c r="ES35" s="92">
        <f t="shared" ca="1" si="61"/>
        <v>23670.882399999999</v>
      </c>
      <c r="ET35" s="92">
        <f t="shared" ca="1" si="61"/>
        <v>35377.677499999998</v>
      </c>
      <c r="EU35" s="92">
        <f t="shared" ca="1" si="61"/>
        <v>41231.075050000007</v>
      </c>
      <c r="EV35" s="92">
        <f t="shared" ca="1" si="61"/>
        <v>34734.447</v>
      </c>
      <c r="EW35" s="92">
        <f t="shared" ca="1" si="61"/>
        <v>39430.029650000004</v>
      </c>
      <c r="EX35" s="92">
        <f t="shared" ca="1" si="61"/>
        <v>47213.118699999999</v>
      </c>
      <c r="EY35" s="92">
        <f t="shared" ca="1" si="61"/>
        <v>48949.841050000003</v>
      </c>
      <c r="EZ35" s="92">
        <f t="shared" ca="1" si="61"/>
        <v>34721.5</v>
      </c>
      <c r="FA35" s="92">
        <f t="shared" ca="1" si="61"/>
        <v>39429.5</v>
      </c>
      <c r="FB35" s="92">
        <f t="shared" ca="1" si="61"/>
        <v>47197.700000000004</v>
      </c>
      <c r="FC35" s="92">
        <f t="shared" ca="1" si="61"/>
        <v>41195</v>
      </c>
      <c r="FD35" s="92">
        <f t="shared" ca="1" si="58"/>
        <v>48963.200000000004</v>
      </c>
      <c r="FE35" s="92">
        <f t="shared" ca="1" si="58"/>
        <v>7944.75</v>
      </c>
      <c r="FF35" s="92">
        <f t="shared" ca="1" si="58"/>
        <v>32720.600000000002</v>
      </c>
      <c r="FG35" s="92">
        <f t="shared" ca="1" si="58"/>
        <v>58850</v>
      </c>
      <c r="FH35" s="92">
        <f t="shared" ca="1" si="55"/>
        <v>0</v>
      </c>
      <c r="FI35" s="92">
        <f t="shared" ca="1" si="55"/>
        <v>0</v>
      </c>
      <c r="FJ35" s="92">
        <f t="shared" ca="1" si="55"/>
        <v>0</v>
      </c>
      <c r="FK35" s="92">
        <f t="shared" ca="1" si="55"/>
        <v>0</v>
      </c>
      <c r="FL35" s="92">
        <f t="shared" ca="1" si="55"/>
        <v>0</v>
      </c>
      <c r="FM35" s="92">
        <f t="shared" ca="1" si="55"/>
        <v>0</v>
      </c>
      <c r="FN35" s="94">
        <f t="shared" ca="1" si="70"/>
        <v>6000</v>
      </c>
      <c r="FO35" s="94">
        <f t="shared" ca="1" si="71"/>
        <v>3000</v>
      </c>
      <c r="FP35" s="95">
        <f t="shared" ca="1" si="59"/>
        <v>29.96792675237808</v>
      </c>
      <c r="FQ35" s="95">
        <f t="shared" ca="1" si="59"/>
        <v>30.043021032504779</v>
      </c>
      <c r="FR35" s="95">
        <f t="shared" ca="1" si="72"/>
        <v>2.4833929483903932</v>
      </c>
      <c r="FS35" s="95">
        <f t="shared" ca="1" si="72"/>
        <v>0.13796627491057739</v>
      </c>
      <c r="FT35" s="95">
        <f t="shared" ca="1" si="72"/>
        <v>0.12916419998923634</v>
      </c>
      <c r="FU35" s="95">
        <f t="shared" ca="1" si="72"/>
        <v>85.01438538582228</v>
      </c>
      <c r="FV35" s="95">
        <f t="shared" ca="1" si="72"/>
        <v>45.219842046040107</v>
      </c>
      <c r="FW35" s="95">
        <f t="shared" ca="1" si="72"/>
        <v>62.054974342654852</v>
      </c>
      <c r="FX35" s="95">
        <f t="shared" ca="1" si="72"/>
        <v>56.541628545288205</v>
      </c>
      <c r="FY35" s="95">
        <f t="shared" ca="1" si="72"/>
        <v>0.1712785803289405</v>
      </c>
      <c r="FZ35" s="95">
        <f t="shared" ca="1" si="72"/>
        <v>0</v>
      </c>
      <c r="GA35" s="95">
        <f t="shared" ca="1" si="72"/>
        <v>0</v>
      </c>
      <c r="GB35" s="95">
        <f t="shared" ca="1" si="72"/>
        <v>87.128307211359882</v>
      </c>
      <c r="GC35" s="95">
        <f t="shared" ca="1" si="72"/>
        <v>55.101415891114527</v>
      </c>
      <c r="GD35" s="95">
        <f t="shared" ca="1" si="72"/>
        <v>187.92996610169493</v>
      </c>
      <c r="GE35" s="95">
        <f t="shared" ca="1" si="72"/>
        <v>139.07265671641792</v>
      </c>
      <c r="GF35" s="95">
        <f t="shared" ca="1" si="72"/>
        <v>91.120548628428921</v>
      </c>
      <c r="GG35" s="95">
        <f t="shared" ca="1" si="72"/>
        <v>70.026685714285733</v>
      </c>
      <c r="GH35" s="95">
        <f t="shared" ca="1" si="41"/>
        <v>141.84937500000001</v>
      </c>
      <c r="GI35" s="95">
        <f t="shared" ca="1" si="41"/>
        <v>689.32355555555557</v>
      </c>
      <c r="GJ35" s="95">
        <f t="shared" ca="1" si="41"/>
        <v>160.08755395683454</v>
      </c>
      <c r="GK35" s="95">
        <f t="shared" ca="1" si="41"/>
        <v>72.328680000000006</v>
      </c>
      <c r="GL35" s="95">
        <f t="shared" ca="1" si="41"/>
        <v>0</v>
      </c>
      <c r="GM35" s="95">
        <f t="shared" ca="1" si="41"/>
        <v>0</v>
      </c>
      <c r="GN35" s="95">
        <f t="shared" ca="1" si="41"/>
        <v>0</v>
      </c>
      <c r="GO35" s="95">
        <f t="shared" ca="1" si="41"/>
        <v>0</v>
      </c>
      <c r="GP35" s="95">
        <f t="shared" ca="1" si="41"/>
        <v>0</v>
      </c>
      <c r="GQ35" s="95">
        <f t="shared" ca="1" si="41"/>
        <v>0</v>
      </c>
      <c r="GS35" s="7">
        <v>192.17410882523333</v>
      </c>
      <c r="GT35" s="96">
        <f t="shared" ref="GT35:HH51" ca="1" si="76">$GS35*BG35</f>
        <v>89269.677902041512</v>
      </c>
      <c r="GU35" s="96">
        <f t="shared" ca="1" si="76"/>
        <v>151023.29038015963</v>
      </c>
      <c r="GV35" s="96">
        <f t="shared" ca="1" si="76"/>
        <v>219288.33818760316</v>
      </c>
      <c r="GW35" s="96">
        <f t="shared" ca="1" si="76"/>
        <v>77297.038748120656</v>
      </c>
      <c r="GX35" s="96">
        <f t="shared" ca="1" si="76"/>
        <v>115525.46552028901</v>
      </c>
      <c r="GY35" s="96">
        <f t="shared" ca="1" si="76"/>
        <v>134639.67890637321</v>
      </c>
      <c r="GZ35" s="96">
        <f t="shared" ca="1" si="76"/>
        <v>113425.00251082922</v>
      </c>
      <c r="HA35" s="96">
        <f t="shared" ca="1" si="76"/>
        <v>128758.38247988577</v>
      </c>
      <c r="HB35" s="96">
        <f t="shared" ca="1" si="76"/>
        <v>154173.98489434933</v>
      </c>
      <c r="HC35" s="96">
        <f t="shared" ca="1" si="76"/>
        <v>159845.2350198908</v>
      </c>
      <c r="HD35" s="96">
        <f t="shared" ca="1" si="76"/>
        <v>113382.72420688767</v>
      </c>
      <c r="HE35" s="96">
        <f t="shared" ca="1" si="76"/>
        <v>128756.65291290633</v>
      </c>
      <c r="HF35" s="96">
        <f t="shared" ca="1" si="76"/>
        <v>154123.63527783714</v>
      </c>
      <c r="HG35" s="96">
        <f t="shared" ca="1" si="76"/>
        <v>134521.87617766333</v>
      </c>
      <c r="HH35" s="96">
        <f t="shared" ca="1" si="76"/>
        <v>159888.85854259413</v>
      </c>
      <c r="HI35" s="96">
        <f t="shared" ca="1" si="74"/>
        <v>25943.504691406499</v>
      </c>
      <c r="HJ35" s="96">
        <f t="shared" ca="1" si="48"/>
        <v>106848.80450682974</v>
      </c>
      <c r="HK35" s="96">
        <f t="shared" ca="1" si="48"/>
        <v>192174.10882523333</v>
      </c>
      <c r="HL35" s="96">
        <f t="shared" ca="1" si="48"/>
        <v>0</v>
      </c>
      <c r="HM35" s="96">
        <f t="shared" ca="1" si="48"/>
        <v>0</v>
      </c>
      <c r="HN35" s="96">
        <f t="shared" ca="1" si="48"/>
        <v>0</v>
      </c>
      <c r="HO35" s="96">
        <f t="shared" ca="1" si="48"/>
        <v>0</v>
      </c>
      <c r="HP35" s="96">
        <f t="shared" ca="1" si="48"/>
        <v>0</v>
      </c>
      <c r="HQ35" s="96">
        <f t="shared" ca="1" si="48"/>
        <v>0</v>
      </c>
      <c r="HS35" s="97">
        <f t="shared" ca="1" si="21"/>
        <v>384.34821765046667</v>
      </c>
    </row>
    <row r="36" spans="1:227" ht="17.25" customHeight="1" thickTop="1" thickBot="1" x14ac:dyDescent="0.3">
      <c r="A36" s="102" t="s">
        <v>56</v>
      </c>
      <c r="B36" s="103" t="s">
        <v>387</v>
      </c>
      <c r="C36" s="73" t="s">
        <v>388</v>
      </c>
      <c r="D36" s="74" t="s">
        <v>0</v>
      </c>
      <c r="E36" s="74" t="s">
        <v>349</v>
      </c>
      <c r="F36" s="73"/>
      <c r="G36" s="75">
        <f t="shared" ca="1" si="68"/>
        <v>133</v>
      </c>
      <c r="H36" s="75">
        <v>133</v>
      </c>
      <c r="I36" s="75">
        <f t="shared" ca="1" si="69"/>
        <v>266</v>
      </c>
      <c r="J36" s="76">
        <f ca="1">[1]Parameters!$C$3+G36</f>
        <v>45964</v>
      </c>
      <c r="K36" s="77">
        <f t="shared" ca="1" si="23"/>
        <v>11</v>
      </c>
      <c r="L36" s="77">
        <f t="shared" ca="1" si="24"/>
        <v>2025</v>
      </c>
      <c r="M36" s="76">
        <f ca="1">[1]Parameters!$C$3+I36</f>
        <v>46097</v>
      </c>
      <c r="N36" s="77">
        <f t="shared" ca="1" si="25"/>
        <v>3</v>
      </c>
      <c r="O36" s="77">
        <f t="shared" ca="1" si="26"/>
        <v>2026</v>
      </c>
      <c r="P36" s="78">
        <v>0.95</v>
      </c>
      <c r="Q36" s="79" t="str">
        <f ca="1">VLOOKUP(A36,[1]ABC!A:G,7,0)</f>
        <v>B</v>
      </c>
      <c r="R36" s="80">
        <f t="shared" ca="1" si="9"/>
        <v>2.7370897828243002</v>
      </c>
      <c r="S36" s="81">
        <v>82.84</v>
      </c>
      <c r="T36" s="82">
        <f t="shared" ca="1" si="10"/>
        <v>1700</v>
      </c>
      <c r="U36" s="83">
        <f ca="1">IF((ROUND(AVERAGE(BI36:BR36)*2/100,0)*100)&lt;T36,T36,ROUND(AVERAGE(BI36:BR36)*2/100,0)*100)</f>
        <v>2500</v>
      </c>
      <c r="V36" s="80">
        <v>2200</v>
      </c>
      <c r="W36" s="80">
        <f t="shared" ca="1" si="27"/>
        <v>2200</v>
      </c>
      <c r="X36" s="80"/>
      <c r="Y36" s="84">
        <v>8.2100000000000009</v>
      </c>
      <c r="Z36" s="85">
        <v>1</v>
      </c>
      <c r="AA36" s="85">
        <v>39</v>
      </c>
      <c r="AB36" s="85">
        <v>2</v>
      </c>
      <c r="AC36" s="85">
        <v>2930</v>
      </c>
      <c r="AD36" s="85">
        <v>1106</v>
      </c>
      <c r="AE36" s="85">
        <v>1654</v>
      </c>
      <c r="AF36" s="85">
        <v>1985</v>
      </c>
      <c r="AG36" s="85">
        <v>581</v>
      </c>
      <c r="AH36" s="85">
        <v>1161</v>
      </c>
      <c r="AI36" s="75">
        <v>1506</v>
      </c>
      <c r="AJ36" s="75">
        <f t="shared" ca="1" si="56"/>
        <v>259</v>
      </c>
      <c r="AK36" s="75">
        <f t="shared" ca="1" si="56"/>
        <v>1280</v>
      </c>
      <c r="AL36" s="75">
        <f t="shared" ca="1" si="56"/>
        <v>3571</v>
      </c>
      <c r="AM36" s="75">
        <f t="shared" ca="1" si="56"/>
        <v>2611</v>
      </c>
      <c r="AN36" s="75">
        <f t="shared" ca="1" si="56"/>
        <v>7411</v>
      </c>
      <c r="AO36" s="75">
        <f t="shared" ca="1" si="56"/>
        <v>6425</v>
      </c>
      <c r="AP36" s="75">
        <f t="shared" ca="1" si="56"/>
        <v>5474</v>
      </c>
      <c r="AQ36" s="75">
        <f t="shared" ca="1" si="56"/>
        <v>4343</v>
      </c>
      <c r="AR36" s="75">
        <f t="shared" ca="1" si="56"/>
        <v>5464</v>
      </c>
      <c r="AS36" s="75">
        <f t="shared" ca="1" si="56"/>
        <v>6409</v>
      </c>
      <c r="AT36" s="75">
        <f t="shared" ca="1" si="56"/>
        <v>4887</v>
      </c>
      <c r="AU36" s="75">
        <f t="shared" ca="1" si="56"/>
        <v>3602</v>
      </c>
      <c r="AV36" s="75">
        <f t="shared" ca="1" si="56"/>
        <v>2317</v>
      </c>
      <c r="AW36" s="75">
        <f t="shared" ca="1" si="56"/>
        <v>2317</v>
      </c>
      <c r="AX36" s="75">
        <f t="shared" ca="1" si="56"/>
        <v>2317</v>
      </c>
      <c r="AY36" s="75">
        <f t="shared" ca="1" si="54"/>
        <v>2317</v>
      </c>
      <c r="AZ36" s="75">
        <f t="shared" ca="1" si="12"/>
        <v>2317</v>
      </c>
      <c r="BA36" s="75">
        <f t="shared" ca="1" si="12"/>
        <v>2317</v>
      </c>
      <c r="BB36" s="166"/>
      <c r="BC36" s="86">
        <v>0</v>
      </c>
      <c r="BD36" s="86">
        <v>-2.0700000000000003</v>
      </c>
      <c r="BE36" s="86">
        <v>950.5</v>
      </c>
      <c r="BF36" s="86">
        <v>599</v>
      </c>
      <c r="BG36" s="86">
        <v>58</v>
      </c>
      <c r="BH36" s="86">
        <v>271</v>
      </c>
      <c r="BI36" s="86">
        <v>928</v>
      </c>
      <c r="BJ36" s="86">
        <v>1528</v>
      </c>
      <c r="BK36" s="86">
        <v>726</v>
      </c>
      <c r="BL36" s="86">
        <v>1247</v>
      </c>
      <c r="BM36" s="86">
        <v>1179</v>
      </c>
      <c r="BN36" s="86">
        <v>2109</v>
      </c>
      <c r="BO36" s="86">
        <v>960</v>
      </c>
      <c r="BP36" s="86">
        <v>1800</v>
      </c>
      <c r="BQ36" s="86">
        <v>986</v>
      </c>
      <c r="BR36" s="86">
        <v>951</v>
      </c>
      <c r="BS36" s="86">
        <v>1131</v>
      </c>
      <c r="BT36" s="86">
        <v>1079</v>
      </c>
      <c r="BU36" s="86">
        <v>1255</v>
      </c>
      <c r="BV36" s="86">
        <v>1522</v>
      </c>
      <c r="BW36" s="86">
        <f ca="1">VLOOKUP(A36,[3]Export!$B:$Q,16,0)</f>
        <v>1285</v>
      </c>
      <c r="BX36" s="86">
        <v>1285</v>
      </c>
      <c r="BY36" s="86">
        <v>0</v>
      </c>
      <c r="BZ36" s="86">
        <v>0</v>
      </c>
      <c r="CA36" s="86">
        <v>0</v>
      </c>
      <c r="CB36" s="86">
        <v>0</v>
      </c>
      <c r="CC36" s="86">
        <v>0</v>
      </c>
      <c r="CD36" s="86">
        <v>0</v>
      </c>
      <c r="CE36" s="86">
        <f t="shared" ca="1" si="28"/>
        <v>339.87022410144925</v>
      </c>
      <c r="CF36" s="87"/>
      <c r="CG36" s="86">
        <v>0</v>
      </c>
      <c r="CH36" s="86">
        <v>0</v>
      </c>
      <c r="CI36" s="86">
        <v>0</v>
      </c>
      <c r="CJ36" s="86">
        <v>0</v>
      </c>
      <c r="CK36" s="86">
        <v>0</v>
      </c>
      <c r="CL36" s="86">
        <v>0</v>
      </c>
      <c r="CM36" s="86">
        <v>0</v>
      </c>
      <c r="CN36" s="86">
        <v>0</v>
      </c>
      <c r="CO36" s="86">
        <v>0</v>
      </c>
      <c r="CP36" s="86">
        <v>2200</v>
      </c>
      <c r="CQ36" s="89">
        <v>4400</v>
      </c>
      <c r="CR36" s="86">
        <v>0</v>
      </c>
      <c r="CS36" s="89">
        <f ca="1">2200*3</f>
        <v>6600</v>
      </c>
      <c r="CT36" s="89">
        <v>0</v>
      </c>
      <c r="CU36" s="90">
        <v>0</v>
      </c>
      <c r="CV36" s="90">
        <v>0</v>
      </c>
      <c r="CW36" s="86">
        <v>2200</v>
      </c>
      <c r="CX36" s="90">
        <v>2200</v>
      </c>
      <c r="CY36" s="90">
        <v>0</v>
      </c>
      <c r="CZ36" s="90">
        <v>0</v>
      </c>
      <c r="DA36" s="90">
        <v>0</v>
      </c>
      <c r="DB36" s="90">
        <v>0</v>
      </c>
      <c r="DC36" s="90">
        <v>0</v>
      </c>
      <c r="DD36" s="90">
        <v>0</v>
      </c>
      <c r="DE36" s="90">
        <v>0</v>
      </c>
      <c r="DF36" s="90">
        <v>0</v>
      </c>
      <c r="DG36" s="86">
        <v>0</v>
      </c>
      <c r="DI36" s="91">
        <f ca="1">VLOOKUP(A36,'[2]2-Relatório'!$A:$J,9,0)</f>
        <v>68.67</v>
      </c>
      <c r="DJ36" s="92">
        <f t="shared" ca="1" si="60"/>
        <v>137.34</v>
      </c>
      <c r="DK36" s="92">
        <f t="shared" ca="1" si="60"/>
        <v>201203.1</v>
      </c>
      <c r="DL36" s="92">
        <f t="shared" ca="1" si="60"/>
        <v>75949.02</v>
      </c>
      <c r="DM36" s="92">
        <f t="shared" ca="1" si="60"/>
        <v>113580.18000000001</v>
      </c>
      <c r="DN36" s="92">
        <f t="shared" ca="1" si="60"/>
        <v>136309.95000000001</v>
      </c>
      <c r="DO36" s="92">
        <f t="shared" ca="1" si="60"/>
        <v>39897.270000000004</v>
      </c>
      <c r="DP36" s="92">
        <f t="shared" ca="1" si="60"/>
        <v>79725.87</v>
      </c>
      <c r="DQ36" s="92">
        <f t="shared" ca="1" si="60"/>
        <v>103417.02</v>
      </c>
      <c r="DR36" s="92">
        <f t="shared" ca="1" si="60"/>
        <v>17785.53</v>
      </c>
      <c r="DS36" s="92">
        <f t="shared" ca="1" si="60"/>
        <v>87897.600000000006</v>
      </c>
      <c r="DT36" s="92">
        <f t="shared" ca="1" si="60"/>
        <v>245220.57</v>
      </c>
      <c r="DU36" s="92">
        <f t="shared" ca="1" si="60"/>
        <v>179297.37</v>
      </c>
      <c r="DV36" s="92">
        <f t="shared" ca="1" si="60"/>
        <v>508913.37</v>
      </c>
      <c r="DW36" s="92">
        <f t="shared" ca="1" si="60"/>
        <v>441204.75</v>
      </c>
      <c r="DX36" s="92">
        <f t="shared" ca="1" si="60"/>
        <v>375899.58</v>
      </c>
      <c r="DY36" s="92">
        <f t="shared" ca="1" si="60"/>
        <v>298233.81</v>
      </c>
      <c r="DZ36" s="92">
        <f t="shared" ca="1" si="75"/>
        <v>375212.88</v>
      </c>
      <c r="EA36" s="92">
        <f t="shared" ca="1" si="75"/>
        <v>440106.03</v>
      </c>
      <c r="EB36" s="92">
        <f t="shared" ca="1" si="75"/>
        <v>335590.29000000004</v>
      </c>
      <c r="EC36" s="92">
        <f t="shared" ca="1" si="75"/>
        <v>247349.34</v>
      </c>
      <c r="ED36" s="92">
        <f t="shared" ca="1" si="75"/>
        <v>159108.39000000001</v>
      </c>
      <c r="EE36" s="92">
        <f t="shared" ca="1" si="75"/>
        <v>159108.39000000001</v>
      </c>
      <c r="EF36" s="92">
        <f t="shared" ca="1" si="75"/>
        <v>159108.39000000001</v>
      </c>
      <c r="EG36" s="92">
        <f t="shared" ca="1" si="73"/>
        <v>159108.39000000001</v>
      </c>
      <c r="EH36" s="92">
        <f t="shared" ca="1" si="46"/>
        <v>159108.39000000001</v>
      </c>
      <c r="EI36" s="92">
        <f t="shared" ca="1" si="46"/>
        <v>159108.39000000001</v>
      </c>
      <c r="EL36" s="93">
        <f t="shared" ca="1" si="57"/>
        <v>0</v>
      </c>
      <c r="EM36" s="93">
        <f t="shared" ca="1" si="57"/>
        <v>-171.47880000000004</v>
      </c>
      <c r="EN36" s="92">
        <f t="shared" ca="1" si="61"/>
        <v>65270.834999999999</v>
      </c>
      <c r="EO36" s="92">
        <f t="shared" ca="1" si="61"/>
        <v>41133.33</v>
      </c>
      <c r="EP36" s="92">
        <f t="shared" ca="1" si="61"/>
        <v>3982.86</v>
      </c>
      <c r="EQ36" s="92">
        <f t="shared" ca="1" si="61"/>
        <v>18609.57</v>
      </c>
      <c r="ER36" s="92">
        <f t="shared" ca="1" si="61"/>
        <v>63725.760000000002</v>
      </c>
      <c r="ES36" s="92">
        <f t="shared" ca="1" si="61"/>
        <v>104927.76000000001</v>
      </c>
      <c r="ET36" s="92">
        <f t="shared" ca="1" si="61"/>
        <v>49854.42</v>
      </c>
      <c r="EU36" s="92">
        <f t="shared" ca="1" si="61"/>
        <v>85631.49</v>
      </c>
      <c r="EV36" s="92">
        <f t="shared" ca="1" si="61"/>
        <v>80961.930000000008</v>
      </c>
      <c r="EW36" s="92">
        <f t="shared" ca="1" si="61"/>
        <v>144825.03</v>
      </c>
      <c r="EX36" s="92">
        <f t="shared" ca="1" si="61"/>
        <v>65923.199999999997</v>
      </c>
      <c r="EY36" s="92">
        <f t="shared" ca="1" si="61"/>
        <v>123606</v>
      </c>
      <c r="EZ36" s="92">
        <f t="shared" ca="1" si="61"/>
        <v>67708.62</v>
      </c>
      <c r="FA36" s="92">
        <f t="shared" ca="1" si="61"/>
        <v>65305.17</v>
      </c>
      <c r="FB36" s="92">
        <f t="shared" ca="1" si="61"/>
        <v>77665.77</v>
      </c>
      <c r="FC36" s="92">
        <f t="shared" ca="1" si="61"/>
        <v>74094.930000000008</v>
      </c>
      <c r="FD36" s="92">
        <f t="shared" ca="1" si="58"/>
        <v>86180.85</v>
      </c>
      <c r="FE36" s="92">
        <f t="shared" ca="1" si="58"/>
        <v>104515.74</v>
      </c>
      <c r="FF36" s="92">
        <f t="shared" ca="1" si="58"/>
        <v>88240.95</v>
      </c>
      <c r="FG36" s="92">
        <f t="shared" ca="1" si="58"/>
        <v>88240.95</v>
      </c>
      <c r="FH36" s="92">
        <f t="shared" ca="1" si="55"/>
        <v>0</v>
      </c>
      <c r="FI36" s="92">
        <f t="shared" ca="1" si="55"/>
        <v>0</v>
      </c>
      <c r="FJ36" s="92">
        <f t="shared" ca="1" si="55"/>
        <v>0</v>
      </c>
      <c r="FK36" s="92">
        <f t="shared" ca="1" si="55"/>
        <v>0</v>
      </c>
      <c r="FL36" s="92">
        <f t="shared" ca="1" si="55"/>
        <v>0</v>
      </c>
      <c r="FM36" s="92">
        <f t="shared" ca="1" si="55"/>
        <v>0</v>
      </c>
      <c r="FN36" s="94">
        <f t="shared" ca="1" si="70"/>
        <v>13200</v>
      </c>
      <c r="FO36" s="94">
        <f t="shared" ca="1" si="71"/>
        <v>4400</v>
      </c>
      <c r="FP36" s="95">
        <f t="shared" ca="1" si="59"/>
        <v>0</v>
      </c>
      <c r="FQ36" s="95">
        <f t="shared" ca="1" si="59"/>
        <v>-565.21739130434776</v>
      </c>
      <c r="FR36" s="95">
        <f t="shared" ca="1" si="72"/>
        <v>6.3124671225670698E-2</v>
      </c>
      <c r="FS36" s="95">
        <f t="shared" ca="1" si="72"/>
        <v>146.74457429048414</v>
      </c>
      <c r="FT36" s="95">
        <f t="shared" ca="1" si="72"/>
        <v>572.06896551724139</v>
      </c>
      <c r="FU36" s="95">
        <f t="shared" ca="1" si="72"/>
        <v>183.09963099630997</v>
      </c>
      <c r="FV36" s="95">
        <f t="shared" ca="1" si="72"/>
        <v>64.170258620689651</v>
      </c>
      <c r="FW36" s="95">
        <f t="shared" ca="1" si="72"/>
        <v>11.407068062827225</v>
      </c>
      <c r="FX36" s="95">
        <f t="shared" ca="1" si="72"/>
        <v>47.975206611570243</v>
      </c>
      <c r="FY36" s="95">
        <f t="shared" ca="1" si="72"/>
        <v>36.230954290296708</v>
      </c>
      <c r="FZ36" s="95">
        <f t="shared" ca="1" si="72"/>
        <v>6.5903307888040699</v>
      </c>
      <c r="GA36" s="95">
        <f t="shared" ca="1" si="72"/>
        <v>18.207681365576104</v>
      </c>
      <c r="GB36" s="95">
        <f t="shared" ca="1" si="72"/>
        <v>111.59375000000001</v>
      </c>
      <c r="GC36" s="95">
        <f t="shared" ca="1" si="72"/>
        <v>43.516666666666666</v>
      </c>
      <c r="GD36" s="95">
        <f t="shared" ca="1" si="72"/>
        <v>225.48681541582152</v>
      </c>
      <c r="GE36" s="95">
        <f t="shared" ca="1" si="72"/>
        <v>202.6813880126183</v>
      </c>
      <c r="GF36" s="95">
        <f t="shared" ca="1" si="72"/>
        <v>145.19893899204246</v>
      </c>
      <c r="GG36" s="95">
        <f t="shared" ca="1" si="72"/>
        <v>120.75069508804447</v>
      </c>
      <c r="GH36" s="95">
        <f t="shared" ca="1" si="41"/>
        <v>130.61354581673305</v>
      </c>
      <c r="GI36" s="95">
        <f t="shared" ca="1" si="41"/>
        <v>126.32720105124835</v>
      </c>
      <c r="GJ36" s="95">
        <f t="shared" ca="1" si="41"/>
        <v>114.09338521400781</v>
      </c>
      <c r="GK36" s="95">
        <f t="shared" ca="1" si="41"/>
        <v>84.093385214007796</v>
      </c>
      <c r="GL36" s="95">
        <f t="shared" ca="1" si="41"/>
        <v>0</v>
      </c>
      <c r="GM36" s="95">
        <f t="shared" ca="1" si="41"/>
        <v>0</v>
      </c>
      <c r="GN36" s="95">
        <f t="shared" ca="1" si="41"/>
        <v>0</v>
      </c>
      <c r="GO36" s="95">
        <f t="shared" ca="1" si="41"/>
        <v>0</v>
      </c>
      <c r="GP36" s="95">
        <f t="shared" ca="1" si="41"/>
        <v>0</v>
      </c>
      <c r="GQ36" s="95">
        <f t="shared" ca="1" si="41"/>
        <v>0</v>
      </c>
      <c r="GS36" s="7">
        <v>252.84547944883329</v>
      </c>
      <c r="GT36" s="96">
        <f t="shared" ca="1" si="76"/>
        <v>14665.03780803233</v>
      </c>
      <c r="GU36" s="96">
        <f t="shared" ca="1" si="76"/>
        <v>68521.124930633814</v>
      </c>
      <c r="GV36" s="96">
        <f t="shared" ca="1" si="76"/>
        <v>234640.60492851728</v>
      </c>
      <c r="GW36" s="96">
        <f t="shared" ca="1" si="76"/>
        <v>386347.89259781729</v>
      </c>
      <c r="GX36" s="96">
        <f t="shared" ca="1" si="76"/>
        <v>183565.81807985296</v>
      </c>
      <c r="GY36" s="96">
        <f t="shared" ca="1" si="76"/>
        <v>315298.3128726951</v>
      </c>
      <c r="GZ36" s="96">
        <f t="shared" ca="1" si="76"/>
        <v>298104.82027017447</v>
      </c>
      <c r="HA36" s="96">
        <f t="shared" ca="1" si="76"/>
        <v>533251.11615758936</v>
      </c>
      <c r="HB36" s="96">
        <f t="shared" ca="1" si="76"/>
        <v>242731.66027087995</v>
      </c>
      <c r="HC36" s="96">
        <f t="shared" ca="1" si="76"/>
        <v>455121.8630078999</v>
      </c>
      <c r="HD36" s="96">
        <f t="shared" ca="1" si="76"/>
        <v>249305.64273654963</v>
      </c>
      <c r="HE36" s="96">
        <f t="shared" ca="1" si="76"/>
        <v>240456.05095584044</v>
      </c>
      <c r="HF36" s="96">
        <f t="shared" ca="1" si="76"/>
        <v>285968.23725663044</v>
      </c>
      <c r="HG36" s="96">
        <f t="shared" ca="1" si="76"/>
        <v>272820.27232529112</v>
      </c>
      <c r="HH36" s="96">
        <f t="shared" ca="1" si="76"/>
        <v>317321.07670828578</v>
      </c>
      <c r="HI36" s="96">
        <f t="shared" ca="1" si="74"/>
        <v>384830.81972112425</v>
      </c>
      <c r="HJ36" s="96">
        <f t="shared" ca="1" si="48"/>
        <v>324906.44109175075</v>
      </c>
      <c r="HK36" s="96">
        <f t="shared" ca="1" si="48"/>
        <v>324906.44109175075</v>
      </c>
      <c r="HL36" s="96">
        <f t="shared" ca="1" si="48"/>
        <v>0</v>
      </c>
      <c r="HM36" s="96">
        <f t="shared" ca="1" si="48"/>
        <v>0</v>
      </c>
      <c r="HN36" s="96">
        <f t="shared" ca="1" si="48"/>
        <v>0</v>
      </c>
      <c r="HO36" s="96">
        <f t="shared" ca="1" si="48"/>
        <v>0</v>
      </c>
      <c r="HP36" s="96">
        <f t="shared" ca="1" si="48"/>
        <v>0</v>
      </c>
      <c r="HQ36" s="96">
        <f t="shared" ca="1" si="48"/>
        <v>0</v>
      </c>
      <c r="HS36" s="97">
        <f t="shared" ca="1" si="21"/>
        <v>279647.1002704096</v>
      </c>
    </row>
    <row r="37" spans="1:227" ht="17.25" thickTop="1" thickBot="1" x14ac:dyDescent="0.3">
      <c r="A37" s="102" t="s">
        <v>36</v>
      </c>
      <c r="B37" s="103" t="s">
        <v>389</v>
      </c>
      <c r="C37" s="73" t="s">
        <v>389</v>
      </c>
      <c r="D37" s="74" t="s">
        <v>0</v>
      </c>
      <c r="E37" s="74" t="s">
        <v>360</v>
      </c>
      <c r="F37" s="73"/>
      <c r="G37" s="75">
        <f ca="1">80+16</f>
        <v>96</v>
      </c>
      <c r="H37" s="75">
        <v>137</v>
      </c>
      <c r="I37" s="75">
        <f ca="1">G37+H37</f>
        <v>233</v>
      </c>
      <c r="J37" s="76">
        <f ca="1">[1]Parameters!$C$3+G37</f>
        <v>45927</v>
      </c>
      <c r="K37" s="77">
        <f t="shared" ca="1" si="23"/>
        <v>9</v>
      </c>
      <c r="L37" s="77">
        <f t="shared" ca="1" si="24"/>
        <v>2025</v>
      </c>
      <c r="M37" s="76">
        <f ca="1">[1]Parameters!$C$3+I37</f>
        <v>46064</v>
      </c>
      <c r="N37" s="77">
        <f t="shared" ca="1" si="25"/>
        <v>2</v>
      </c>
      <c r="O37" s="77">
        <f t="shared" ca="1" si="26"/>
        <v>2026</v>
      </c>
      <c r="P37" s="78">
        <v>0.98</v>
      </c>
      <c r="Q37" s="79" t="str">
        <f ca="1">VLOOKUP(A37,[1]ABC!A:G,7,0)</f>
        <v>A</v>
      </c>
      <c r="R37" s="80">
        <f t="shared" ca="1" si="9"/>
        <v>47.969888369703284</v>
      </c>
      <c r="S37" s="81">
        <v>78.510000000000005</v>
      </c>
      <c r="T37" s="82">
        <f t="shared" ca="1" si="10"/>
        <v>4100</v>
      </c>
      <c r="U37" s="83">
        <f ca="1">IF((ROUND(AVERAGE(BL37:BX37)*3/100,0)*100)&lt;T37,T37,ROUND(AVERAGE(BL37:BX37)*3/100,0)*100)</f>
        <v>10800</v>
      </c>
      <c r="V37" s="80">
        <v>3400</v>
      </c>
      <c r="W37" s="80">
        <f t="shared" ca="1" si="27"/>
        <v>10200</v>
      </c>
      <c r="X37" s="101" t="s">
        <v>390</v>
      </c>
      <c r="Y37" s="84">
        <v>5.25</v>
      </c>
      <c r="Z37" s="85">
        <v>5590</v>
      </c>
      <c r="AA37" s="85">
        <v>3589</v>
      </c>
      <c r="AB37" s="85">
        <v>2821</v>
      </c>
      <c r="AC37" s="85">
        <v>4044</v>
      </c>
      <c r="AD37" s="85">
        <v>3021</v>
      </c>
      <c r="AE37" s="85">
        <v>4131</v>
      </c>
      <c r="AF37" s="85">
        <v>4638</v>
      </c>
      <c r="AG37" s="85">
        <v>22215</v>
      </c>
      <c r="AH37" s="85">
        <v>2527</v>
      </c>
      <c r="AI37" s="75">
        <v>6552</v>
      </c>
      <c r="AJ37" s="75">
        <f t="shared" ca="1" si="56"/>
        <v>9981.7126399999997</v>
      </c>
      <c r="AK37" s="75">
        <f t="shared" ca="1" si="56"/>
        <v>7214.4115199999997</v>
      </c>
      <c r="AL37" s="75">
        <f t="shared" ca="1" si="56"/>
        <v>21403.740160000001</v>
      </c>
      <c r="AM37" s="75">
        <f t="shared" ca="1" si="56"/>
        <v>18400.00128</v>
      </c>
      <c r="AN37" s="75">
        <f t="shared" ca="1" si="56"/>
        <v>17800.00128</v>
      </c>
      <c r="AO37" s="75">
        <f t="shared" ca="1" si="56"/>
        <v>13800.00128</v>
      </c>
      <c r="AP37" s="75">
        <f t="shared" ca="1" si="56"/>
        <v>20000.00128</v>
      </c>
      <c r="AQ37" s="75">
        <f t="shared" ca="1" si="56"/>
        <v>16000.00128</v>
      </c>
      <c r="AR37" s="75">
        <f t="shared" ca="1" si="56"/>
        <v>18800.00128</v>
      </c>
      <c r="AS37" s="75">
        <f t="shared" ca="1" si="56"/>
        <v>13600.00128</v>
      </c>
      <c r="AT37" s="75">
        <f t="shared" ca="1" si="56"/>
        <v>10800.00128</v>
      </c>
      <c r="AU37" s="75">
        <f t="shared" ca="1" si="56"/>
        <v>6800.0012800000004</v>
      </c>
      <c r="AV37" s="75">
        <f t="shared" ca="1" si="56"/>
        <v>3800.0012800000004</v>
      </c>
      <c r="AW37" s="75">
        <f t="shared" ca="1" si="56"/>
        <v>3800.0012800000004</v>
      </c>
      <c r="AX37" s="75">
        <f t="shared" ca="1" si="56"/>
        <v>3800.0012800000004</v>
      </c>
      <c r="AY37" s="75">
        <f t="shared" ca="1" si="54"/>
        <v>3800.0012800000004</v>
      </c>
      <c r="AZ37" s="75">
        <f t="shared" ca="1" si="12"/>
        <v>3800.0012800000004</v>
      </c>
      <c r="BA37" s="75">
        <f t="shared" ca="1" si="12"/>
        <v>3800.0012800000004</v>
      </c>
      <c r="BB37" s="166"/>
      <c r="BC37" s="86">
        <v>5590</v>
      </c>
      <c r="BD37" s="86">
        <v>3437</v>
      </c>
      <c r="BE37" s="86">
        <v>3200</v>
      </c>
      <c r="BF37" s="86">
        <v>3200</v>
      </c>
      <c r="BG37" s="86">
        <v>1980.34112</v>
      </c>
      <c r="BH37" s="86">
        <v>3521.3836800000004</v>
      </c>
      <c r="BI37" s="86">
        <v>4866.5606399999997</v>
      </c>
      <c r="BJ37" s="86">
        <v>21901.994879999998</v>
      </c>
      <c r="BK37" s="86">
        <v>2572.8345600000002</v>
      </c>
      <c r="BL37" s="86">
        <v>3370.2873599999998</v>
      </c>
      <c r="BM37" s="86">
        <v>2767.3011200000001</v>
      </c>
      <c r="BN37" s="86">
        <v>2810.6713599999998</v>
      </c>
      <c r="BO37" s="86">
        <v>3003.7388799999999</v>
      </c>
      <c r="BP37" s="86">
        <v>4000</v>
      </c>
      <c r="BQ37" s="86">
        <v>4000</v>
      </c>
      <c r="BR37" s="86">
        <v>4000</v>
      </c>
      <c r="BS37" s="86">
        <v>4000</v>
      </c>
      <c r="BT37" s="86">
        <v>4000</v>
      </c>
      <c r="BU37" s="86">
        <v>5200</v>
      </c>
      <c r="BV37" s="86">
        <v>2800</v>
      </c>
      <c r="BW37" s="86">
        <v>4000</v>
      </c>
      <c r="BX37" s="86">
        <v>3000</v>
      </c>
      <c r="BY37" s="86">
        <v>0</v>
      </c>
      <c r="BZ37" s="86">
        <v>0</v>
      </c>
      <c r="CA37" s="86">
        <v>0</v>
      </c>
      <c r="CB37" s="86">
        <v>0</v>
      </c>
      <c r="CC37" s="86">
        <v>0</v>
      </c>
      <c r="CD37" s="86">
        <v>0</v>
      </c>
      <c r="CE37" s="86">
        <f t="shared" ca="1" si="28"/>
        <v>721.28040929769895</v>
      </c>
      <c r="CF37" s="87"/>
      <c r="CG37" s="86">
        <v>0</v>
      </c>
      <c r="CH37" s="86">
        <v>0</v>
      </c>
      <c r="CI37" s="86">
        <v>0</v>
      </c>
      <c r="CJ37" s="86">
        <v>0</v>
      </c>
      <c r="CK37" s="86">
        <v>0</v>
      </c>
      <c r="CL37" s="86">
        <v>0</v>
      </c>
      <c r="CM37" s="86">
        <v>0</v>
      </c>
      <c r="CN37" s="86">
        <v>0</v>
      </c>
      <c r="CO37" s="104">
        <v>6800</v>
      </c>
      <c r="CP37" s="104">
        <v>0</v>
      </c>
      <c r="CQ37" s="105">
        <f ca="1">3400*5</f>
        <v>17000</v>
      </c>
      <c r="CR37" s="99">
        <v>0</v>
      </c>
      <c r="CS37" s="99">
        <f ca="1">V37*1</f>
        <v>3400</v>
      </c>
      <c r="CT37" s="99">
        <v>0</v>
      </c>
      <c r="CU37" s="86">
        <f ca="1">3400*3</f>
        <v>10200</v>
      </c>
      <c r="CV37" s="86">
        <v>0</v>
      </c>
      <c r="CW37" s="86">
        <f ca="1">3400*2</f>
        <v>6800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  <c r="DC37" s="86">
        <v>0</v>
      </c>
      <c r="DD37" s="86">
        <v>0</v>
      </c>
      <c r="DE37" s="86">
        <v>0</v>
      </c>
      <c r="DF37" s="86">
        <v>0</v>
      </c>
      <c r="DG37" s="86">
        <v>0</v>
      </c>
      <c r="DI37" s="91">
        <f ca="1">VLOOKUP(A37,'[2]2-Relatório'!$A:$J,9,0)</f>
        <v>40.44</v>
      </c>
      <c r="DJ37" s="92">
        <f t="shared" ca="1" si="60"/>
        <v>114081.23999999999</v>
      </c>
      <c r="DK37" s="92">
        <f t="shared" ca="1" si="60"/>
        <v>163539.35999999999</v>
      </c>
      <c r="DL37" s="92">
        <f t="shared" ca="1" si="60"/>
        <v>122169.23999999999</v>
      </c>
      <c r="DM37" s="92">
        <f t="shared" ca="1" si="60"/>
        <v>167057.63999999998</v>
      </c>
      <c r="DN37" s="92">
        <f t="shared" ca="1" si="60"/>
        <v>187560.72</v>
      </c>
      <c r="DO37" s="92">
        <f t="shared" ca="1" si="60"/>
        <v>898374.6</v>
      </c>
      <c r="DP37" s="92">
        <f t="shared" ca="1" si="60"/>
        <v>102191.87999999999</v>
      </c>
      <c r="DQ37" s="92">
        <f t="shared" ca="1" si="60"/>
        <v>264962.88</v>
      </c>
      <c r="DR37" s="92">
        <f t="shared" ca="1" si="60"/>
        <v>403660.45916159998</v>
      </c>
      <c r="DS37" s="92">
        <f t="shared" ca="1" si="60"/>
        <v>291750.80186879996</v>
      </c>
      <c r="DT37" s="92">
        <f t="shared" ca="1" si="60"/>
        <v>865567.25207040005</v>
      </c>
      <c r="DU37" s="92">
        <f t="shared" ca="1" si="60"/>
        <v>744096.05176319997</v>
      </c>
      <c r="DV37" s="92">
        <f t="shared" ca="1" si="60"/>
        <v>719832.05176319997</v>
      </c>
      <c r="DW37" s="92">
        <f t="shared" ca="1" si="60"/>
        <v>558072.05176319997</v>
      </c>
      <c r="DX37" s="92">
        <f t="shared" ca="1" si="60"/>
        <v>808800.05176319997</v>
      </c>
      <c r="DY37" s="92">
        <f t="shared" ca="1" si="60"/>
        <v>647040.05176319997</v>
      </c>
      <c r="DZ37" s="92">
        <f t="shared" ca="1" si="75"/>
        <v>760272.05176319997</v>
      </c>
      <c r="EA37" s="92">
        <f t="shared" ca="1" si="75"/>
        <v>549984.05176319997</v>
      </c>
      <c r="EB37" s="92">
        <f t="shared" ca="1" si="75"/>
        <v>436752.05176319997</v>
      </c>
      <c r="EC37" s="92">
        <f t="shared" ca="1" si="75"/>
        <v>274992.05176320003</v>
      </c>
      <c r="ED37" s="92">
        <f t="shared" ca="1" si="75"/>
        <v>153672.0517632</v>
      </c>
      <c r="EE37" s="92">
        <f t="shared" ca="1" si="75"/>
        <v>153672.0517632</v>
      </c>
      <c r="EF37" s="92">
        <f t="shared" ca="1" si="75"/>
        <v>153672.0517632</v>
      </c>
      <c r="EG37" s="92">
        <f t="shared" ca="1" si="73"/>
        <v>153672.0517632</v>
      </c>
      <c r="EH37" s="92">
        <f t="shared" ca="1" si="46"/>
        <v>153672.0517632</v>
      </c>
      <c r="EI37" s="92">
        <f t="shared" ca="1" si="46"/>
        <v>153672.0517632</v>
      </c>
      <c r="EL37" s="93">
        <f t="shared" ca="1" si="57"/>
        <v>438870.9</v>
      </c>
      <c r="EM37" s="93">
        <f t="shared" ca="1" si="57"/>
        <v>269838.87</v>
      </c>
      <c r="EN37" s="92">
        <f t="shared" ca="1" si="61"/>
        <v>129408</v>
      </c>
      <c r="EO37" s="92">
        <f t="shared" ca="1" si="61"/>
        <v>129408</v>
      </c>
      <c r="EP37" s="92">
        <f t="shared" ca="1" si="61"/>
        <v>80084.994892799994</v>
      </c>
      <c r="EQ37" s="92">
        <f t="shared" ca="1" si="61"/>
        <v>142404.75601919999</v>
      </c>
      <c r="ER37" s="92">
        <f t="shared" ca="1" si="61"/>
        <v>196803.71228159999</v>
      </c>
      <c r="ES37" s="92">
        <f t="shared" ca="1" si="61"/>
        <v>885716.6729471999</v>
      </c>
      <c r="ET37" s="92">
        <f t="shared" ca="1" si="61"/>
        <v>104045.42960640001</v>
      </c>
      <c r="EU37" s="92">
        <f t="shared" ca="1" si="61"/>
        <v>136294.42083839999</v>
      </c>
      <c r="EV37" s="92">
        <f t="shared" ca="1" si="61"/>
        <v>111909.6572928</v>
      </c>
      <c r="EW37" s="92">
        <f t="shared" ca="1" si="61"/>
        <v>113663.54979839998</v>
      </c>
      <c r="EX37" s="92">
        <f t="shared" ca="1" si="61"/>
        <v>121471.20030719999</v>
      </c>
      <c r="EY37" s="92">
        <f t="shared" ca="1" si="61"/>
        <v>161760</v>
      </c>
      <c r="EZ37" s="92">
        <f t="shared" ca="1" si="61"/>
        <v>161760</v>
      </c>
      <c r="FA37" s="92">
        <f t="shared" ca="1" si="61"/>
        <v>161760</v>
      </c>
      <c r="FB37" s="92">
        <f t="shared" ca="1" si="61"/>
        <v>161760</v>
      </c>
      <c r="FC37" s="92">
        <f t="shared" ca="1" si="61"/>
        <v>161760</v>
      </c>
      <c r="FD37" s="92">
        <f t="shared" ca="1" si="58"/>
        <v>210288</v>
      </c>
      <c r="FE37" s="92">
        <f t="shared" ca="1" si="58"/>
        <v>113232</v>
      </c>
      <c r="FF37" s="92">
        <f t="shared" ca="1" si="58"/>
        <v>161760</v>
      </c>
      <c r="FG37" s="92">
        <f t="shared" ca="1" si="58"/>
        <v>121320</v>
      </c>
      <c r="FH37" s="92">
        <f t="shared" ca="1" si="55"/>
        <v>0</v>
      </c>
      <c r="FI37" s="92">
        <f t="shared" ca="1" si="55"/>
        <v>0</v>
      </c>
      <c r="FJ37" s="92">
        <f t="shared" ca="1" si="55"/>
        <v>0</v>
      </c>
      <c r="FK37" s="92">
        <f t="shared" ca="1" si="55"/>
        <v>0</v>
      </c>
      <c r="FL37" s="92">
        <f t="shared" ca="1" si="55"/>
        <v>0</v>
      </c>
      <c r="FM37" s="92">
        <f t="shared" ca="1" si="55"/>
        <v>0</v>
      </c>
      <c r="FN37" s="94">
        <f ca="1">SUM(CN37:CS37)</f>
        <v>27200</v>
      </c>
      <c r="FO37" s="94">
        <f ca="1">SUM(CT37:CZ37)</f>
        <v>17000</v>
      </c>
      <c r="FP37" s="95">
        <f t="shared" ca="1" si="59"/>
        <v>30</v>
      </c>
      <c r="FQ37" s="95">
        <f t="shared" ca="1" si="59"/>
        <v>31.32673843468141</v>
      </c>
      <c r="FR37" s="95">
        <f t="shared" ca="1" si="72"/>
        <v>26.446874999999999</v>
      </c>
      <c r="FS37" s="95">
        <f t="shared" ca="1" si="72"/>
        <v>37.912499999999994</v>
      </c>
      <c r="FT37" s="95">
        <f t="shared" ca="1" si="72"/>
        <v>45.764842776177872</v>
      </c>
      <c r="FU37" s="95">
        <f t="shared" ca="1" si="72"/>
        <v>35.19355209824792</v>
      </c>
      <c r="FV37" s="95">
        <f t="shared" ca="1" si="72"/>
        <v>28.591033851784083</v>
      </c>
      <c r="FW37" s="95">
        <f t="shared" ca="1" si="72"/>
        <v>30.428735083331372</v>
      </c>
      <c r="FX37" s="95">
        <f t="shared" ca="1" si="72"/>
        <v>29.465555686565398</v>
      </c>
      <c r="FY37" s="95">
        <f t="shared" ca="1" si="72"/>
        <v>58.321436424934404</v>
      </c>
      <c r="FZ37" s="95">
        <f t="shared" ca="1" si="72"/>
        <v>108.21062335276329</v>
      </c>
      <c r="GA37" s="95">
        <f t="shared" ca="1" si="72"/>
        <v>77.003789443387646</v>
      </c>
      <c r="GB37" s="95">
        <f t="shared" ca="1" si="72"/>
        <v>213.77098025245127</v>
      </c>
      <c r="GC37" s="95">
        <f t="shared" ca="1" si="72"/>
        <v>138.0000096</v>
      </c>
      <c r="GD37" s="95">
        <f t="shared" ca="1" si="72"/>
        <v>133.5000096</v>
      </c>
      <c r="GE37" s="95">
        <f t="shared" ca="1" si="72"/>
        <v>103.5000096</v>
      </c>
      <c r="GF37" s="95">
        <f t="shared" ca="1" si="72"/>
        <v>150.0000096</v>
      </c>
      <c r="GG37" s="95">
        <f t="shared" ca="1" si="72"/>
        <v>120.0000096</v>
      </c>
      <c r="GH37" s="95">
        <f t="shared" ca="1" si="41"/>
        <v>108.46154584615384</v>
      </c>
      <c r="GI37" s="95">
        <f t="shared" ca="1" si="41"/>
        <v>145.71429942857142</v>
      </c>
      <c r="GJ37" s="95">
        <f t="shared" ca="1" si="41"/>
        <v>81.000009599999998</v>
      </c>
      <c r="GK37" s="95">
        <f t="shared" ca="1" si="41"/>
        <v>68.000012800000007</v>
      </c>
      <c r="GL37" s="95">
        <f t="shared" ca="1" si="41"/>
        <v>0</v>
      </c>
      <c r="GM37" s="95">
        <f t="shared" ca="1" si="41"/>
        <v>0</v>
      </c>
      <c r="GN37" s="95">
        <f t="shared" ca="1" si="41"/>
        <v>0</v>
      </c>
      <c r="GO37" s="95">
        <f t="shared" ca="1" si="41"/>
        <v>0</v>
      </c>
      <c r="GP37" s="95">
        <f t="shared" ca="1" si="41"/>
        <v>0</v>
      </c>
      <c r="GQ37" s="95">
        <f t="shared" ca="1" si="41"/>
        <v>0</v>
      </c>
      <c r="GS37" s="7">
        <v>130.3957829581</v>
      </c>
      <c r="GT37" s="96">
        <f t="shared" ca="1" si="76"/>
        <v>258228.13086652066</v>
      </c>
      <c r="GU37" s="96">
        <f t="shared" ca="1" si="76"/>
        <v>459173.58204947552</v>
      </c>
      <c r="GV37" s="96">
        <f t="shared" ca="1" si="76"/>
        <v>634578.98496587214</v>
      </c>
      <c r="GW37" s="96">
        <f t="shared" ca="1" si="76"/>
        <v>2855927.770721897</v>
      </c>
      <c r="GX37" s="96">
        <f t="shared" ca="1" si="76"/>
        <v>335486.77687285875</v>
      </c>
      <c r="GY37" s="96">
        <f t="shared" ca="1" si="76"/>
        <v>439471.25910098781</v>
      </c>
      <c r="GZ37" s="96">
        <f t="shared" ca="1" si="76"/>
        <v>360844.39622322703</v>
      </c>
      <c r="HA37" s="96">
        <f t="shared" ca="1" si="76"/>
        <v>366499.69262510771</v>
      </c>
      <c r="HB37" s="96">
        <f t="shared" ca="1" si="76"/>
        <v>391674.88305928634</v>
      </c>
      <c r="HC37" s="96">
        <f t="shared" ca="1" si="76"/>
        <v>521583.13183239999</v>
      </c>
      <c r="HD37" s="96">
        <f t="shared" ca="1" si="76"/>
        <v>521583.13183239999</v>
      </c>
      <c r="HE37" s="96">
        <f t="shared" ca="1" si="76"/>
        <v>521583.13183239999</v>
      </c>
      <c r="HF37" s="96">
        <f t="shared" ca="1" si="76"/>
        <v>521583.13183239999</v>
      </c>
      <c r="HG37" s="96">
        <f t="shared" ca="1" si="76"/>
        <v>521583.13183239999</v>
      </c>
      <c r="HH37" s="96">
        <f t="shared" ca="1" si="76"/>
        <v>678058.07138212002</v>
      </c>
      <c r="HI37" s="96">
        <f t="shared" ca="1" si="74"/>
        <v>365108.19228268001</v>
      </c>
      <c r="HJ37" s="96">
        <f t="shared" ca="1" si="48"/>
        <v>521583.13183239999</v>
      </c>
      <c r="HK37" s="96">
        <f t="shared" ca="1" si="48"/>
        <v>391187.34887430002</v>
      </c>
      <c r="HL37" s="96">
        <f t="shared" ca="1" si="48"/>
        <v>0</v>
      </c>
      <c r="HM37" s="96">
        <f t="shared" ca="1" si="48"/>
        <v>0</v>
      </c>
      <c r="HN37" s="96">
        <f t="shared" ca="1" si="48"/>
        <v>0</v>
      </c>
      <c r="HO37" s="96">
        <f t="shared" ca="1" si="48"/>
        <v>0</v>
      </c>
      <c r="HP37" s="96">
        <f t="shared" ca="1" si="48"/>
        <v>0</v>
      </c>
      <c r="HQ37" s="96">
        <f t="shared" ca="1" si="48"/>
        <v>0</v>
      </c>
      <c r="HR37" s="97"/>
      <c r="HS37" s="97">
        <f t="shared" ca="1" si="21"/>
        <v>393925.66031642008</v>
      </c>
    </row>
    <row r="38" spans="1:227" ht="17.25" thickTop="1" thickBot="1" x14ac:dyDescent="0.3">
      <c r="A38" s="119" t="s">
        <v>66</v>
      </c>
      <c r="B38" s="103" t="s">
        <v>391</v>
      </c>
      <c r="C38" s="73" t="s">
        <v>392</v>
      </c>
      <c r="D38" s="74" t="s">
        <v>0</v>
      </c>
      <c r="E38" s="74" t="s">
        <v>349</v>
      </c>
      <c r="F38" s="73"/>
      <c r="G38" s="75">
        <f t="shared" ref="G38:G42" ca="1" si="77">127+6</f>
        <v>133</v>
      </c>
      <c r="H38" s="75">
        <v>133</v>
      </c>
      <c r="I38" s="75">
        <f t="shared" ref="I38:I52" ca="1" si="78">G38+H38</f>
        <v>266</v>
      </c>
      <c r="J38" s="76">
        <f ca="1">[1]Parameters!$C$3+G38</f>
        <v>45964</v>
      </c>
      <c r="K38" s="77">
        <f t="shared" ca="1" si="23"/>
        <v>11</v>
      </c>
      <c r="L38" s="77">
        <f t="shared" ca="1" si="24"/>
        <v>2025</v>
      </c>
      <c r="M38" s="76">
        <f ca="1">[1]Parameters!$C$3+I38</f>
        <v>46097</v>
      </c>
      <c r="N38" s="77">
        <f t="shared" ca="1" si="25"/>
        <v>3</v>
      </c>
      <c r="O38" s="77">
        <f t="shared" ca="1" si="26"/>
        <v>2026</v>
      </c>
      <c r="P38" s="78">
        <v>0.9</v>
      </c>
      <c r="Q38" s="79" t="str">
        <f ca="1">VLOOKUP(A38,[1]ABC!A:G,7,0)</f>
        <v>B</v>
      </c>
      <c r="R38" s="80">
        <f t="shared" ca="1" si="9"/>
        <v>3.570278214835259</v>
      </c>
      <c r="S38" s="120">
        <v>33.729999999999997</v>
      </c>
      <c r="T38" s="82">
        <f t="shared" ca="1" si="10"/>
        <v>1600</v>
      </c>
      <c r="U38" s="83">
        <f ca="1">IF((ROUND(AVERAGE(BI38:BR38)/10,0)*10)&lt;T38,T38,ROUND(AVERAGE(BI38:BR38)/10,0)*10)</f>
        <v>1600</v>
      </c>
      <c r="V38" s="80">
        <v>3000</v>
      </c>
      <c r="W38" s="80">
        <f t="shared" ca="1" si="27"/>
        <v>3000</v>
      </c>
      <c r="X38" s="80"/>
      <c r="Y38" s="84">
        <v>5.61</v>
      </c>
      <c r="Z38" s="85">
        <v>1353</v>
      </c>
      <c r="AA38" s="85">
        <v>78</v>
      </c>
      <c r="AB38" s="85">
        <v>1987</v>
      </c>
      <c r="AC38" s="85">
        <v>2123</v>
      </c>
      <c r="AD38" s="85">
        <v>625</v>
      </c>
      <c r="AE38" s="85">
        <v>1045</v>
      </c>
      <c r="AF38" s="85">
        <v>1458</v>
      </c>
      <c r="AG38" s="85">
        <v>0</v>
      </c>
      <c r="AH38" s="85">
        <v>0</v>
      </c>
      <c r="AI38" s="75">
        <v>0</v>
      </c>
      <c r="AJ38" s="75">
        <f t="shared" ref="AJ38:AX54" ca="1" si="79">IF(AI38+CO38-BL38&lt;0,0,AI38+CO38-BL38)</f>
        <v>1908</v>
      </c>
      <c r="AK38" s="75">
        <f t="shared" ca="1" si="79"/>
        <v>8483</v>
      </c>
      <c r="AL38" s="75">
        <f t="shared" ca="1" si="79"/>
        <v>8044</v>
      </c>
      <c r="AM38" s="75">
        <f t="shared" ca="1" si="79"/>
        <v>7248</v>
      </c>
      <c r="AN38" s="75">
        <f t="shared" ca="1" si="79"/>
        <v>11748</v>
      </c>
      <c r="AO38" s="75">
        <f t="shared" ca="1" si="79"/>
        <v>16248</v>
      </c>
      <c r="AP38" s="75">
        <f t="shared" ca="1" si="79"/>
        <v>14748</v>
      </c>
      <c r="AQ38" s="75">
        <f t="shared" ca="1" si="79"/>
        <v>13248</v>
      </c>
      <c r="AR38" s="75">
        <f t="shared" ca="1" si="79"/>
        <v>11748</v>
      </c>
      <c r="AS38" s="75">
        <f t="shared" ca="1" si="79"/>
        <v>9798</v>
      </c>
      <c r="AT38" s="75">
        <f t="shared" ca="1" si="79"/>
        <v>8748</v>
      </c>
      <c r="AU38" s="75">
        <f t="shared" ca="1" si="79"/>
        <v>7248</v>
      </c>
      <c r="AV38" s="75">
        <f t="shared" ca="1" si="79"/>
        <v>5748</v>
      </c>
      <c r="AW38" s="75">
        <f t="shared" ca="1" si="79"/>
        <v>5748</v>
      </c>
      <c r="AX38" s="75">
        <f t="shared" ca="1" si="79"/>
        <v>5748</v>
      </c>
      <c r="AY38" s="75">
        <f t="shared" ca="1" si="54"/>
        <v>5748</v>
      </c>
      <c r="AZ38" s="75">
        <f t="shared" ca="1" si="12"/>
        <v>5748</v>
      </c>
      <c r="BA38" s="75">
        <f t="shared" ca="1" si="12"/>
        <v>5748</v>
      </c>
      <c r="BB38" s="166"/>
      <c r="BC38" s="86">
        <v>1363</v>
      </c>
      <c r="BD38" s="86">
        <v>3</v>
      </c>
      <c r="BE38" s="86">
        <v>772.33333333333337</v>
      </c>
      <c r="BF38" s="86">
        <v>772.33333333333337</v>
      </c>
      <c r="BG38" s="86">
        <v>138</v>
      </c>
      <c r="BH38" s="86">
        <v>2476</v>
      </c>
      <c r="BI38" s="86">
        <v>2052</v>
      </c>
      <c r="BJ38" s="86">
        <v>555</v>
      </c>
      <c r="BK38" s="86">
        <v>647</v>
      </c>
      <c r="BL38" s="86">
        <v>1092</v>
      </c>
      <c r="BM38" s="86">
        <v>825</v>
      </c>
      <c r="BN38" s="86">
        <v>439</v>
      </c>
      <c r="BO38" s="86">
        <v>796</v>
      </c>
      <c r="BP38" s="86">
        <v>1500</v>
      </c>
      <c r="BQ38" s="86">
        <v>1500</v>
      </c>
      <c r="BR38" s="86">
        <v>1500</v>
      </c>
      <c r="BS38" s="86">
        <v>1500</v>
      </c>
      <c r="BT38" s="86">
        <v>1500</v>
      </c>
      <c r="BU38" s="86">
        <v>1950</v>
      </c>
      <c r="BV38" s="86">
        <v>1050</v>
      </c>
      <c r="BW38" s="86">
        <v>1500</v>
      </c>
      <c r="BX38" s="86">
        <v>1500</v>
      </c>
      <c r="BY38" s="86">
        <v>0</v>
      </c>
      <c r="BZ38" s="86">
        <v>0</v>
      </c>
      <c r="CA38" s="86">
        <v>0</v>
      </c>
      <c r="CB38" s="86">
        <v>0</v>
      </c>
      <c r="CC38" s="86">
        <v>0</v>
      </c>
      <c r="CD38" s="86">
        <v>0</v>
      </c>
      <c r="CE38" s="86">
        <f t="shared" ca="1" si="28"/>
        <v>410.74068492956764</v>
      </c>
      <c r="CF38" s="87"/>
      <c r="CG38" s="86">
        <v>0</v>
      </c>
      <c r="CH38" s="86">
        <v>0</v>
      </c>
      <c r="CI38" s="86">
        <v>0</v>
      </c>
      <c r="CJ38" s="86">
        <v>0</v>
      </c>
      <c r="CK38" s="86">
        <v>0</v>
      </c>
      <c r="CL38" s="86">
        <v>0</v>
      </c>
      <c r="CM38" s="86">
        <v>0</v>
      </c>
      <c r="CN38" s="86">
        <v>0</v>
      </c>
      <c r="CO38" s="86">
        <v>3000</v>
      </c>
      <c r="CP38" s="89">
        <v>7400</v>
      </c>
      <c r="CQ38" s="86">
        <v>0</v>
      </c>
      <c r="CR38" s="86">
        <v>0</v>
      </c>
      <c r="CS38" s="86">
        <f ca="1">3000*2</f>
        <v>6000</v>
      </c>
      <c r="CT38" s="86">
        <v>6000</v>
      </c>
      <c r="CU38" s="90">
        <v>0</v>
      </c>
      <c r="CV38" s="90">
        <v>0</v>
      </c>
      <c r="CW38" s="86">
        <v>0</v>
      </c>
      <c r="CX38" s="90">
        <v>0</v>
      </c>
      <c r="CY38" s="90">
        <v>0</v>
      </c>
      <c r="CZ38" s="90">
        <v>0</v>
      </c>
      <c r="DA38" s="90">
        <v>0</v>
      </c>
      <c r="DB38" s="90">
        <v>0</v>
      </c>
      <c r="DC38" s="90">
        <v>0</v>
      </c>
      <c r="DD38" s="90">
        <v>0</v>
      </c>
      <c r="DE38" s="90">
        <v>0</v>
      </c>
      <c r="DF38" s="90">
        <v>0</v>
      </c>
      <c r="DG38" s="86">
        <v>0</v>
      </c>
      <c r="DH38" s="121"/>
      <c r="DI38" s="91">
        <f ca="1">VLOOKUP(A38,'[2]2-Relatório'!$A:$J,9,0)</f>
        <v>42.87</v>
      </c>
      <c r="DJ38" s="92">
        <f t="shared" ca="1" si="60"/>
        <v>85182.689999999988</v>
      </c>
      <c r="DK38" s="92">
        <f t="shared" ca="1" si="60"/>
        <v>91013.01</v>
      </c>
      <c r="DL38" s="92">
        <f t="shared" ca="1" si="60"/>
        <v>26793.75</v>
      </c>
      <c r="DM38" s="92">
        <f t="shared" ca="1" si="60"/>
        <v>44799.149999999994</v>
      </c>
      <c r="DN38" s="92">
        <f t="shared" ca="1" si="60"/>
        <v>62504.46</v>
      </c>
      <c r="DO38" s="92">
        <f t="shared" ca="1" si="60"/>
        <v>0</v>
      </c>
      <c r="DP38" s="92">
        <f t="shared" ca="1" si="60"/>
        <v>0</v>
      </c>
      <c r="DQ38" s="92">
        <f t="shared" ca="1" si="60"/>
        <v>0</v>
      </c>
      <c r="DR38" s="92">
        <f t="shared" ca="1" si="60"/>
        <v>81795.959999999992</v>
      </c>
      <c r="DS38" s="92">
        <f t="shared" ca="1" si="60"/>
        <v>363666.20999999996</v>
      </c>
      <c r="DT38" s="92">
        <f t="shared" ca="1" si="60"/>
        <v>344846.27999999997</v>
      </c>
      <c r="DU38" s="92">
        <f t="shared" ca="1" si="60"/>
        <v>310721.76</v>
      </c>
      <c r="DV38" s="92">
        <f t="shared" ca="1" si="60"/>
        <v>503636.75999999995</v>
      </c>
      <c r="DW38" s="92">
        <f t="shared" ca="1" si="60"/>
        <v>696551.76</v>
      </c>
      <c r="DX38" s="92">
        <f t="shared" ca="1" si="60"/>
        <v>632246.76</v>
      </c>
      <c r="DY38" s="92">
        <f t="shared" ca="1" si="60"/>
        <v>567941.76</v>
      </c>
      <c r="DZ38" s="92">
        <f t="shared" ca="1" si="75"/>
        <v>503636.75999999995</v>
      </c>
      <c r="EA38" s="92">
        <f t="shared" ca="1" si="75"/>
        <v>420040.25999999995</v>
      </c>
      <c r="EB38" s="92">
        <f t="shared" ca="1" si="75"/>
        <v>375026.75999999995</v>
      </c>
      <c r="EC38" s="92">
        <f t="shared" ca="1" si="75"/>
        <v>310721.76</v>
      </c>
      <c r="ED38" s="92">
        <f t="shared" ca="1" si="75"/>
        <v>246416.75999999998</v>
      </c>
      <c r="EE38" s="92">
        <f t="shared" ca="1" si="75"/>
        <v>246416.75999999998</v>
      </c>
      <c r="EF38" s="92">
        <f t="shared" ca="1" si="75"/>
        <v>246416.75999999998</v>
      </c>
      <c r="EG38" s="92">
        <f t="shared" ca="1" si="73"/>
        <v>246416.75999999998</v>
      </c>
      <c r="EH38" s="92">
        <f t="shared" ca="1" si="46"/>
        <v>246416.75999999998</v>
      </c>
      <c r="EI38" s="92">
        <f t="shared" ca="1" si="46"/>
        <v>246416.75999999998</v>
      </c>
      <c r="EL38" s="93">
        <f t="shared" ca="1" si="57"/>
        <v>45973.99</v>
      </c>
      <c r="EM38" s="93">
        <f t="shared" ca="1" si="57"/>
        <v>101.19</v>
      </c>
      <c r="EN38" s="92">
        <f t="shared" ca="1" si="61"/>
        <v>33109.93</v>
      </c>
      <c r="EO38" s="92">
        <f t="shared" ca="1" si="61"/>
        <v>33109.93</v>
      </c>
      <c r="EP38" s="92">
        <f t="shared" ca="1" si="61"/>
        <v>5916.0599999999995</v>
      </c>
      <c r="EQ38" s="92">
        <f t="shared" ca="1" si="61"/>
        <v>106146.12</v>
      </c>
      <c r="ER38" s="92">
        <f t="shared" ca="1" si="61"/>
        <v>87969.239999999991</v>
      </c>
      <c r="ES38" s="92">
        <f t="shared" ca="1" si="61"/>
        <v>23792.85</v>
      </c>
      <c r="ET38" s="92">
        <f t="shared" ca="1" si="61"/>
        <v>27736.89</v>
      </c>
      <c r="EU38" s="92">
        <f t="shared" ca="1" si="61"/>
        <v>46814.039999999994</v>
      </c>
      <c r="EV38" s="92">
        <f t="shared" ca="1" si="61"/>
        <v>35367.75</v>
      </c>
      <c r="EW38" s="92">
        <f t="shared" ca="1" si="61"/>
        <v>18819.93</v>
      </c>
      <c r="EX38" s="92">
        <f t="shared" ca="1" si="61"/>
        <v>34124.519999999997</v>
      </c>
      <c r="EY38" s="92">
        <f t="shared" ca="1" si="61"/>
        <v>64304.999999999993</v>
      </c>
      <c r="EZ38" s="92">
        <f t="shared" ca="1" si="61"/>
        <v>64304.999999999993</v>
      </c>
      <c r="FA38" s="92">
        <f t="shared" ca="1" si="61"/>
        <v>64304.999999999993</v>
      </c>
      <c r="FB38" s="92">
        <f t="shared" ca="1" si="61"/>
        <v>64304.999999999993</v>
      </c>
      <c r="FC38" s="92">
        <f t="shared" ca="1" si="61"/>
        <v>64304.999999999993</v>
      </c>
      <c r="FD38" s="92">
        <f t="shared" ca="1" si="58"/>
        <v>83596.5</v>
      </c>
      <c r="FE38" s="92">
        <f t="shared" ca="1" si="58"/>
        <v>45013.5</v>
      </c>
      <c r="FF38" s="92">
        <f t="shared" ca="1" si="58"/>
        <v>64304.999999999993</v>
      </c>
      <c r="FG38" s="92">
        <f t="shared" ca="1" si="58"/>
        <v>64304.999999999993</v>
      </c>
      <c r="FH38" s="92">
        <f t="shared" ca="1" si="55"/>
        <v>0</v>
      </c>
      <c r="FI38" s="92">
        <f t="shared" ca="1" si="55"/>
        <v>0</v>
      </c>
      <c r="FJ38" s="92">
        <f t="shared" ca="1" si="55"/>
        <v>0</v>
      </c>
      <c r="FK38" s="92">
        <f t="shared" ca="1" si="55"/>
        <v>0</v>
      </c>
      <c r="FL38" s="92">
        <f t="shared" ca="1" si="55"/>
        <v>0</v>
      </c>
      <c r="FM38" s="92">
        <f t="shared" ca="1" si="55"/>
        <v>0</v>
      </c>
      <c r="FN38" s="94">
        <f t="shared" ref="FN38:FN42" ca="1" si="80">SUM(CO38:CU38)</f>
        <v>22400</v>
      </c>
      <c r="FO38" s="94">
        <f t="shared" ref="FO38:FO42" ca="1" si="81">SUM(CV38:DA38)</f>
        <v>0</v>
      </c>
      <c r="FP38" s="95">
        <f t="shared" ca="1" si="59"/>
        <v>29.779897285399851</v>
      </c>
      <c r="FQ38" s="95">
        <f t="shared" ca="1" si="59"/>
        <v>780</v>
      </c>
      <c r="FR38" s="95">
        <f t="shared" ca="1" si="72"/>
        <v>77.181700474751821</v>
      </c>
      <c r="FS38" s="95">
        <f t="shared" ca="1" si="72"/>
        <v>82.464393612429873</v>
      </c>
      <c r="FT38" s="95">
        <f t="shared" ca="1" si="72"/>
        <v>135.86956521739131</v>
      </c>
      <c r="FU38" s="95">
        <f t="shared" ca="1" si="72"/>
        <v>12.661550888529886</v>
      </c>
      <c r="FV38" s="95">
        <f t="shared" ca="1" si="72"/>
        <v>21.315789473684212</v>
      </c>
      <c r="FW38" s="95">
        <f t="shared" ca="1" si="72"/>
        <v>0</v>
      </c>
      <c r="FX38" s="95">
        <f t="shared" ca="1" si="72"/>
        <v>0</v>
      </c>
      <c r="FY38" s="95">
        <f t="shared" ca="1" si="72"/>
        <v>0</v>
      </c>
      <c r="FZ38" s="95">
        <f t="shared" ca="1" si="72"/>
        <v>69.381818181818176</v>
      </c>
      <c r="GA38" s="95">
        <f t="shared" ca="1" si="72"/>
        <v>579.70387243735763</v>
      </c>
      <c r="GB38" s="95">
        <f t="shared" ca="1" si="72"/>
        <v>303.16582914572865</v>
      </c>
      <c r="GC38" s="95">
        <f t="shared" ca="1" si="72"/>
        <v>144.96000000000004</v>
      </c>
      <c r="GD38" s="95">
        <f t="shared" ca="1" si="72"/>
        <v>234.96</v>
      </c>
      <c r="GE38" s="95">
        <f t="shared" ca="1" si="72"/>
        <v>324.96000000000004</v>
      </c>
      <c r="GF38" s="95">
        <f t="shared" ca="1" si="72"/>
        <v>294.96000000000004</v>
      </c>
      <c r="GG38" s="95">
        <f t="shared" ca="1" si="72"/>
        <v>264.96000000000004</v>
      </c>
      <c r="GH38" s="95">
        <f t="shared" ca="1" si="41"/>
        <v>180.73846153846151</v>
      </c>
      <c r="GI38" s="95">
        <f t="shared" ca="1" si="41"/>
        <v>279.94285714285712</v>
      </c>
      <c r="GJ38" s="95">
        <f t="shared" ca="1" si="41"/>
        <v>174.96</v>
      </c>
      <c r="GK38" s="95">
        <f t="shared" ca="1" si="41"/>
        <v>144.96000000000004</v>
      </c>
      <c r="GL38" s="95">
        <f t="shared" ca="1" si="41"/>
        <v>0</v>
      </c>
      <c r="GM38" s="95">
        <f t="shared" ca="1" si="41"/>
        <v>0</v>
      </c>
      <c r="GN38" s="95">
        <f t="shared" ca="1" si="41"/>
        <v>0</v>
      </c>
      <c r="GO38" s="95">
        <f t="shared" ca="1" si="41"/>
        <v>0</v>
      </c>
      <c r="GP38" s="95">
        <f t="shared" ca="1" si="41"/>
        <v>0</v>
      </c>
      <c r="GQ38" s="95">
        <f t="shared" ca="1" si="41"/>
        <v>0</v>
      </c>
      <c r="GS38" s="7">
        <v>46.808995392000007</v>
      </c>
      <c r="GT38" s="96">
        <f t="shared" ca="1" si="76"/>
        <v>6459.6413640960009</v>
      </c>
      <c r="GU38" s="96">
        <f t="shared" ca="1" si="76"/>
        <v>115899.07259059201</v>
      </c>
      <c r="GV38" s="96">
        <f t="shared" ca="1" si="76"/>
        <v>96052.05854438401</v>
      </c>
      <c r="GW38" s="96">
        <f t="shared" ca="1" si="76"/>
        <v>25978.992442560004</v>
      </c>
      <c r="GX38" s="96">
        <f t="shared" ca="1" si="76"/>
        <v>30285.420018624005</v>
      </c>
      <c r="GY38" s="96">
        <f t="shared" ca="1" si="76"/>
        <v>51115.422968064006</v>
      </c>
      <c r="GZ38" s="96">
        <f t="shared" ca="1" si="76"/>
        <v>38617.421198400007</v>
      </c>
      <c r="HA38" s="96">
        <f t="shared" ca="1" si="76"/>
        <v>20549.148977088003</v>
      </c>
      <c r="HB38" s="96">
        <f t="shared" ca="1" si="76"/>
        <v>37259.960332032002</v>
      </c>
      <c r="HC38" s="96">
        <f t="shared" ca="1" si="76"/>
        <v>70213.493088000017</v>
      </c>
      <c r="HD38" s="96">
        <f t="shared" ca="1" si="76"/>
        <v>70213.493088000017</v>
      </c>
      <c r="HE38" s="96">
        <f t="shared" ca="1" si="76"/>
        <v>70213.493088000017</v>
      </c>
      <c r="HF38" s="96">
        <f t="shared" ca="1" si="76"/>
        <v>70213.493088000017</v>
      </c>
      <c r="HG38" s="96">
        <f t="shared" ca="1" si="76"/>
        <v>70213.493088000017</v>
      </c>
      <c r="HH38" s="96">
        <f t="shared" ca="1" si="76"/>
        <v>91277.54101440002</v>
      </c>
      <c r="HI38" s="96">
        <f t="shared" ca="1" si="74"/>
        <v>49149.445161600008</v>
      </c>
      <c r="HJ38" s="96">
        <f t="shared" ca="1" si="48"/>
        <v>70213.493088000017</v>
      </c>
      <c r="HK38" s="96">
        <f t="shared" ca="1" si="48"/>
        <v>70213.493088000017</v>
      </c>
      <c r="HL38" s="96">
        <f t="shared" ca="1" si="48"/>
        <v>0</v>
      </c>
      <c r="HM38" s="96">
        <f t="shared" ca="1" si="48"/>
        <v>0</v>
      </c>
      <c r="HN38" s="96">
        <f t="shared" ca="1" si="48"/>
        <v>0</v>
      </c>
      <c r="HO38" s="96">
        <f t="shared" ca="1" si="48"/>
        <v>0</v>
      </c>
      <c r="HP38" s="96">
        <f t="shared" ca="1" si="48"/>
        <v>0</v>
      </c>
      <c r="HQ38" s="96">
        <f t="shared" ca="1" si="48"/>
        <v>0</v>
      </c>
      <c r="HS38" s="97">
        <f t="shared" ca="1" si="21"/>
        <v>29255.622120000004</v>
      </c>
    </row>
    <row r="39" spans="1:227" ht="17.25" thickTop="1" thickBot="1" x14ac:dyDescent="0.3">
      <c r="A39" s="102" t="s">
        <v>67</v>
      </c>
      <c r="B39" s="103" t="s">
        <v>393</v>
      </c>
      <c r="C39" s="73" t="s">
        <v>394</v>
      </c>
      <c r="D39" s="74" t="s">
        <v>0</v>
      </c>
      <c r="E39" s="74" t="s">
        <v>349</v>
      </c>
      <c r="F39" s="73"/>
      <c r="G39" s="75">
        <f t="shared" ca="1" si="77"/>
        <v>133</v>
      </c>
      <c r="H39" s="75">
        <v>133</v>
      </c>
      <c r="I39" s="75">
        <f t="shared" ca="1" si="78"/>
        <v>266</v>
      </c>
      <c r="J39" s="76">
        <f ca="1">[1]Parameters!$C$3+G39</f>
        <v>45964</v>
      </c>
      <c r="K39" s="77">
        <f t="shared" ca="1" si="23"/>
        <v>11</v>
      </c>
      <c r="L39" s="77">
        <f t="shared" ca="1" si="24"/>
        <v>2025</v>
      </c>
      <c r="M39" s="76">
        <f ca="1">[1]Parameters!$C$3+I39</f>
        <v>46097</v>
      </c>
      <c r="N39" s="77">
        <f t="shared" ca="1" si="25"/>
        <v>3</v>
      </c>
      <c r="O39" s="77">
        <f t="shared" ca="1" si="26"/>
        <v>2026</v>
      </c>
      <c r="P39" s="78">
        <v>0.95</v>
      </c>
      <c r="Q39" s="79" t="str">
        <f ca="1">VLOOKUP(A39,[1]ABC!A:G,7,0)</f>
        <v>C</v>
      </c>
      <c r="R39" s="80">
        <f t="shared" ca="1" si="9"/>
        <v>0.78442599069710806</v>
      </c>
      <c r="S39" s="120">
        <v>51.54</v>
      </c>
      <c r="T39" s="82">
        <f ca="1">ROUND((FLOOR(NORMINV(P39,0,1)*SQRT(I39/30)*CE39,1))/100,0)*100</f>
        <v>800</v>
      </c>
      <c r="U39" s="83">
        <f ca="1">IF((ROUND(AVERAGE(BI39:BR39)*2/100,0)*100)&lt;T39,T39,ROUND(AVERAGE(BI39:BR39)*2/100,0)*100)</f>
        <v>1600</v>
      </c>
      <c r="V39" s="80">
        <v>3000</v>
      </c>
      <c r="W39" s="80">
        <f t="shared" ca="1" si="27"/>
        <v>3000</v>
      </c>
      <c r="X39" s="80"/>
      <c r="Y39" s="84">
        <v>6.77</v>
      </c>
      <c r="Z39" s="85">
        <v>1096</v>
      </c>
      <c r="AA39" s="85">
        <v>7</v>
      </c>
      <c r="AB39" s="85">
        <v>3</v>
      </c>
      <c r="AC39" s="85">
        <v>17</v>
      </c>
      <c r="AD39" s="85">
        <v>1950</v>
      </c>
      <c r="AE39" s="85">
        <v>1883</v>
      </c>
      <c r="AF39" s="85">
        <v>1002</v>
      </c>
      <c r="AG39" s="85">
        <v>568</v>
      </c>
      <c r="AH39" s="85">
        <v>897</v>
      </c>
      <c r="AI39" s="75">
        <v>0</v>
      </c>
      <c r="AJ39" s="75">
        <f t="shared" ca="1" si="79"/>
        <v>2121.2280000000001</v>
      </c>
      <c r="AK39" s="75">
        <f t="shared" ca="1" si="79"/>
        <v>1469.8000000000002</v>
      </c>
      <c r="AL39" s="75">
        <f t="shared" ca="1" si="79"/>
        <v>611.79500000000019</v>
      </c>
      <c r="AM39" s="75">
        <f t="shared" ca="1" si="79"/>
        <v>5741.7669999999998</v>
      </c>
      <c r="AN39" s="75">
        <f t="shared" ca="1" si="79"/>
        <v>4941.7669999999998</v>
      </c>
      <c r="AO39" s="75">
        <f t="shared" ca="1" si="79"/>
        <v>4290.7669999999998</v>
      </c>
      <c r="AP39" s="75">
        <f t="shared" ca="1" si="79"/>
        <v>3432.7669999999998</v>
      </c>
      <c r="AQ39" s="75">
        <f t="shared" ca="1" si="79"/>
        <v>5562.7669999999998</v>
      </c>
      <c r="AR39" s="75">
        <f t="shared" ca="1" si="79"/>
        <v>4697.7669999999998</v>
      </c>
      <c r="AS39" s="75">
        <f t="shared" ca="1" si="79"/>
        <v>3418.7669999999998</v>
      </c>
      <c r="AT39" s="75">
        <f t="shared" ca="1" si="79"/>
        <v>2574.7669999999998</v>
      </c>
      <c r="AU39" s="75">
        <f t="shared" ca="1" si="79"/>
        <v>1578.7669999999998</v>
      </c>
      <c r="AV39" s="75">
        <f t="shared" ca="1" si="79"/>
        <v>778.76699999999983</v>
      </c>
      <c r="AW39" s="75">
        <f t="shared" ca="1" si="79"/>
        <v>778.76699999999983</v>
      </c>
      <c r="AX39" s="75">
        <f t="shared" ca="1" si="79"/>
        <v>778.76699999999983</v>
      </c>
      <c r="AY39" s="75">
        <f t="shared" ca="1" si="54"/>
        <v>778.76699999999983</v>
      </c>
      <c r="AZ39" s="75">
        <f t="shared" ca="1" si="12"/>
        <v>778.76699999999983</v>
      </c>
      <c r="BA39" s="75">
        <f t="shared" ca="1" si="12"/>
        <v>778.76699999999983</v>
      </c>
      <c r="BB39" s="166"/>
      <c r="BC39" s="86">
        <v>1033.8699999999999</v>
      </c>
      <c r="BD39" s="86">
        <v>7</v>
      </c>
      <c r="BE39" s="86">
        <v>0</v>
      </c>
      <c r="BF39" s="86">
        <v>695</v>
      </c>
      <c r="BG39" s="86">
        <v>565.08100000000002</v>
      </c>
      <c r="BH39" s="86">
        <v>840.51700000000005</v>
      </c>
      <c r="BI39" s="86">
        <v>1204.4860000000001</v>
      </c>
      <c r="BJ39" s="86">
        <v>489.66399999999999</v>
      </c>
      <c r="BK39" s="86">
        <v>612.08000000000004</v>
      </c>
      <c r="BL39" s="86">
        <v>878.77200000000005</v>
      </c>
      <c r="BM39" s="86">
        <v>651.428</v>
      </c>
      <c r="BN39" s="86">
        <v>858.005</v>
      </c>
      <c r="BO39" s="86">
        <v>870.02800000000002</v>
      </c>
      <c r="BP39" s="86">
        <v>800</v>
      </c>
      <c r="BQ39" s="86">
        <v>651</v>
      </c>
      <c r="BR39" s="86">
        <v>858</v>
      </c>
      <c r="BS39" s="86">
        <v>870</v>
      </c>
      <c r="BT39" s="86">
        <v>865</v>
      </c>
      <c r="BU39" s="86">
        <v>1279</v>
      </c>
      <c r="BV39" s="86">
        <v>844</v>
      </c>
      <c r="BW39" s="86">
        <f ca="1">VLOOKUP(A39,[3]Export!$B:$Q,16,0)</f>
        <v>996</v>
      </c>
      <c r="BX39" s="86">
        <v>800</v>
      </c>
      <c r="BY39" s="86">
        <v>0</v>
      </c>
      <c r="BZ39" s="86">
        <v>0</v>
      </c>
      <c r="CA39" s="86">
        <v>0</v>
      </c>
      <c r="CB39" s="86">
        <v>0</v>
      </c>
      <c r="CC39" s="86">
        <v>0</v>
      </c>
      <c r="CD39" s="86">
        <v>0</v>
      </c>
      <c r="CE39" s="86">
        <f t="shared" ca="1" si="28"/>
        <v>155.2287093335475</v>
      </c>
      <c r="CF39" s="87"/>
      <c r="CG39" s="86">
        <v>0</v>
      </c>
      <c r="CH39" s="86">
        <v>0</v>
      </c>
      <c r="CI39" s="86">
        <v>0</v>
      </c>
      <c r="CJ39" s="86">
        <v>0</v>
      </c>
      <c r="CK39" s="86">
        <v>0</v>
      </c>
      <c r="CL39" s="86">
        <v>0</v>
      </c>
      <c r="CM39" s="86">
        <v>0</v>
      </c>
      <c r="CN39" s="86">
        <v>0</v>
      </c>
      <c r="CO39" s="89">
        <v>3000</v>
      </c>
      <c r="CP39" s="86">
        <v>0</v>
      </c>
      <c r="CQ39" s="86">
        <v>0</v>
      </c>
      <c r="CR39" s="89">
        <v>6000</v>
      </c>
      <c r="CS39" s="86">
        <v>0</v>
      </c>
      <c r="CT39" s="86">
        <v>0</v>
      </c>
      <c r="CU39" s="90">
        <v>0</v>
      </c>
      <c r="CV39" s="90">
        <v>3000</v>
      </c>
      <c r="CW39" s="86">
        <v>0</v>
      </c>
      <c r="CX39" s="90">
        <v>0</v>
      </c>
      <c r="CY39" s="90">
        <v>0</v>
      </c>
      <c r="CZ39" s="90">
        <v>0</v>
      </c>
      <c r="DA39" s="90">
        <v>0</v>
      </c>
      <c r="DB39" s="90">
        <v>0</v>
      </c>
      <c r="DC39" s="90">
        <v>0</v>
      </c>
      <c r="DD39" s="90">
        <v>0</v>
      </c>
      <c r="DE39" s="90">
        <v>0</v>
      </c>
      <c r="DF39" s="90">
        <v>0</v>
      </c>
      <c r="DG39" s="86">
        <v>0</v>
      </c>
      <c r="DI39" s="91">
        <f ca="1">VLOOKUP(A39,'[2]2-Relatório'!$A:$J,9,0)</f>
        <v>59.04</v>
      </c>
      <c r="DJ39" s="92">
        <f t="shared" ca="1" si="60"/>
        <v>177.12</v>
      </c>
      <c r="DK39" s="92">
        <f t="shared" ca="1" si="60"/>
        <v>1003.68</v>
      </c>
      <c r="DL39" s="92">
        <f t="shared" ca="1" si="60"/>
        <v>115128</v>
      </c>
      <c r="DM39" s="92">
        <f t="shared" ca="1" si="60"/>
        <v>111172.31999999999</v>
      </c>
      <c r="DN39" s="92">
        <f t="shared" ca="1" si="60"/>
        <v>59158.080000000002</v>
      </c>
      <c r="DO39" s="92">
        <f t="shared" ca="1" si="60"/>
        <v>33534.720000000001</v>
      </c>
      <c r="DP39" s="92">
        <f t="shared" ca="1" si="60"/>
        <v>52958.879999999997</v>
      </c>
      <c r="DQ39" s="92">
        <f t="shared" ca="1" si="60"/>
        <v>0</v>
      </c>
      <c r="DR39" s="92">
        <f t="shared" ca="1" si="60"/>
        <v>125237.30112</v>
      </c>
      <c r="DS39" s="92">
        <f t="shared" ca="1" si="60"/>
        <v>86776.992000000013</v>
      </c>
      <c r="DT39" s="92">
        <f t="shared" ca="1" si="60"/>
        <v>36120.376800000013</v>
      </c>
      <c r="DU39" s="92">
        <f t="shared" ca="1" si="60"/>
        <v>338993.92368000001</v>
      </c>
      <c r="DV39" s="92">
        <f t="shared" ca="1" si="60"/>
        <v>291761.92368000001</v>
      </c>
      <c r="DW39" s="92">
        <f t="shared" ca="1" si="60"/>
        <v>253326.88368</v>
      </c>
      <c r="DX39" s="92">
        <f t="shared" ca="1" si="60"/>
        <v>202670.56367999999</v>
      </c>
      <c r="DY39" s="92">
        <f t="shared" ca="1" si="60"/>
        <v>328425.76367999997</v>
      </c>
      <c r="DZ39" s="92">
        <f t="shared" ca="1" si="75"/>
        <v>277356.16368</v>
      </c>
      <c r="EA39" s="92">
        <f t="shared" ca="1" si="75"/>
        <v>201844.00367999999</v>
      </c>
      <c r="EB39" s="92">
        <f t="shared" ca="1" si="75"/>
        <v>152014.24367999999</v>
      </c>
      <c r="EC39" s="92">
        <f t="shared" ca="1" si="75"/>
        <v>93210.403679999989</v>
      </c>
      <c r="ED39" s="92">
        <f t="shared" ca="1" si="75"/>
        <v>45978.403679999989</v>
      </c>
      <c r="EE39" s="92">
        <f t="shared" ca="1" si="75"/>
        <v>45978.403679999989</v>
      </c>
      <c r="EF39" s="92">
        <f t="shared" ca="1" si="75"/>
        <v>45978.403679999989</v>
      </c>
      <c r="EG39" s="92">
        <f t="shared" ca="1" si="73"/>
        <v>45978.403679999989</v>
      </c>
      <c r="EH39" s="92">
        <f t="shared" ca="1" si="46"/>
        <v>45978.403679999989</v>
      </c>
      <c r="EI39" s="92">
        <f t="shared" ca="1" si="46"/>
        <v>45978.403679999989</v>
      </c>
      <c r="EL39" s="93">
        <f t="shared" ca="1" si="57"/>
        <v>53285.659799999994</v>
      </c>
      <c r="EM39" s="93">
        <f t="shared" ca="1" si="57"/>
        <v>360.78</v>
      </c>
      <c r="EN39" s="92">
        <f t="shared" ca="1" si="61"/>
        <v>0</v>
      </c>
      <c r="EO39" s="92">
        <f t="shared" ca="1" si="61"/>
        <v>41032.800000000003</v>
      </c>
      <c r="EP39" s="92">
        <f t="shared" ca="1" si="61"/>
        <v>33362.382239999999</v>
      </c>
      <c r="EQ39" s="92">
        <f t="shared" ca="1" si="61"/>
        <v>49624.123680000004</v>
      </c>
      <c r="ER39" s="92">
        <f t="shared" ca="1" si="61"/>
        <v>71112.853440000006</v>
      </c>
      <c r="ES39" s="92">
        <f t="shared" ca="1" si="61"/>
        <v>28909.762559999999</v>
      </c>
      <c r="ET39" s="92">
        <f t="shared" ca="1" si="61"/>
        <v>36137.203200000004</v>
      </c>
      <c r="EU39" s="92">
        <f t="shared" ca="1" si="61"/>
        <v>51882.698880000004</v>
      </c>
      <c r="EV39" s="92">
        <f t="shared" ca="1" si="61"/>
        <v>38460.309119999998</v>
      </c>
      <c r="EW39" s="92">
        <f t="shared" ca="1" si="61"/>
        <v>50656.6152</v>
      </c>
      <c r="EX39" s="92">
        <f t="shared" ca="1" si="61"/>
        <v>51366.453119999998</v>
      </c>
      <c r="EY39" s="92">
        <f t="shared" ca="1" si="61"/>
        <v>47232</v>
      </c>
      <c r="EZ39" s="92">
        <f t="shared" ca="1" si="61"/>
        <v>38435.040000000001</v>
      </c>
      <c r="FA39" s="92">
        <f t="shared" ca="1" si="61"/>
        <v>50656.32</v>
      </c>
      <c r="FB39" s="92">
        <f t="shared" ca="1" si="61"/>
        <v>51364.799999999996</v>
      </c>
      <c r="FC39" s="92">
        <f t="shared" ref="FC39:FI73" ca="1" si="82">$DI39*BT39</f>
        <v>51069.599999999999</v>
      </c>
      <c r="FD39" s="92">
        <f t="shared" ca="1" si="58"/>
        <v>75512.160000000003</v>
      </c>
      <c r="FE39" s="92">
        <f t="shared" ca="1" si="58"/>
        <v>49829.760000000002</v>
      </c>
      <c r="FF39" s="92">
        <f t="shared" ca="1" si="58"/>
        <v>58803.839999999997</v>
      </c>
      <c r="FG39" s="92">
        <f t="shared" ca="1" si="58"/>
        <v>47232</v>
      </c>
      <c r="FH39" s="92">
        <f t="shared" ca="1" si="55"/>
        <v>0</v>
      </c>
      <c r="FI39" s="92">
        <f t="shared" ca="1" si="55"/>
        <v>0</v>
      </c>
      <c r="FJ39" s="92">
        <f t="shared" ca="1" si="55"/>
        <v>0</v>
      </c>
      <c r="FK39" s="92">
        <f t="shared" ca="1" si="55"/>
        <v>0</v>
      </c>
      <c r="FL39" s="92">
        <f t="shared" ca="1" si="55"/>
        <v>0</v>
      </c>
      <c r="FM39" s="92">
        <f t="shared" ca="1" si="55"/>
        <v>0</v>
      </c>
      <c r="FN39" s="94">
        <f t="shared" ca="1" si="80"/>
        <v>9000</v>
      </c>
      <c r="FO39" s="94">
        <f t="shared" ca="1" si="81"/>
        <v>3000</v>
      </c>
      <c r="FP39" s="95">
        <f t="shared" ca="1" si="59"/>
        <v>31.802837880971499</v>
      </c>
      <c r="FQ39" s="95">
        <f t="shared" ca="1" si="59"/>
        <v>30</v>
      </c>
      <c r="FR39" s="95">
        <f t="shared" ca="1" si="72"/>
        <v>0</v>
      </c>
      <c r="FS39" s="95">
        <f t="shared" ca="1" si="72"/>
        <v>0.73381294964028765</v>
      </c>
      <c r="FT39" s="95">
        <f t="shared" ca="1" si="72"/>
        <v>103.52498137435164</v>
      </c>
      <c r="FU39" s="95">
        <f t="shared" ca="1" si="72"/>
        <v>67.208634685556618</v>
      </c>
      <c r="FV39" s="95">
        <f t="shared" ca="1" si="72"/>
        <v>24.956703523328624</v>
      </c>
      <c r="FW39" s="95">
        <f t="shared" ca="1" si="72"/>
        <v>34.799372631028625</v>
      </c>
      <c r="FX39" s="95">
        <f t="shared" ca="1" si="72"/>
        <v>43.964841197229113</v>
      </c>
      <c r="FY39" s="95">
        <f t="shared" ca="1" si="72"/>
        <v>0</v>
      </c>
      <c r="FZ39" s="95">
        <f t="shared" ca="1" si="72"/>
        <v>97.688217270366039</v>
      </c>
      <c r="GA39" s="95">
        <f t="shared" ca="1" si="72"/>
        <v>51.391308908456253</v>
      </c>
      <c r="GB39" s="95">
        <f t="shared" ca="1" si="72"/>
        <v>21.095700368264019</v>
      </c>
      <c r="GC39" s="95">
        <f t="shared" ca="1" si="72"/>
        <v>215.31626249999999</v>
      </c>
      <c r="GD39" s="95">
        <f t="shared" ca="1" si="72"/>
        <v>227.73119815668204</v>
      </c>
      <c r="GE39" s="95">
        <f t="shared" ca="1" si="72"/>
        <v>150.02681818181819</v>
      </c>
      <c r="GF39" s="95">
        <f t="shared" ca="1" si="72"/>
        <v>118.37127586206897</v>
      </c>
      <c r="GG39" s="95">
        <f t="shared" ca="1" si="72"/>
        <v>192.9283352601156</v>
      </c>
      <c r="GH39" s="95">
        <f t="shared" ca="1" si="41"/>
        <v>110.18999999999998</v>
      </c>
      <c r="GI39" s="95">
        <f t="shared" ca="1" si="41"/>
        <v>121.520154028436</v>
      </c>
      <c r="GJ39" s="95">
        <f t="shared" ca="1" si="41"/>
        <v>77.553222891566264</v>
      </c>
      <c r="GK39" s="95">
        <f t="shared" ca="1" si="41"/>
        <v>59.203762499999996</v>
      </c>
      <c r="GL39" s="95">
        <f t="shared" ca="1" si="41"/>
        <v>0</v>
      </c>
      <c r="GM39" s="95">
        <f t="shared" ca="1" si="41"/>
        <v>0</v>
      </c>
      <c r="GN39" s="95">
        <f t="shared" ca="1" si="41"/>
        <v>0</v>
      </c>
      <c r="GO39" s="95">
        <f t="shared" ca="1" si="41"/>
        <v>0</v>
      </c>
      <c r="GP39" s="95">
        <f t="shared" ca="1" si="41"/>
        <v>0</v>
      </c>
      <c r="GQ39" s="95">
        <f t="shared" ca="1" si="41"/>
        <v>0</v>
      </c>
      <c r="GS39" s="7">
        <v>189.0289752501333</v>
      </c>
      <c r="GT39" s="96">
        <f t="shared" ca="1" si="76"/>
        <v>106816.68236332058</v>
      </c>
      <c r="GU39" s="96">
        <f t="shared" ca="1" si="76"/>
        <v>158882.0671903163</v>
      </c>
      <c r="GV39" s="96">
        <f t="shared" ca="1" si="76"/>
        <v>227682.75428313209</v>
      </c>
      <c r="GW39" s="96">
        <f t="shared" ca="1" si="76"/>
        <v>92560.684136881275</v>
      </c>
      <c r="GX39" s="96">
        <f t="shared" ca="1" si="76"/>
        <v>115700.8551711016</v>
      </c>
      <c r="GY39" s="96">
        <f t="shared" ca="1" si="76"/>
        <v>166113.37063851015</v>
      </c>
      <c r="GZ39" s="96">
        <f t="shared" ca="1" si="76"/>
        <v>123138.76728924383</v>
      </c>
      <c r="HA39" s="96">
        <f t="shared" ca="1" si="76"/>
        <v>162187.80590949062</v>
      </c>
      <c r="HB39" s="96">
        <f t="shared" ca="1" si="76"/>
        <v>164460.50127892298</v>
      </c>
      <c r="HC39" s="96">
        <f t="shared" ca="1" si="76"/>
        <v>151223.18020010664</v>
      </c>
      <c r="HD39" s="96">
        <f t="shared" ca="1" si="76"/>
        <v>123057.86288783677</v>
      </c>
      <c r="HE39" s="96">
        <f t="shared" ca="1" si="76"/>
        <v>162186.86076461436</v>
      </c>
      <c r="HF39" s="96">
        <f t="shared" ca="1" si="76"/>
        <v>164455.20846761597</v>
      </c>
      <c r="HG39" s="96">
        <f t="shared" ca="1" si="76"/>
        <v>163510.06359136529</v>
      </c>
      <c r="HH39" s="96">
        <f t="shared" ca="1" si="76"/>
        <v>241768.0593449205</v>
      </c>
      <c r="HI39" s="96">
        <f t="shared" ca="1" si="74"/>
        <v>159540.4551111125</v>
      </c>
      <c r="HJ39" s="96">
        <f t="shared" ca="1" si="48"/>
        <v>188272.85934913278</v>
      </c>
      <c r="HK39" s="96">
        <f t="shared" ca="1" si="48"/>
        <v>151223.18020010664</v>
      </c>
      <c r="HL39" s="96">
        <f t="shared" ca="1" si="48"/>
        <v>0</v>
      </c>
      <c r="HM39" s="96">
        <f t="shared" ca="1" si="48"/>
        <v>0</v>
      </c>
      <c r="HN39" s="96">
        <f t="shared" ca="1" si="48"/>
        <v>0</v>
      </c>
      <c r="HO39" s="96">
        <f t="shared" ca="1" si="48"/>
        <v>0</v>
      </c>
      <c r="HP39" s="96">
        <f t="shared" ca="1" si="48"/>
        <v>0</v>
      </c>
      <c r="HQ39" s="96">
        <f t="shared" ca="1" si="48"/>
        <v>0</v>
      </c>
      <c r="HS39" s="97">
        <f t="shared" ca="1" si="21"/>
        <v>368606.50173775991</v>
      </c>
    </row>
    <row r="40" spans="1:227" ht="17.25" thickTop="1" thickBot="1" x14ac:dyDescent="0.3">
      <c r="A40" s="102" t="s">
        <v>69</v>
      </c>
      <c r="B40" s="103" t="s">
        <v>395</v>
      </c>
      <c r="C40" s="73" t="s">
        <v>396</v>
      </c>
      <c r="D40" s="74" t="s">
        <v>0</v>
      </c>
      <c r="E40" s="74" t="s">
        <v>349</v>
      </c>
      <c r="F40" s="73"/>
      <c r="G40" s="75">
        <f t="shared" ca="1" si="77"/>
        <v>133</v>
      </c>
      <c r="H40" s="75">
        <v>133</v>
      </c>
      <c r="I40" s="75">
        <f t="shared" ca="1" si="78"/>
        <v>266</v>
      </c>
      <c r="J40" s="76">
        <f ca="1">[1]Parameters!$C$3+G40</f>
        <v>45964</v>
      </c>
      <c r="K40" s="77">
        <f t="shared" ca="1" si="23"/>
        <v>11</v>
      </c>
      <c r="L40" s="77">
        <f t="shared" ca="1" si="24"/>
        <v>2025</v>
      </c>
      <c r="M40" s="76">
        <f ca="1">[1]Parameters!$C$3+I40</f>
        <v>46097</v>
      </c>
      <c r="N40" s="77">
        <f t="shared" ca="1" si="25"/>
        <v>3</v>
      </c>
      <c r="O40" s="77">
        <f t="shared" ca="1" si="26"/>
        <v>2026</v>
      </c>
      <c r="P40" s="78">
        <v>0.95</v>
      </c>
      <c r="Q40" s="79" t="str">
        <f ca="1">VLOOKUP(A40,[1]ABC!A:G,7,0)</f>
        <v>C</v>
      </c>
      <c r="R40" s="80">
        <f t="shared" ca="1" si="9"/>
        <v>0</v>
      </c>
      <c r="S40" s="120">
        <v>58.06</v>
      </c>
      <c r="T40" s="82">
        <f t="shared" ca="1" si="10"/>
        <v>300</v>
      </c>
      <c r="U40" s="83">
        <f ca="1">IF((ROUND(AVERAGE(BI40:BR40)*2/100,0)*100)&lt;T40,T40,ROUND(AVERAGE(BI40:BR40)*2/100,0)*100)</f>
        <v>1300</v>
      </c>
      <c r="V40" s="80">
        <v>2100</v>
      </c>
      <c r="W40" s="80">
        <f t="shared" ca="1" si="27"/>
        <v>2100</v>
      </c>
      <c r="X40" s="101" t="s">
        <v>350</v>
      </c>
      <c r="Y40" s="84">
        <v>8.27</v>
      </c>
      <c r="Z40" s="85">
        <v>0</v>
      </c>
      <c r="AA40" s="85">
        <v>0</v>
      </c>
      <c r="AB40" s="85">
        <v>0</v>
      </c>
      <c r="AC40" s="85">
        <v>0</v>
      </c>
      <c r="AD40" s="85">
        <v>1080</v>
      </c>
      <c r="AE40" s="85">
        <v>662</v>
      </c>
      <c r="AF40" s="85">
        <v>634</v>
      </c>
      <c r="AG40" s="85">
        <v>346</v>
      </c>
      <c r="AH40" s="85">
        <v>344</v>
      </c>
      <c r="AI40" s="75">
        <v>5366</v>
      </c>
      <c r="AJ40" s="75">
        <f t="shared" ca="1" si="79"/>
        <v>4714.5720000000001</v>
      </c>
      <c r="AK40" s="75">
        <f t="shared" ca="1" si="79"/>
        <v>4161.5140000000001</v>
      </c>
      <c r="AL40" s="75">
        <f t="shared" ca="1" si="79"/>
        <v>3514.4580000000001</v>
      </c>
      <c r="AM40" s="75">
        <f t="shared" ca="1" si="79"/>
        <v>2863.03</v>
      </c>
      <c r="AN40" s="75">
        <f t="shared" ca="1" si="79"/>
        <v>2176.6260000000002</v>
      </c>
      <c r="AO40" s="75">
        <f t="shared" ca="1" si="79"/>
        <v>3723.6260000000002</v>
      </c>
      <c r="AP40" s="75">
        <f t="shared" ca="1" si="79"/>
        <v>3076.6260000000002</v>
      </c>
      <c r="AQ40" s="75">
        <f t="shared" ca="1" si="79"/>
        <v>2425.6260000000002</v>
      </c>
      <c r="AR40" s="75">
        <f t="shared" ca="1" si="79"/>
        <v>3839.6260000000002</v>
      </c>
      <c r="AS40" s="75">
        <f t="shared" ca="1" si="79"/>
        <v>3145.6260000000002</v>
      </c>
      <c r="AT40" s="75">
        <f t="shared" ca="1" si="79"/>
        <v>2377.6260000000002</v>
      </c>
      <c r="AU40" s="75">
        <f t="shared" ca="1" si="79"/>
        <v>1661.6260000000002</v>
      </c>
      <c r="AV40" s="75">
        <f t="shared" ca="1" si="79"/>
        <v>945.6260000000002</v>
      </c>
      <c r="AW40" s="75">
        <f t="shared" ca="1" si="79"/>
        <v>945.6260000000002</v>
      </c>
      <c r="AX40" s="75">
        <f t="shared" ca="1" si="79"/>
        <v>945.6260000000002</v>
      </c>
      <c r="AY40" s="75">
        <f t="shared" ca="1" si="54"/>
        <v>945.6260000000002</v>
      </c>
      <c r="AZ40" s="75">
        <f t="shared" ca="1" si="12"/>
        <v>945.6260000000002</v>
      </c>
      <c r="BA40" s="75">
        <f t="shared" ca="1" si="12"/>
        <v>945.6260000000002</v>
      </c>
      <c r="BB40" s="166"/>
      <c r="BC40" s="86">
        <v>0</v>
      </c>
      <c r="BD40" s="86">
        <v>-0.09</v>
      </c>
      <c r="BE40" s="86">
        <v>0</v>
      </c>
      <c r="BF40" s="86">
        <v>700</v>
      </c>
      <c r="BG40" s="86">
        <v>487.61462499999999</v>
      </c>
      <c r="BH40" s="86">
        <v>727.93799999999999</v>
      </c>
      <c r="BI40" s="86">
        <v>920.30600000000004</v>
      </c>
      <c r="BJ40" s="86">
        <v>396.75900000000001</v>
      </c>
      <c r="BK40" s="86">
        <v>570.54600000000005</v>
      </c>
      <c r="BL40" s="86">
        <v>651.428</v>
      </c>
      <c r="BM40" s="86">
        <v>553.05799999999999</v>
      </c>
      <c r="BN40" s="86">
        <v>647.05600000000004</v>
      </c>
      <c r="BO40" s="86">
        <v>651.428</v>
      </c>
      <c r="BP40" s="86">
        <v>686.404</v>
      </c>
      <c r="BQ40" s="86">
        <v>553</v>
      </c>
      <c r="BR40" s="86">
        <v>647</v>
      </c>
      <c r="BS40" s="86">
        <v>651</v>
      </c>
      <c r="BT40" s="86">
        <v>686</v>
      </c>
      <c r="BU40" s="86">
        <v>694</v>
      </c>
      <c r="BV40" s="86">
        <v>768</v>
      </c>
      <c r="BW40" s="86">
        <f ca="1">VLOOKUP(A40,[3]Export!$B:$Q,16,0)</f>
        <v>716</v>
      </c>
      <c r="BX40" s="86">
        <v>716</v>
      </c>
      <c r="BY40" s="86">
        <v>0</v>
      </c>
      <c r="BZ40" s="86">
        <v>0</v>
      </c>
      <c r="CA40" s="86">
        <v>0</v>
      </c>
      <c r="CB40" s="86">
        <v>0</v>
      </c>
      <c r="CC40" s="86">
        <v>0</v>
      </c>
      <c r="CD40" s="86">
        <v>0</v>
      </c>
      <c r="CE40" s="86">
        <f t="shared" ca="1" si="28"/>
        <v>60.408249204040303</v>
      </c>
      <c r="CF40" s="87"/>
      <c r="CG40" s="86">
        <v>0</v>
      </c>
      <c r="CH40" s="86">
        <v>0</v>
      </c>
      <c r="CI40" s="86">
        <v>0</v>
      </c>
      <c r="CJ40" s="86">
        <v>0</v>
      </c>
      <c r="CK40" s="86">
        <v>0</v>
      </c>
      <c r="CL40" s="86">
        <v>0</v>
      </c>
      <c r="CM40" s="86">
        <v>0</v>
      </c>
      <c r="CN40" s="86">
        <v>0</v>
      </c>
      <c r="CO40" s="86">
        <v>0</v>
      </c>
      <c r="CP40" s="86">
        <v>0</v>
      </c>
      <c r="CQ40" s="86">
        <v>0</v>
      </c>
      <c r="CR40" s="86">
        <v>0</v>
      </c>
      <c r="CS40" s="86">
        <v>0</v>
      </c>
      <c r="CT40" s="86">
        <v>2100</v>
      </c>
      <c r="CU40" s="90">
        <v>0</v>
      </c>
      <c r="CV40" s="90">
        <v>0</v>
      </c>
      <c r="CW40" s="86">
        <v>2100</v>
      </c>
      <c r="CX40" s="90">
        <v>0</v>
      </c>
      <c r="CY40" s="90">
        <v>0</v>
      </c>
      <c r="CZ40" s="90">
        <v>0</v>
      </c>
      <c r="DA40" s="90">
        <v>0</v>
      </c>
      <c r="DB40" s="90">
        <v>0</v>
      </c>
      <c r="DC40" s="90">
        <v>0</v>
      </c>
      <c r="DD40" s="90">
        <v>0</v>
      </c>
      <c r="DE40" s="90">
        <v>0</v>
      </c>
      <c r="DF40" s="90">
        <v>0</v>
      </c>
      <c r="DG40" s="86">
        <v>0</v>
      </c>
      <c r="DI40" s="91">
        <f ca="1">VLOOKUP(A40,'[2]2-Relatório'!$A:$J,9,0)</f>
        <v>70.97</v>
      </c>
      <c r="DJ40" s="92">
        <f t="shared" ca="1" si="60"/>
        <v>0</v>
      </c>
      <c r="DK40" s="92">
        <f t="shared" ca="1" si="60"/>
        <v>0</v>
      </c>
      <c r="DL40" s="92">
        <f t="shared" ca="1" si="60"/>
        <v>76647.600000000006</v>
      </c>
      <c r="DM40" s="92">
        <f t="shared" ca="1" si="60"/>
        <v>46982.14</v>
      </c>
      <c r="DN40" s="92">
        <f t="shared" ca="1" si="60"/>
        <v>44994.979999999996</v>
      </c>
      <c r="DO40" s="92">
        <f t="shared" ca="1" si="60"/>
        <v>24555.62</v>
      </c>
      <c r="DP40" s="92">
        <f t="shared" ca="1" si="60"/>
        <v>24413.68</v>
      </c>
      <c r="DQ40" s="92">
        <f t="shared" ca="1" si="60"/>
        <v>380825.02</v>
      </c>
      <c r="DR40" s="92">
        <f t="shared" ca="1" si="60"/>
        <v>334593.17483999999</v>
      </c>
      <c r="DS40" s="92">
        <f t="shared" ca="1" si="60"/>
        <v>295342.64857999998</v>
      </c>
      <c r="DT40" s="92">
        <f t="shared" ca="1" si="60"/>
        <v>249421.08426</v>
      </c>
      <c r="DU40" s="92">
        <f t="shared" ca="1" si="60"/>
        <v>203189.23910000001</v>
      </c>
      <c r="DV40" s="92">
        <f t="shared" ca="1" si="60"/>
        <v>154475.14722000001</v>
      </c>
      <c r="DW40" s="92">
        <f t="shared" ca="1" si="60"/>
        <v>264265.73722000001</v>
      </c>
      <c r="DX40" s="92">
        <f t="shared" ca="1" si="60"/>
        <v>218348.14722000001</v>
      </c>
      <c r="DY40" s="92">
        <f t="shared" ca="1" si="60"/>
        <v>172146.67722000001</v>
      </c>
      <c r="DZ40" s="92">
        <f t="shared" ca="1" si="75"/>
        <v>272498.25722000003</v>
      </c>
      <c r="EA40" s="92">
        <f t="shared" ca="1" si="75"/>
        <v>223245.07722000001</v>
      </c>
      <c r="EB40" s="92">
        <f t="shared" ca="1" si="75"/>
        <v>168740.11722000001</v>
      </c>
      <c r="EC40" s="92">
        <f t="shared" ca="1" si="75"/>
        <v>117925.59722000001</v>
      </c>
      <c r="ED40" s="92">
        <f t="shared" ca="1" si="75"/>
        <v>67111.077220000006</v>
      </c>
      <c r="EE40" s="92">
        <f t="shared" ca="1" si="75"/>
        <v>67111.077220000006</v>
      </c>
      <c r="EF40" s="92">
        <f t="shared" ca="1" si="75"/>
        <v>67111.077220000006</v>
      </c>
      <c r="EG40" s="92">
        <f t="shared" ca="1" si="73"/>
        <v>67111.077220000006</v>
      </c>
      <c r="EH40" s="92">
        <f t="shared" ca="1" si="46"/>
        <v>67111.077220000006</v>
      </c>
      <c r="EI40" s="92">
        <f t="shared" ca="1" si="46"/>
        <v>67111.077220000006</v>
      </c>
      <c r="EL40" s="93">
        <f t="shared" ca="1" si="57"/>
        <v>0</v>
      </c>
      <c r="EM40" s="93">
        <f t="shared" ca="1" si="57"/>
        <v>-5.2253999999999996</v>
      </c>
      <c r="EN40" s="92">
        <f t="shared" ref="EN40:FB56" ca="1" si="83">$DI40*BE40</f>
        <v>0</v>
      </c>
      <c r="EO40" s="92">
        <f t="shared" ca="1" si="83"/>
        <v>49679</v>
      </c>
      <c r="EP40" s="92">
        <f t="shared" ca="1" si="83"/>
        <v>34606.009936249997</v>
      </c>
      <c r="EQ40" s="92">
        <f t="shared" ca="1" si="83"/>
        <v>51661.759859999998</v>
      </c>
      <c r="ER40" s="92">
        <f t="shared" ca="1" si="83"/>
        <v>65314.116820000003</v>
      </c>
      <c r="ES40" s="92">
        <f t="shared" ca="1" si="83"/>
        <v>28157.986230000002</v>
      </c>
      <c r="ET40" s="92">
        <f t="shared" ca="1" si="83"/>
        <v>40491.649620000004</v>
      </c>
      <c r="EU40" s="92">
        <f t="shared" ca="1" si="83"/>
        <v>46231.845159999997</v>
      </c>
      <c r="EV40" s="92">
        <f t="shared" ca="1" si="83"/>
        <v>39250.526259999999</v>
      </c>
      <c r="EW40" s="92">
        <f t="shared" ca="1" si="83"/>
        <v>45921.564320000005</v>
      </c>
      <c r="EX40" s="92">
        <f t="shared" ca="1" si="83"/>
        <v>46231.845159999997</v>
      </c>
      <c r="EY40" s="92">
        <f t="shared" ca="1" si="83"/>
        <v>48714.09188</v>
      </c>
      <c r="EZ40" s="92">
        <f t="shared" ca="1" si="83"/>
        <v>39246.409999999996</v>
      </c>
      <c r="FA40" s="92">
        <f t="shared" ca="1" si="83"/>
        <v>45917.59</v>
      </c>
      <c r="FB40" s="92">
        <f t="shared" ca="1" si="83"/>
        <v>46201.47</v>
      </c>
      <c r="FC40" s="92">
        <f t="shared" ca="1" si="82"/>
        <v>48685.42</v>
      </c>
      <c r="FD40" s="92">
        <f t="shared" ca="1" si="58"/>
        <v>49253.18</v>
      </c>
      <c r="FE40" s="92">
        <f t="shared" ca="1" si="58"/>
        <v>54504.959999999999</v>
      </c>
      <c r="FF40" s="92">
        <f t="shared" ca="1" si="58"/>
        <v>50814.52</v>
      </c>
      <c r="FG40" s="92">
        <f t="shared" ca="1" si="58"/>
        <v>50814.52</v>
      </c>
      <c r="FH40" s="92">
        <f t="shared" ca="1" si="55"/>
        <v>0</v>
      </c>
      <c r="FI40" s="92">
        <f t="shared" ca="1" si="55"/>
        <v>0</v>
      </c>
      <c r="FJ40" s="92">
        <f t="shared" ca="1" si="55"/>
        <v>0</v>
      </c>
      <c r="FK40" s="92">
        <f t="shared" ca="1" si="55"/>
        <v>0</v>
      </c>
      <c r="FL40" s="92">
        <f t="shared" ca="1" si="55"/>
        <v>0</v>
      </c>
      <c r="FM40" s="92">
        <f t="shared" ca="1" si="55"/>
        <v>0</v>
      </c>
      <c r="FN40" s="94">
        <f t="shared" ca="1" si="80"/>
        <v>2100</v>
      </c>
      <c r="FO40" s="94">
        <f t="shared" ca="1" si="81"/>
        <v>2100</v>
      </c>
      <c r="FP40" s="95">
        <f t="shared" ca="1" si="59"/>
        <v>0</v>
      </c>
      <c r="FQ40" s="95">
        <f t="shared" ca="1" si="59"/>
        <v>0</v>
      </c>
      <c r="FR40" s="95">
        <f t="shared" ca="1" si="72"/>
        <v>0</v>
      </c>
      <c r="FS40" s="95">
        <f t="shared" ca="1" si="72"/>
        <v>0</v>
      </c>
      <c r="FT40" s="95">
        <f t="shared" ca="1" si="72"/>
        <v>66.445915152770496</v>
      </c>
      <c r="FU40" s="95">
        <f t="shared" ca="1" si="72"/>
        <v>27.282543293522249</v>
      </c>
      <c r="FV40" s="95">
        <f t="shared" ca="1" si="72"/>
        <v>20.667039006591281</v>
      </c>
      <c r="FW40" s="95">
        <f t="shared" ca="1" si="72"/>
        <v>26.161977422062257</v>
      </c>
      <c r="FX40" s="95">
        <f t="shared" ca="1" si="72"/>
        <v>18.08793681841604</v>
      </c>
      <c r="FY40" s="95">
        <f t="shared" ca="1" si="72"/>
        <v>247.11863782336656</v>
      </c>
      <c r="FZ40" s="95">
        <f t="shared" ca="1" si="72"/>
        <v>255.73657735716691</v>
      </c>
      <c r="GA40" s="95">
        <f t="shared" ca="1" si="72"/>
        <v>192.94376375460544</v>
      </c>
      <c r="GB40" s="95">
        <f t="shared" ca="1" si="72"/>
        <v>161.8501814475276</v>
      </c>
      <c r="GC40" s="95">
        <f t="shared" ca="1" si="72"/>
        <v>125.1317008642141</v>
      </c>
      <c r="GD40" s="95">
        <f t="shared" ca="1" si="72"/>
        <v>118.0809764918626</v>
      </c>
      <c r="GE40" s="95">
        <f t="shared" ca="1" si="72"/>
        <v>172.65653786707884</v>
      </c>
      <c r="GF40" s="95">
        <f t="shared" ca="1" si="72"/>
        <v>141.78</v>
      </c>
      <c r="GG40" s="95">
        <f t="shared" ca="1" si="72"/>
        <v>106.07693877551021</v>
      </c>
      <c r="GH40" s="95">
        <f t="shared" ca="1" si="41"/>
        <v>165.97806916426515</v>
      </c>
      <c r="GI40" s="95">
        <f t="shared" ca="1" si="41"/>
        <v>122.87601562500002</v>
      </c>
      <c r="GJ40" s="95">
        <f t="shared" ca="1" si="41"/>
        <v>99.621201117318449</v>
      </c>
      <c r="GK40" s="95">
        <f t="shared" ca="1" si="41"/>
        <v>69.621201117318449</v>
      </c>
      <c r="GL40" s="95">
        <f t="shared" ca="1" si="41"/>
        <v>0</v>
      </c>
      <c r="GM40" s="95">
        <f t="shared" ca="1" si="41"/>
        <v>0</v>
      </c>
      <c r="GN40" s="95">
        <f t="shared" ca="1" si="41"/>
        <v>0</v>
      </c>
      <c r="GO40" s="95">
        <f t="shared" ca="1" si="41"/>
        <v>0</v>
      </c>
      <c r="GP40" s="95">
        <f t="shared" ca="1" si="41"/>
        <v>0</v>
      </c>
      <c r="GQ40" s="95">
        <f t="shared" ca="1" si="41"/>
        <v>0</v>
      </c>
      <c r="GS40" s="7">
        <v>168.82147593629995</v>
      </c>
      <c r="GT40" s="96">
        <f t="shared" ca="1" si="76"/>
        <v>82319.820680625417</v>
      </c>
      <c r="GU40" s="96">
        <f t="shared" ca="1" si="76"/>
        <v>122891.56755011831</v>
      </c>
      <c r="GV40" s="96">
        <f t="shared" ca="1" si="76"/>
        <v>155367.41723303247</v>
      </c>
      <c r="GW40" s="96">
        <f t="shared" ca="1" si="76"/>
        <v>66981.439971010434</v>
      </c>
      <c r="GX40" s="96">
        <f t="shared" ca="1" si="76"/>
        <v>96320.417809552193</v>
      </c>
      <c r="GY40" s="96">
        <f t="shared" ca="1" si="76"/>
        <v>109975.03642623201</v>
      </c>
      <c r="GZ40" s="96">
        <f t="shared" ca="1" si="76"/>
        <v>93368.067838378178</v>
      </c>
      <c r="HA40" s="96">
        <f t="shared" ca="1" si="76"/>
        <v>109236.9489334385</v>
      </c>
      <c r="HB40" s="96">
        <f t="shared" ca="1" si="76"/>
        <v>109975.03642623201</v>
      </c>
      <c r="HC40" s="96">
        <f t="shared" ca="1" si="76"/>
        <v>115879.73636858002</v>
      </c>
      <c r="HD40" s="96">
        <f t="shared" ca="1" si="76"/>
        <v>93358.276192773876</v>
      </c>
      <c r="HE40" s="96">
        <f t="shared" ca="1" si="76"/>
        <v>109227.49493078607</v>
      </c>
      <c r="HF40" s="96">
        <f t="shared" ca="1" si="76"/>
        <v>109902.78083453127</v>
      </c>
      <c r="HG40" s="96">
        <f t="shared" ca="1" si="76"/>
        <v>115811.53249230176</v>
      </c>
      <c r="HH40" s="96">
        <f t="shared" ca="1" si="76"/>
        <v>117162.10429979216</v>
      </c>
      <c r="HI40" s="96">
        <f t="shared" ca="1" si="74"/>
        <v>129654.89351907835</v>
      </c>
      <c r="HJ40" s="96">
        <f t="shared" ca="1" si="48"/>
        <v>120876.17677039077</v>
      </c>
      <c r="HK40" s="96">
        <f t="shared" ca="1" si="48"/>
        <v>120876.17677039077</v>
      </c>
      <c r="HL40" s="96">
        <f t="shared" ca="1" si="48"/>
        <v>0</v>
      </c>
      <c r="HM40" s="96">
        <f t="shared" ca="1" si="48"/>
        <v>0</v>
      </c>
      <c r="HN40" s="96">
        <f t="shared" ca="1" si="48"/>
        <v>0</v>
      </c>
      <c r="HO40" s="96">
        <f t="shared" ca="1" si="48"/>
        <v>0</v>
      </c>
      <c r="HP40" s="96">
        <f t="shared" ca="1" si="48"/>
        <v>0</v>
      </c>
      <c r="HQ40" s="96">
        <f t="shared" ca="1" si="48"/>
        <v>0</v>
      </c>
      <c r="HS40" s="97">
        <f t="shared" ca="1" si="21"/>
        <v>182327.19401120394</v>
      </c>
    </row>
    <row r="41" spans="1:227" s="29" customFormat="1" ht="17.25" thickTop="1" thickBot="1" x14ac:dyDescent="0.3">
      <c r="A41" s="102" t="s">
        <v>75</v>
      </c>
      <c r="B41" s="103" t="s">
        <v>397</v>
      </c>
      <c r="C41" s="73" t="s">
        <v>398</v>
      </c>
      <c r="D41" s="74" t="s">
        <v>0</v>
      </c>
      <c r="E41" s="74" t="s">
        <v>349</v>
      </c>
      <c r="F41" s="73"/>
      <c r="G41" s="75">
        <f t="shared" ca="1" si="77"/>
        <v>133</v>
      </c>
      <c r="H41" s="75">
        <v>133</v>
      </c>
      <c r="I41" s="75">
        <f t="shared" ca="1" si="78"/>
        <v>266</v>
      </c>
      <c r="J41" s="76">
        <f ca="1">[1]Parameters!$C$3+G41</f>
        <v>45964</v>
      </c>
      <c r="K41" s="77">
        <f t="shared" ca="1" si="23"/>
        <v>11</v>
      </c>
      <c r="L41" s="77">
        <f t="shared" ca="1" si="24"/>
        <v>2025</v>
      </c>
      <c r="M41" s="76">
        <f ca="1">[1]Parameters!$C$3+I41</f>
        <v>46097</v>
      </c>
      <c r="N41" s="77">
        <f t="shared" ca="1" si="25"/>
        <v>3</v>
      </c>
      <c r="O41" s="77">
        <f t="shared" ca="1" si="26"/>
        <v>2026</v>
      </c>
      <c r="P41" s="78">
        <v>0.9</v>
      </c>
      <c r="Q41" s="79" t="str">
        <f ca="1">VLOOKUP(A41,[1]ABC!A:G,7,0)</f>
        <v>C</v>
      </c>
      <c r="R41" s="80">
        <f t="shared" ca="1" si="9"/>
        <v>0</v>
      </c>
      <c r="S41" s="120">
        <v>58.5</v>
      </c>
      <c r="T41" s="82">
        <f t="shared" ca="1" si="10"/>
        <v>500</v>
      </c>
      <c r="U41" s="83">
        <f ca="1">IF((ROUND(AVERAGE(BI41:BR41)/10,0)*10)&lt;T41,T41,ROUND(AVERAGE(BI41:BR41)/10,0)*10)</f>
        <v>500</v>
      </c>
      <c r="V41" s="80">
        <v>3000</v>
      </c>
      <c r="W41" s="80">
        <f t="shared" ca="1" si="27"/>
        <v>3000</v>
      </c>
      <c r="X41" s="80"/>
      <c r="Y41" s="84">
        <v>8.56</v>
      </c>
      <c r="Z41" s="85">
        <v>0</v>
      </c>
      <c r="AA41" s="85">
        <v>0</v>
      </c>
      <c r="AB41" s="85">
        <v>0</v>
      </c>
      <c r="AC41" s="85">
        <v>0</v>
      </c>
      <c r="AD41" s="85">
        <v>419</v>
      </c>
      <c r="AE41" s="85">
        <v>276</v>
      </c>
      <c r="AF41" s="85">
        <v>347</v>
      </c>
      <c r="AG41" s="85">
        <v>203</v>
      </c>
      <c r="AH41" s="85">
        <v>226</v>
      </c>
      <c r="AI41" s="75">
        <v>2858</v>
      </c>
      <c r="AJ41" s="75">
        <f t="shared" ca="1" si="79"/>
        <v>2469.9850000000001</v>
      </c>
      <c r="AK41" s="75">
        <f t="shared" ca="1" si="79"/>
        <v>2147.5500000000002</v>
      </c>
      <c r="AL41" s="75">
        <f t="shared" ca="1" si="79"/>
        <v>1762.8140000000003</v>
      </c>
      <c r="AM41" s="75">
        <f t="shared" ca="1" si="79"/>
        <v>4339.8230000000003</v>
      </c>
      <c r="AN41" s="75">
        <f t="shared" ca="1" si="79"/>
        <v>3804.2530000000002</v>
      </c>
      <c r="AO41" s="75">
        <f t="shared" ca="1" si="79"/>
        <v>3482.2530000000002</v>
      </c>
      <c r="AP41" s="75">
        <f t="shared" ca="1" si="79"/>
        <v>3097.2530000000002</v>
      </c>
      <c r="AQ41" s="75">
        <f t="shared" ca="1" si="79"/>
        <v>2674.2530000000002</v>
      </c>
      <c r="AR41" s="75">
        <f t="shared" ca="1" si="79"/>
        <v>2138.2530000000002</v>
      </c>
      <c r="AS41" s="75">
        <f t="shared" ca="1" si="79"/>
        <v>1725.2530000000002</v>
      </c>
      <c r="AT41" s="75">
        <f t="shared" ca="1" si="79"/>
        <v>1700.2530000000002</v>
      </c>
      <c r="AU41" s="75">
        <f t="shared" ca="1" si="79"/>
        <v>1375.2530000000002</v>
      </c>
      <c r="AV41" s="75">
        <f t="shared" ca="1" si="79"/>
        <v>1025.2530000000002</v>
      </c>
      <c r="AW41" s="75">
        <f t="shared" ca="1" si="79"/>
        <v>1025.2530000000002</v>
      </c>
      <c r="AX41" s="75">
        <f t="shared" ca="1" si="79"/>
        <v>1025.2530000000002</v>
      </c>
      <c r="AY41" s="75">
        <f t="shared" ca="1" si="54"/>
        <v>1025.2530000000002</v>
      </c>
      <c r="AZ41" s="75">
        <f t="shared" ca="1" si="12"/>
        <v>1025.2530000000002</v>
      </c>
      <c r="BA41" s="75">
        <f t="shared" ca="1" si="12"/>
        <v>1025.2530000000002</v>
      </c>
      <c r="BB41" s="166"/>
      <c r="BC41" s="86">
        <v>0</v>
      </c>
      <c r="BD41" s="86">
        <v>0</v>
      </c>
      <c r="BE41" s="86">
        <v>0</v>
      </c>
      <c r="BF41" s="86">
        <v>300</v>
      </c>
      <c r="BG41" s="86">
        <v>247.018</v>
      </c>
      <c r="BH41" s="86">
        <v>407.68900000000002</v>
      </c>
      <c r="BI41" s="86">
        <v>589.12699999999995</v>
      </c>
      <c r="BJ41" s="86">
        <v>242.64600000000002</v>
      </c>
      <c r="BK41" s="86">
        <v>313.69099999999997</v>
      </c>
      <c r="BL41" s="86">
        <v>388.01499999999999</v>
      </c>
      <c r="BM41" s="86">
        <v>322.435</v>
      </c>
      <c r="BN41" s="86">
        <v>384.73599999999999</v>
      </c>
      <c r="BO41" s="86">
        <v>422.99099999999999</v>
      </c>
      <c r="BP41" s="86">
        <v>535.57000000000005</v>
      </c>
      <c r="BQ41" s="86">
        <v>322</v>
      </c>
      <c r="BR41" s="86">
        <v>385</v>
      </c>
      <c r="BS41" s="86">
        <v>423</v>
      </c>
      <c r="BT41" s="86">
        <v>536</v>
      </c>
      <c r="BU41" s="86">
        <v>413</v>
      </c>
      <c r="BV41" s="86">
        <v>25</v>
      </c>
      <c r="BW41" s="86">
        <f ca="1">VLOOKUP(A41,[3]Export!$B:$Q,16,0)</f>
        <v>325</v>
      </c>
      <c r="BX41" s="86">
        <v>350</v>
      </c>
      <c r="BY41" s="86">
        <v>0</v>
      </c>
      <c r="BZ41" s="86">
        <v>0</v>
      </c>
      <c r="CA41" s="86">
        <v>0</v>
      </c>
      <c r="CB41" s="86">
        <v>0</v>
      </c>
      <c r="CC41" s="86">
        <v>0</v>
      </c>
      <c r="CD41" s="86">
        <v>0</v>
      </c>
      <c r="CE41" s="86">
        <f t="shared" ca="1" si="28"/>
        <v>125.55834902755615</v>
      </c>
      <c r="CF41" s="87"/>
      <c r="CG41" s="86">
        <v>0</v>
      </c>
      <c r="CH41" s="86">
        <v>0</v>
      </c>
      <c r="CI41" s="86">
        <v>0</v>
      </c>
      <c r="CJ41" s="86">
        <v>0</v>
      </c>
      <c r="CK41" s="86">
        <v>0</v>
      </c>
      <c r="CL41" s="86">
        <v>0</v>
      </c>
      <c r="CM41" s="86">
        <v>0</v>
      </c>
      <c r="CN41" s="86">
        <v>0</v>
      </c>
      <c r="CO41" s="86">
        <v>0</v>
      </c>
      <c r="CP41" s="86">
        <v>0</v>
      </c>
      <c r="CQ41" s="86">
        <v>0</v>
      </c>
      <c r="CR41" s="89">
        <v>3000</v>
      </c>
      <c r="CS41" s="86">
        <v>0</v>
      </c>
      <c r="CT41" s="86">
        <v>0</v>
      </c>
      <c r="CU41" s="90">
        <v>0</v>
      </c>
      <c r="CV41" s="90">
        <v>0</v>
      </c>
      <c r="CW41" s="86">
        <v>0</v>
      </c>
      <c r="CX41" s="90">
        <v>0</v>
      </c>
      <c r="CY41" s="90">
        <v>0</v>
      </c>
      <c r="CZ41" s="90">
        <v>0</v>
      </c>
      <c r="DA41" s="90">
        <v>0</v>
      </c>
      <c r="DB41" s="90">
        <v>0</v>
      </c>
      <c r="DC41" s="90">
        <v>0</v>
      </c>
      <c r="DD41" s="90">
        <v>0</v>
      </c>
      <c r="DE41" s="90">
        <v>0</v>
      </c>
      <c r="DF41" s="90">
        <v>0</v>
      </c>
      <c r="DG41" s="86">
        <v>0</v>
      </c>
      <c r="DH41"/>
      <c r="DI41" s="91">
        <f ca="1">VLOOKUP(A41,'[2]2-Relatório'!$A:$J,9,0)</f>
        <v>74.400000000000006</v>
      </c>
      <c r="DJ41" s="92">
        <f t="shared" ca="1" si="60"/>
        <v>0</v>
      </c>
      <c r="DK41" s="92">
        <f t="shared" ca="1" si="60"/>
        <v>0</v>
      </c>
      <c r="DL41" s="92">
        <f t="shared" ca="1" si="60"/>
        <v>31173.600000000002</v>
      </c>
      <c r="DM41" s="92">
        <f t="shared" ca="1" si="60"/>
        <v>20534.400000000001</v>
      </c>
      <c r="DN41" s="92">
        <f t="shared" ca="1" si="60"/>
        <v>25816.800000000003</v>
      </c>
      <c r="DO41" s="92">
        <f t="shared" ca="1" si="60"/>
        <v>15103.2</v>
      </c>
      <c r="DP41" s="92">
        <f t="shared" ca="1" si="60"/>
        <v>16814.400000000001</v>
      </c>
      <c r="DQ41" s="92">
        <f t="shared" ca="1" si="60"/>
        <v>212635.2</v>
      </c>
      <c r="DR41" s="92">
        <f t="shared" ca="1" si="60"/>
        <v>183766.88400000002</v>
      </c>
      <c r="DS41" s="92">
        <f t="shared" ca="1" si="60"/>
        <v>159777.72000000003</v>
      </c>
      <c r="DT41" s="92">
        <f t="shared" ca="1" si="60"/>
        <v>131153.36160000003</v>
      </c>
      <c r="DU41" s="92">
        <f t="shared" ca="1" si="60"/>
        <v>322882.83120000007</v>
      </c>
      <c r="DV41" s="92">
        <f t="shared" ca="1" si="60"/>
        <v>283036.42320000002</v>
      </c>
      <c r="DW41" s="92">
        <f t="shared" ca="1" si="60"/>
        <v>259079.62320000003</v>
      </c>
      <c r="DX41" s="92">
        <f t="shared" ca="1" si="60"/>
        <v>230435.62320000003</v>
      </c>
      <c r="DY41" s="92">
        <f t="shared" ca="1" si="60"/>
        <v>198964.42320000002</v>
      </c>
      <c r="DZ41" s="92">
        <f t="shared" ca="1" si="75"/>
        <v>159086.02320000003</v>
      </c>
      <c r="EA41" s="92">
        <f t="shared" ca="1" si="75"/>
        <v>128358.82320000003</v>
      </c>
      <c r="EB41" s="92">
        <f t="shared" ca="1" si="75"/>
        <v>126498.82320000003</v>
      </c>
      <c r="EC41" s="92">
        <f t="shared" ca="1" si="75"/>
        <v>102318.82320000001</v>
      </c>
      <c r="ED41" s="92">
        <f t="shared" ca="1" si="75"/>
        <v>76278.823200000013</v>
      </c>
      <c r="EE41" s="92">
        <f t="shared" ca="1" si="75"/>
        <v>76278.823200000013</v>
      </c>
      <c r="EF41" s="92">
        <f t="shared" ca="1" si="75"/>
        <v>76278.823200000013</v>
      </c>
      <c r="EG41" s="92">
        <f t="shared" ca="1" si="73"/>
        <v>76278.823200000013</v>
      </c>
      <c r="EH41" s="92">
        <f t="shared" ca="1" si="46"/>
        <v>76278.823200000013</v>
      </c>
      <c r="EI41" s="92">
        <f t="shared" ca="1" si="46"/>
        <v>76278.823200000013</v>
      </c>
      <c r="EJ41"/>
      <c r="EK41"/>
      <c r="EL41" s="93">
        <f t="shared" ca="1" si="57"/>
        <v>0</v>
      </c>
      <c r="EM41" s="93">
        <f t="shared" ca="1" si="57"/>
        <v>0</v>
      </c>
      <c r="EN41" s="92">
        <f t="shared" ca="1" si="83"/>
        <v>0</v>
      </c>
      <c r="EO41" s="92">
        <f t="shared" ca="1" si="83"/>
        <v>22320</v>
      </c>
      <c r="EP41" s="92">
        <f t="shared" ca="1" si="83"/>
        <v>18378.139200000001</v>
      </c>
      <c r="EQ41" s="92">
        <f t="shared" ca="1" si="83"/>
        <v>30332.061600000005</v>
      </c>
      <c r="ER41" s="92">
        <f t="shared" ca="1" si="83"/>
        <v>43831.048799999997</v>
      </c>
      <c r="ES41" s="92">
        <f t="shared" ca="1" si="83"/>
        <v>18052.862400000002</v>
      </c>
      <c r="ET41" s="92">
        <f t="shared" ca="1" si="83"/>
        <v>23338.610400000001</v>
      </c>
      <c r="EU41" s="92">
        <f t="shared" ca="1" si="83"/>
        <v>28868.316000000003</v>
      </c>
      <c r="EV41" s="92">
        <f t="shared" ca="1" si="83"/>
        <v>23989.164000000001</v>
      </c>
      <c r="EW41" s="92">
        <f t="shared" ca="1" si="83"/>
        <v>28624.358400000001</v>
      </c>
      <c r="EX41" s="92">
        <f t="shared" ca="1" si="83"/>
        <v>31470.5304</v>
      </c>
      <c r="EY41" s="92">
        <f t="shared" ca="1" si="83"/>
        <v>39846.40800000001</v>
      </c>
      <c r="EZ41" s="92">
        <f t="shared" ca="1" si="83"/>
        <v>23956.800000000003</v>
      </c>
      <c r="FA41" s="92">
        <f t="shared" ca="1" si="83"/>
        <v>28644.000000000004</v>
      </c>
      <c r="FB41" s="92">
        <f t="shared" ca="1" si="83"/>
        <v>31471.200000000001</v>
      </c>
      <c r="FC41" s="92">
        <f t="shared" ca="1" si="82"/>
        <v>39878.400000000001</v>
      </c>
      <c r="FD41" s="92">
        <f t="shared" ca="1" si="58"/>
        <v>30727.200000000001</v>
      </c>
      <c r="FE41" s="92">
        <f t="shared" ca="1" si="58"/>
        <v>1860.0000000000002</v>
      </c>
      <c r="FF41" s="92">
        <f t="shared" ca="1" si="58"/>
        <v>24180.000000000004</v>
      </c>
      <c r="FG41" s="92">
        <f t="shared" ca="1" si="58"/>
        <v>26040.000000000004</v>
      </c>
      <c r="FH41" s="92">
        <f t="shared" ca="1" si="55"/>
        <v>0</v>
      </c>
      <c r="FI41" s="92">
        <f t="shared" ca="1" si="55"/>
        <v>0</v>
      </c>
      <c r="FJ41" s="92">
        <f t="shared" ca="1" si="55"/>
        <v>0</v>
      </c>
      <c r="FK41" s="92">
        <f t="shared" ca="1" si="55"/>
        <v>0</v>
      </c>
      <c r="FL41" s="92">
        <f t="shared" ca="1" si="55"/>
        <v>0</v>
      </c>
      <c r="FM41" s="92">
        <f t="shared" ca="1" si="55"/>
        <v>0</v>
      </c>
      <c r="FN41" s="94">
        <f t="shared" ca="1" si="80"/>
        <v>3000</v>
      </c>
      <c r="FO41" s="94">
        <f t="shared" ca="1" si="81"/>
        <v>0</v>
      </c>
      <c r="FP41" s="95">
        <f t="shared" ca="1" si="59"/>
        <v>0</v>
      </c>
      <c r="FQ41" s="95">
        <f t="shared" ca="1" si="59"/>
        <v>0</v>
      </c>
      <c r="FR41" s="95">
        <f t="shared" ca="1" si="72"/>
        <v>0</v>
      </c>
      <c r="FS41" s="95">
        <f t="shared" ca="1" si="72"/>
        <v>0</v>
      </c>
      <c r="FT41" s="95">
        <f t="shared" ca="1" si="72"/>
        <v>50.8869798962019</v>
      </c>
      <c r="FU41" s="95">
        <f t="shared" ca="1" si="72"/>
        <v>20.309598738253911</v>
      </c>
      <c r="FV41" s="95">
        <f t="shared" ca="1" si="72"/>
        <v>17.670213723017284</v>
      </c>
      <c r="FW41" s="95">
        <f t="shared" ca="1" si="72"/>
        <v>25.098291337998567</v>
      </c>
      <c r="FX41" s="95">
        <f t="shared" ca="1" si="72"/>
        <v>21.61362614802465</v>
      </c>
      <c r="FY41" s="95">
        <f t="shared" ca="1" si="72"/>
        <v>220.97083875623363</v>
      </c>
      <c r="FZ41" s="95">
        <f t="shared" ca="1" si="72"/>
        <v>229.81236528292527</v>
      </c>
      <c r="GA41" s="95">
        <f t="shared" ca="1" si="72"/>
        <v>167.45638567745158</v>
      </c>
      <c r="GB41" s="95">
        <f t="shared" ca="1" si="72"/>
        <v>125.02492960843141</v>
      </c>
      <c r="GC41" s="95">
        <f t="shared" ca="1" si="72"/>
        <v>243.09556173796142</v>
      </c>
      <c r="GD41" s="95">
        <f t="shared" ca="1" si="72"/>
        <v>354.43350931677014</v>
      </c>
      <c r="GE41" s="95">
        <f t="shared" ca="1" si="72"/>
        <v>271.34438961038961</v>
      </c>
      <c r="GF41" s="95">
        <f t="shared" ca="1" si="72"/>
        <v>219.66333333333336</v>
      </c>
      <c r="GG41" s="95">
        <f t="shared" ca="1" si="72"/>
        <v>149.67833955223884</v>
      </c>
      <c r="GH41" s="95">
        <f t="shared" ca="1" si="41"/>
        <v>155.32104116222763</v>
      </c>
      <c r="GI41" s="95">
        <f t="shared" ca="1" si="41"/>
        <v>2070.3036000000002</v>
      </c>
      <c r="GJ41" s="95">
        <f t="shared" ca="1" si="41"/>
        <v>156.9464307692308</v>
      </c>
      <c r="GK41" s="95">
        <f t="shared" ca="1" si="41"/>
        <v>117.87882857142857</v>
      </c>
      <c r="GL41" s="95">
        <f t="shared" ca="1" si="41"/>
        <v>0</v>
      </c>
      <c r="GM41" s="95">
        <f t="shared" ca="1" si="41"/>
        <v>0</v>
      </c>
      <c r="GN41" s="95">
        <f t="shared" ca="1" si="41"/>
        <v>0</v>
      </c>
      <c r="GO41" s="95">
        <f t="shared" ca="1" si="41"/>
        <v>0</v>
      </c>
      <c r="GP41" s="95">
        <f t="shared" ca="1" si="41"/>
        <v>0</v>
      </c>
      <c r="GQ41" s="95">
        <f t="shared" ca="1" si="41"/>
        <v>0</v>
      </c>
      <c r="GR41"/>
      <c r="GS41" s="7">
        <v>264.87776266600002</v>
      </c>
      <c r="GT41" s="96">
        <f t="shared" ca="1" si="76"/>
        <v>65429.575178229992</v>
      </c>
      <c r="GU41" s="96">
        <f t="shared" ca="1" si="76"/>
        <v>107987.75018353888</v>
      </c>
      <c r="GV41" s="96">
        <f t="shared" ca="1" si="76"/>
        <v>156046.64168613259</v>
      </c>
      <c r="GW41" s="96">
        <f t="shared" ca="1" si="76"/>
        <v>64271.529599854242</v>
      </c>
      <c r="GX41" s="96">
        <f t="shared" ca="1" si="76"/>
        <v>83089.770248460205</v>
      </c>
      <c r="GY41" s="96">
        <f t="shared" ca="1" si="76"/>
        <v>102776.54508084799</v>
      </c>
      <c r="GZ41" s="96">
        <f t="shared" ca="1" si="76"/>
        <v>85405.861405211719</v>
      </c>
      <c r="HA41" s="96">
        <f t="shared" ca="1" si="76"/>
        <v>101908.01089706618</v>
      </c>
      <c r="HB41" s="96">
        <f t="shared" ca="1" si="76"/>
        <v>112040.90970785401</v>
      </c>
      <c r="HC41" s="96">
        <f t="shared" ca="1" si="76"/>
        <v>141860.58335102964</v>
      </c>
      <c r="HD41" s="96">
        <f t="shared" ca="1" si="76"/>
        <v>85290.639578452014</v>
      </c>
      <c r="HE41" s="96">
        <f t="shared" ca="1" si="76"/>
        <v>101977.93862641</v>
      </c>
      <c r="HF41" s="96">
        <f t="shared" ca="1" si="76"/>
        <v>112043.29360771801</v>
      </c>
      <c r="HG41" s="96">
        <f t="shared" ca="1" si="76"/>
        <v>141974.48078897601</v>
      </c>
      <c r="HH41" s="96">
        <f t="shared" ca="1" si="76"/>
        <v>109394.51598105801</v>
      </c>
      <c r="HI41" s="96">
        <f t="shared" ca="1" si="74"/>
        <v>6621.9440666500004</v>
      </c>
      <c r="HJ41" s="96">
        <f t="shared" ca="1" si="48"/>
        <v>86085.272866450003</v>
      </c>
      <c r="HK41" s="96">
        <f t="shared" ca="1" si="48"/>
        <v>92707.216933100004</v>
      </c>
      <c r="HL41" s="96">
        <f t="shared" ca="1" si="48"/>
        <v>0</v>
      </c>
      <c r="HM41" s="96">
        <f t="shared" ca="1" si="48"/>
        <v>0</v>
      </c>
      <c r="HN41" s="96">
        <f t="shared" ca="1" si="48"/>
        <v>0</v>
      </c>
      <c r="HO41" s="96">
        <f t="shared" ca="1" si="48"/>
        <v>0</v>
      </c>
      <c r="HP41" s="96">
        <f t="shared" ca="1" si="48"/>
        <v>0</v>
      </c>
      <c r="HQ41" s="96">
        <f t="shared" ca="1" si="48"/>
        <v>0</v>
      </c>
      <c r="HR41"/>
      <c r="HS41" s="97">
        <f t="shared" ca="1" si="21"/>
        <v>110983.78255705402</v>
      </c>
    </row>
    <row r="42" spans="1:227" ht="17.25" thickTop="1" thickBot="1" x14ac:dyDescent="0.3">
      <c r="A42" s="16" t="s">
        <v>70</v>
      </c>
      <c r="B42" s="73" t="s">
        <v>399</v>
      </c>
      <c r="C42" s="73" t="s">
        <v>400</v>
      </c>
      <c r="D42" s="74" t="s">
        <v>0</v>
      </c>
      <c r="E42" s="74" t="s">
        <v>349</v>
      </c>
      <c r="F42" s="73"/>
      <c r="G42" s="75">
        <f t="shared" ca="1" si="77"/>
        <v>133</v>
      </c>
      <c r="H42" s="75">
        <v>133</v>
      </c>
      <c r="I42" s="75">
        <f t="shared" ca="1" si="78"/>
        <v>266</v>
      </c>
      <c r="J42" s="76">
        <f ca="1">[1]Parameters!$C$3+G42</f>
        <v>45964</v>
      </c>
      <c r="K42" s="77">
        <f t="shared" ca="1" si="23"/>
        <v>11</v>
      </c>
      <c r="L42" s="77">
        <f t="shared" ca="1" si="24"/>
        <v>2025</v>
      </c>
      <c r="M42" s="76">
        <f ca="1">[1]Parameters!$C$3+I42</f>
        <v>46097</v>
      </c>
      <c r="N42" s="77">
        <f t="shared" ca="1" si="25"/>
        <v>3</v>
      </c>
      <c r="O42" s="77">
        <f t="shared" ca="1" si="26"/>
        <v>2026</v>
      </c>
      <c r="P42" s="78">
        <v>0.95</v>
      </c>
      <c r="Q42" s="79" t="str">
        <f ca="1">VLOOKUP(A42,[1]ABC!A:G,7,0)</f>
        <v>C</v>
      </c>
      <c r="R42" s="80">
        <f t="shared" ca="1" si="9"/>
        <v>0</v>
      </c>
      <c r="S42" s="120">
        <v>43.43</v>
      </c>
      <c r="T42" s="82">
        <f t="shared" ca="1" si="10"/>
        <v>2700</v>
      </c>
      <c r="U42" s="83">
        <f t="shared" ref="U42:U47" ca="1" si="84">IF((ROUND(AVERAGE(BI42:BR42)*2/100,0)*100)&lt;T42,T42,ROUND(AVERAGE(BI42:BR42)*2/100,0)*100)</f>
        <v>2700</v>
      </c>
      <c r="V42" s="80">
        <v>2640</v>
      </c>
      <c r="W42" s="80">
        <f t="shared" ca="1" si="27"/>
        <v>2640</v>
      </c>
      <c r="X42" s="80"/>
      <c r="Y42" s="84">
        <v>6.02</v>
      </c>
      <c r="Z42" s="85">
        <v>2</v>
      </c>
      <c r="AA42" s="85">
        <v>0</v>
      </c>
      <c r="AB42" s="85">
        <v>2621</v>
      </c>
      <c r="AC42" s="85">
        <v>1256</v>
      </c>
      <c r="AD42" s="85">
        <v>967</v>
      </c>
      <c r="AE42" s="85">
        <v>1107</v>
      </c>
      <c r="AF42" s="85">
        <v>1532</v>
      </c>
      <c r="AG42" s="85">
        <v>610</v>
      </c>
      <c r="AH42" s="85">
        <v>645</v>
      </c>
      <c r="AI42" s="75">
        <v>3350</v>
      </c>
      <c r="AJ42" s="75">
        <f t="shared" ca="1" si="79"/>
        <v>1549</v>
      </c>
      <c r="AK42" s="75">
        <f t="shared" ca="1" si="79"/>
        <v>0</v>
      </c>
      <c r="AL42" s="75">
        <f t="shared" ca="1" si="79"/>
        <v>4540</v>
      </c>
      <c r="AM42" s="75">
        <f t="shared" ca="1" si="79"/>
        <v>8673</v>
      </c>
      <c r="AN42" s="75">
        <f t="shared" ca="1" si="79"/>
        <v>7523</v>
      </c>
      <c r="AO42" s="75">
        <f t="shared" ca="1" si="79"/>
        <v>6544</v>
      </c>
      <c r="AP42" s="75">
        <f t="shared" ca="1" si="79"/>
        <v>5392</v>
      </c>
      <c r="AQ42" s="75">
        <f t="shared" ca="1" si="79"/>
        <v>4814</v>
      </c>
      <c r="AR42" s="75">
        <f t="shared" ca="1" si="79"/>
        <v>4236</v>
      </c>
      <c r="AS42" s="75">
        <f t="shared" ca="1" si="79"/>
        <v>3615</v>
      </c>
      <c r="AT42" s="75">
        <f t="shared" ca="1" si="79"/>
        <v>3359</v>
      </c>
      <c r="AU42" s="75">
        <f t="shared" ca="1" si="79"/>
        <v>3025</v>
      </c>
      <c r="AV42" s="75">
        <f t="shared" ca="1" si="79"/>
        <v>2768</v>
      </c>
      <c r="AW42" s="75">
        <f t="shared" ca="1" si="79"/>
        <v>2768</v>
      </c>
      <c r="AX42" s="75">
        <f t="shared" ca="1" si="79"/>
        <v>2768</v>
      </c>
      <c r="AY42" s="75">
        <f t="shared" ca="1" si="54"/>
        <v>2768</v>
      </c>
      <c r="AZ42" s="75">
        <f t="shared" ca="1" si="12"/>
        <v>2768</v>
      </c>
      <c r="BA42" s="75">
        <f t="shared" ca="1" si="12"/>
        <v>2768</v>
      </c>
      <c r="BB42" s="166"/>
      <c r="BC42" s="86">
        <v>1.84</v>
      </c>
      <c r="BD42" s="86">
        <v>-0.17</v>
      </c>
      <c r="BE42" s="86">
        <v>1063.4270833333333</v>
      </c>
      <c r="BF42" s="86">
        <v>1063.4270833333333</v>
      </c>
      <c r="BG42" s="86">
        <v>485</v>
      </c>
      <c r="BH42" s="86">
        <v>571</v>
      </c>
      <c r="BI42" s="86">
        <v>1479</v>
      </c>
      <c r="BJ42" s="86">
        <v>709</v>
      </c>
      <c r="BK42" s="86">
        <v>1029</v>
      </c>
      <c r="BL42" s="86">
        <v>1801</v>
      </c>
      <c r="BM42" s="86">
        <v>2021</v>
      </c>
      <c r="BN42" s="86">
        <v>740</v>
      </c>
      <c r="BO42" s="86">
        <v>1147</v>
      </c>
      <c r="BP42" s="86">
        <v>1150</v>
      </c>
      <c r="BQ42" s="86">
        <v>979</v>
      </c>
      <c r="BR42" s="86">
        <v>1152</v>
      </c>
      <c r="BS42" s="86">
        <v>578</v>
      </c>
      <c r="BT42" s="86">
        <v>578</v>
      </c>
      <c r="BU42" s="86">
        <v>621</v>
      </c>
      <c r="BV42" s="86">
        <v>256</v>
      </c>
      <c r="BW42" s="86">
        <f ca="1">VLOOKUP(A42,[3]Export!$B:$Q,16,0)</f>
        <v>334</v>
      </c>
      <c r="BX42" s="86">
        <v>257</v>
      </c>
      <c r="BY42" s="86">
        <v>0</v>
      </c>
      <c r="BZ42" s="86">
        <v>0</v>
      </c>
      <c r="CA42" s="86">
        <v>0</v>
      </c>
      <c r="CB42" s="86">
        <v>0</v>
      </c>
      <c r="CC42" s="86">
        <v>0</v>
      </c>
      <c r="CD42" s="86">
        <v>0</v>
      </c>
      <c r="CE42" s="86">
        <f t="shared" ca="1" si="28"/>
        <v>556.81213744875959</v>
      </c>
      <c r="CF42" s="87"/>
      <c r="CG42" s="86">
        <v>0</v>
      </c>
      <c r="CH42" s="86">
        <v>0</v>
      </c>
      <c r="CI42" s="86">
        <v>0</v>
      </c>
      <c r="CJ42" s="86">
        <v>0</v>
      </c>
      <c r="CK42" s="86">
        <v>0</v>
      </c>
      <c r="CL42" s="86">
        <v>0</v>
      </c>
      <c r="CM42" s="86">
        <v>0</v>
      </c>
      <c r="CN42" s="86">
        <v>0</v>
      </c>
      <c r="CO42" s="86">
        <v>0</v>
      </c>
      <c r="CP42" s="86">
        <v>0</v>
      </c>
      <c r="CQ42" s="89">
        <f ca="1">2640*2</f>
        <v>5280</v>
      </c>
      <c r="CR42" s="89">
        <f ca="1">2640*2</f>
        <v>5280</v>
      </c>
      <c r="CS42" s="89">
        <v>0</v>
      </c>
      <c r="CT42" s="86">
        <v>0</v>
      </c>
      <c r="CU42" s="90">
        <v>0</v>
      </c>
      <c r="CV42" s="90">
        <v>0</v>
      </c>
      <c r="CW42" s="86">
        <v>0</v>
      </c>
      <c r="CX42" s="90">
        <v>0</v>
      </c>
      <c r="CY42" s="90">
        <v>0</v>
      </c>
      <c r="CZ42" s="90">
        <v>0</v>
      </c>
      <c r="DA42" s="90">
        <v>0</v>
      </c>
      <c r="DB42" s="90">
        <v>0</v>
      </c>
      <c r="DC42" s="90">
        <v>0</v>
      </c>
      <c r="DD42" s="90">
        <v>0</v>
      </c>
      <c r="DE42" s="90">
        <v>0</v>
      </c>
      <c r="DF42" s="90">
        <v>0</v>
      </c>
      <c r="DG42" s="86">
        <v>0</v>
      </c>
      <c r="DI42" s="91">
        <f ca="1">VLOOKUP(A42,'[2]2-Relatório'!$A:$J,9,0)</f>
        <v>52.57</v>
      </c>
      <c r="DJ42" s="92">
        <f t="shared" ca="1" si="60"/>
        <v>137785.97</v>
      </c>
      <c r="DK42" s="92">
        <f t="shared" ca="1" si="60"/>
        <v>66027.92</v>
      </c>
      <c r="DL42" s="92">
        <f t="shared" ca="1" si="60"/>
        <v>50835.19</v>
      </c>
      <c r="DM42" s="92">
        <f t="shared" ca="1" si="60"/>
        <v>58194.99</v>
      </c>
      <c r="DN42" s="92">
        <f t="shared" ca="1" si="60"/>
        <v>80537.240000000005</v>
      </c>
      <c r="DO42" s="92">
        <f t="shared" ca="1" si="60"/>
        <v>32067.7</v>
      </c>
      <c r="DP42" s="92">
        <f t="shared" ca="1" si="60"/>
        <v>33907.65</v>
      </c>
      <c r="DQ42" s="92">
        <f t="shared" ca="1" si="60"/>
        <v>176109.5</v>
      </c>
      <c r="DR42" s="92">
        <f t="shared" ca="1" si="60"/>
        <v>81430.930000000008</v>
      </c>
      <c r="DS42" s="92">
        <f t="shared" ca="1" si="60"/>
        <v>0</v>
      </c>
      <c r="DT42" s="92">
        <f t="shared" ca="1" si="60"/>
        <v>238667.8</v>
      </c>
      <c r="DU42" s="92">
        <f t="shared" ca="1" si="60"/>
        <v>455939.61</v>
      </c>
      <c r="DV42" s="92">
        <f t="shared" ca="1" si="60"/>
        <v>395484.11</v>
      </c>
      <c r="DW42" s="92">
        <f t="shared" ca="1" si="60"/>
        <v>344018.08</v>
      </c>
      <c r="DX42" s="92">
        <f t="shared" ca="1" si="60"/>
        <v>283457.44</v>
      </c>
      <c r="DY42" s="92">
        <f t="shared" ca="1" si="60"/>
        <v>253071.98</v>
      </c>
      <c r="DZ42" s="92">
        <f t="shared" ca="1" si="75"/>
        <v>222686.52</v>
      </c>
      <c r="EA42" s="92">
        <f t="shared" ca="1" si="75"/>
        <v>190040.55</v>
      </c>
      <c r="EB42" s="92">
        <f t="shared" ca="1" si="75"/>
        <v>176582.63</v>
      </c>
      <c r="EC42" s="92">
        <f t="shared" ca="1" si="75"/>
        <v>159024.25</v>
      </c>
      <c r="ED42" s="92">
        <f t="shared" ca="1" si="75"/>
        <v>145513.76</v>
      </c>
      <c r="EE42" s="92">
        <f t="shared" ca="1" si="75"/>
        <v>145513.76</v>
      </c>
      <c r="EF42" s="92">
        <f t="shared" ca="1" si="75"/>
        <v>145513.76</v>
      </c>
      <c r="EG42" s="92">
        <f t="shared" ca="1" si="73"/>
        <v>145513.76</v>
      </c>
      <c r="EH42" s="92">
        <f t="shared" ca="1" si="46"/>
        <v>145513.76</v>
      </c>
      <c r="EI42" s="92">
        <f t="shared" ca="1" si="46"/>
        <v>145513.76</v>
      </c>
      <c r="EL42" s="93">
        <f t="shared" ca="1" si="57"/>
        <v>79.911200000000008</v>
      </c>
      <c r="EM42" s="93">
        <f t="shared" ca="1" si="57"/>
        <v>-7.3831000000000007</v>
      </c>
      <c r="EN42" s="92">
        <f t="shared" ca="1" si="83"/>
        <v>55904.361770833333</v>
      </c>
      <c r="EO42" s="92">
        <f t="shared" ca="1" si="83"/>
        <v>55904.361770833333</v>
      </c>
      <c r="EP42" s="92">
        <f t="shared" ca="1" si="83"/>
        <v>25496.45</v>
      </c>
      <c r="EQ42" s="92">
        <f t="shared" ca="1" si="83"/>
        <v>30017.47</v>
      </c>
      <c r="ER42" s="92">
        <f t="shared" ca="1" si="83"/>
        <v>77751.03</v>
      </c>
      <c r="ES42" s="92">
        <f t="shared" ca="1" si="83"/>
        <v>37272.129999999997</v>
      </c>
      <c r="ET42" s="92">
        <f t="shared" ca="1" si="83"/>
        <v>54094.53</v>
      </c>
      <c r="EU42" s="92">
        <f t="shared" ca="1" si="83"/>
        <v>94678.57</v>
      </c>
      <c r="EV42" s="92">
        <f t="shared" ca="1" si="83"/>
        <v>106243.97</v>
      </c>
      <c r="EW42" s="92">
        <f t="shared" ca="1" si="83"/>
        <v>38901.800000000003</v>
      </c>
      <c r="EX42" s="92">
        <f t="shared" ca="1" si="83"/>
        <v>60297.79</v>
      </c>
      <c r="EY42" s="92">
        <f t="shared" ca="1" si="83"/>
        <v>60455.5</v>
      </c>
      <c r="EZ42" s="92">
        <f t="shared" ca="1" si="83"/>
        <v>51466.03</v>
      </c>
      <c r="FA42" s="92">
        <f t="shared" ca="1" si="83"/>
        <v>60560.639999999999</v>
      </c>
      <c r="FB42" s="92">
        <f t="shared" ca="1" si="83"/>
        <v>30385.46</v>
      </c>
      <c r="FC42" s="92">
        <f t="shared" ca="1" si="82"/>
        <v>30385.46</v>
      </c>
      <c r="FD42" s="92">
        <f t="shared" ca="1" si="58"/>
        <v>32645.97</v>
      </c>
      <c r="FE42" s="92">
        <f t="shared" ca="1" si="58"/>
        <v>13457.92</v>
      </c>
      <c r="FF42" s="92">
        <f t="shared" ca="1" si="58"/>
        <v>17558.38</v>
      </c>
      <c r="FG42" s="92">
        <f t="shared" ca="1" si="58"/>
        <v>13510.49</v>
      </c>
      <c r="FH42" s="92">
        <f t="shared" ca="1" si="55"/>
        <v>0</v>
      </c>
      <c r="FI42" s="92">
        <f t="shared" ca="1" si="55"/>
        <v>0</v>
      </c>
      <c r="FJ42" s="92">
        <f t="shared" ca="1" si="55"/>
        <v>0</v>
      </c>
      <c r="FK42" s="92">
        <f t="shared" ca="1" si="55"/>
        <v>0</v>
      </c>
      <c r="FL42" s="92">
        <f t="shared" ca="1" si="55"/>
        <v>0</v>
      </c>
      <c r="FM42" s="92">
        <f t="shared" ca="1" si="55"/>
        <v>0</v>
      </c>
      <c r="FN42" s="94">
        <f t="shared" ca="1" si="80"/>
        <v>10560</v>
      </c>
      <c r="FO42" s="94">
        <f t="shared" ca="1" si="81"/>
        <v>0</v>
      </c>
      <c r="FP42" s="95">
        <f t="shared" ca="1" si="59"/>
        <v>32.608695652173914</v>
      </c>
      <c r="FQ42" s="95">
        <f t="shared" ca="1" si="59"/>
        <v>0</v>
      </c>
      <c r="FR42" s="95">
        <f t="shared" ca="1" si="72"/>
        <v>73.940189442545233</v>
      </c>
      <c r="FS42" s="95">
        <f t="shared" ca="1" si="72"/>
        <v>35.43261272027349</v>
      </c>
      <c r="FT42" s="95">
        <f t="shared" ca="1" si="72"/>
        <v>59.814432989690722</v>
      </c>
      <c r="FU42" s="95">
        <f t="shared" ca="1" si="72"/>
        <v>58.161120840630474</v>
      </c>
      <c r="FV42" s="95">
        <f t="shared" ca="1" si="72"/>
        <v>31.075050709939148</v>
      </c>
      <c r="FW42" s="95">
        <f t="shared" ca="1" si="72"/>
        <v>25.811001410437239</v>
      </c>
      <c r="FX42" s="95">
        <f t="shared" ca="1" si="72"/>
        <v>18.804664723032072</v>
      </c>
      <c r="FY42" s="95">
        <f t="shared" ca="1" si="72"/>
        <v>55.802332037756798</v>
      </c>
      <c r="FZ42" s="95">
        <f t="shared" ca="1" si="72"/>
        <v>22.993567540821378</v>
      </c>
      <c r="GA42" s="95">
        <f t="shared" ca="1" si="72"/>
        <v>0</v>
      </c>
      <c r="GB42" s="95">
        <f t="shared" ca="1" si="72"/>
        <v>118.74455100261551</v>
      </c>
      <c r="GC42" s="95">
        <f t="shared" ca="1" si="72"/>
        <v>226.25217391304349</v>
      </c>
      <c r="GD42" s="95">
        <f t="shared" ca="1" si="72"/>
        <v>230.5311542390194</v>
      </c>
      <c r="GE42" s="95">
        <f t="shared" ca="1" si="72"/>
        <v>170.41666666666669</v>
      </c>
      <c r="GF42" s="95">
        <f t="shared" ca="1" si="72"/>
        <v>279.86159169550177</v>
      </c>
      <c r="GG42" s="95">
        <f t="shared" ca="1" si="72"/>
        <v>249.86159169550174</v>
      </c>
      <c r="GH42" s="95">
        <f t="shared" ca="1" si="41"/>
        <v>204.63768115942025</v>
      </c>
      <c r="GI42" s="95">
        <f t="shared" ca="1" si="41"/>
        <v>423.63281249999994</v>
      </c>
      <c r="GJ42" s="95">
        <f t="shared" ca="1" si="41"/>
        <v>301.70658682634729</v>
      </c>
      <c r="GK42" s="95">
        <f t="shared" ca="1" si="41"/>
        <v>353.11284046692612</v>
      </c>
      <c r="GL42" s="95">
        <f t="shared" ca="1" si="41"/>
        <v>0</v>
      </c>
      <c r="GM42" s="95">
        <f t="shared" ca="1" si="41"/>
        <v>0</v>
      </c>
      <c r="GN42" s="95">
        <f t="shared" ca="1" si="41"/>
        <v>0</v>
      </c>
      <c r="GO42" s="95">
        <f t="shared" ca="1" si="41"/>
        <v>0</v>
      </c>
      <c r="GP42" s="95">
        <f t="shared" ca="1" si="41"/>
        <v>0</v>
      </c>
      <c r="GQ42" s="95">
        <f t="shared" ca="1" si="41"/>
        <v>0</v>
      </c>
      <c r="GS42" s="7">
        <v>170.13111229583333</v>
      </c>
      <c r="GT42" s="96">
        <f t="shared" ca="1" si="76"/>
        <v>82513.589463479162</v>
      </c>
      <c r="GU42" s="96">
        <f t="shared" ca="1" si="76"/>
        <v>97144.865120920833</v>
      </c>
      <c r="GV42" s="96">
        <f t="shared" ca="1" si="76"/>
        <v>251623.9150855375</v>
      </c>
      <c r="GW42" s="96">
        <f t="shared" ca="1" si="76"/>
        <v>120622.95861774583</v>
      </c>
      <c r="GX42" s="96">
        <f t="shared" ca="1" si="76"/>
        <v>175064.91455241249</v>
      </c>
      <c r="GY42" s="96">
        <f t="shared" ca="1" si="76"/>
        <v>306406.13324479584</v>
      </c>
      <c r="GZ42" s="96">
        <f t="shared" ca="1" si="76"/>
        <v>343834.97794987919</v>
      </c>
      <c r="HA42" s="96">
        <f t="shared" ca="1" si="76"/>
        <v>125897.02309891666</v>
      </c>
      <c r="HB42" s="96">
        <f t="shared" ca="1" si="76"/>
        <v>195140.38580332082</v>
      </c>
      <c r="HC42" s="96">
        <f t="shared" ca="1" si="76"/>
        <v>195650.77914020832</v>
      </c>
      <c r="HD42" s="96">
        <f t="shared" ca="1" si="76"/>
        <v>166558.35893762083</v>
      </c>
      <c r="HE42" s="96">
        <f t="shared" ca="1" si="76"/>
        <v>195991.04136480001</v>
      </c>
      <c r="HF42" s="96">
        <f t="shared" ca="1" si="76"/>
        <v>98335.782906991662</v>
      </c>
      <c r="HG42" s="96">
        <f t="shared" ca="1" si="76"/>
        <v>98335.782906991662</v>
      </c>
      <c r="HH42" s="96">
        <f t="shared" ca="1" si="76"/>
        <v>105651.4207357125</v>
      </c>
      <c r="HI42" s="96">
        <f t="shared" ca="1" si="74"/>
        <v>43553.564747733333</v>
      </c>
      <c r="HJ42" s="96">
        <f t="shared" ca="1" si="48"/>
        <v>56823.791506808331</v>
      </c>
      <c r="HK42" s="96">
        <f t="shared" ca="1" si="48"/>
        <v>43723.695860029169</v>
      </c>
      <c r="HL42" s="96">
        <f t="shared" ca="1" si="48"/>
        <v>0</v>
      </c>
      <c r="HM42" s="96">
        <f t="shared" ca="1" si="48"/>
        <v>0</v>
      </c>
      <c r="HN42" s="96">
        <f t="shared" ca="1" si="48"/>
        <v>0</v>
      </c>
      <c r="HO42" s="96">
        <f t="shared" ca="1" si="48"/>
        <v>0</v>
      </c>
      <c r="HP42" s="96">
        <f t="shared" ca="1" si="48"/>
        <v>0</v>
      </c>
      <c r="HQ42" s="96">
        <f t="shared" ca="1" si="48"/>
        <v>0</v>
      </c>
      <c r="HS42" s="97">
        <f t="shared" ca="1" si="21"/>
        <v>164516.78559007082</v>
      </c>
    </row>
    <row r="43" spans="1:227" ht="17.25" thickTop="1" thickBot="1" x14ac:dyDescent="0.3">
      <c r="A43" s="102" t="s">
        <v>30</v>
      </c>
      <c r="B43" s="103" t="s">
        <v>401</v>
      </c>
      <c r="C43" s="73" t="s">
        <v>401</v>
      </c>
      <c r="D43" s="74" t="s">
        <v>0</v>
      </c>
      <c r="E43" s="74" t="s">
        <v>360</v>
      </c>
      <c r="F43" s="73"/>
      <c r="G43" s="75">
        <f t="shared" ref="G43:G46" ca="1" si="85">80+16</f>
        <v>96</v>
      </c>
      <c r="H43" s="75">
        <v>137</v>
      </c>
      <c r="I43" s="75">
        <f t="shared" ca="1" si="78"/>
        <v>233</v>
      </c>
      <c r="J43" s="76">
        <f ca="1">[1]Parameters!$C$3+G43</f>
        <v>45927</v>
      </c>
      <c r="K43" s="77">
        <f t="shared" ca="1" si="23"/>
        <v>9</v>
      </c>
      <c r="L43" s="77">
        <f t="shared" ca="1" si="24"/>
        <v>2025</v>
      </c>
      <c r="M43" s="76">
        <f ca="1">[1]Parameters!$C$3+I43</f>
        <v>46064</v>
      </c>
      <c r="N43" s="77">
        <f t="shared" ca="1" si="25"/>
        <v>2</v>
      </c>
      <c r="O43" s="77">
        <f t="shared" ca="1" si="26"/>
        <v>2026</v>
      </c>
      <c r="P43" s="78">
        <v>0.95</v>
      </c>
      <c r="Q43" s="79" t="str">
        <f ca="1">VLOOKUP(A43,[1]ABC!A:G,7,0)</f>
        <v>A</v>
      </c>
      <c r="R43" s="80">
        <f t="shared" ca="1" si="9"/>
        <v>45.658461041291126</v>
      </c>
      <c r="S43" s="81">
        <v>96.8</v>
      </c>
      <c r="T43" s="122">
        <f t="shared" ca="1" si="10"/>
        <v>7500</v>
      </c>
      <c r="U43" s="83">
        <f t="shared" ca="1" si="84"/>
        <v>7600</v>
      </c>
      <c r="V43" s="80">
        <v>3400</v>
      </c>
      <c r="W43" s="80">
        <f t="shared" ca="1" si="27"/>
        <v>6800</v>
      </c>
      <c r="X43" s="101" t="s">
        <v>390</v>
      </c>
      <c r="Y43" s="84">
        <v>5.95</v>
      </c>
      <c r="Z43" s="85">
        <v>4045</v>
      </c>
      <c r="AA43" s="85">
        <v>1998</v>
      </c>
      <c r="AB43" s="85">
        <v>1067</v>
      </c>
      <c r="AC43" s="85">
        <v>2903</v>
      </c>
      <c r="AD43" s="85">
        <v>1683</v>
      </c>
      <c r="AE43" s="85">
        <v>3291</v>
      </c>
      <c r="AF43" s="85">
        <v>3168</v>
      </c>
      <c r="AG43" s="85">
        <v>5680</v>
      </c>
      <c r="AH43" s="85">
        <v>12169</v>
      </c>
      <c r="AI43" s="75">
        <v>1481</v>
      </c>
      <c r="AJ43" s="75">
        <f t="shared" ca="1" si="79"/>
        <v>0</v>
      </c>
      <c r="AK43" s="75">
        <f t="shared" ca="1" si="79"/>
        <v>0</v>
      </c>
      <c r="AL43" s="75">
        <f t="shared" ca="1" si="79"/>
        <v>11878.06594</v>
      </c>
      <c r="AM43" s="75">
        <f t="shared" ca="1" si="79"/>
        <v>9919.0383199999997</v>
      </c>
      <c r="AN43" s="75">
        <f t="shared" ca="1" si="79"/>
        <v>25319.03832</v>
      </c>
      <c r="AO43" s="75">
        <f t="shared" ca="1" si="79"/>
        <v>20319.03832</v>
      </c>
      <c r="AP43" s="75">
        <f t="shared" ca="1" si="79"/>
        <v>22119.03832</v>
      </c>
      <c r="AQ43" s="75">
        <f t="shared" ca="1" si="79"/>
        <v>17119.03832</v>
      </c>
      <c r="AR43" s="75">
        <f t="shared" ca="1" si="79"/>
        <v>22319.03832</v>
      </c>
      <c r="AS43" s="75">
        <f t="shared" ca="1" si="79"/>
        <v>15819.03832</v>
      </c>
      <c r="AT43" s="75">
        <f t="shared" ca="1" si="79"/>
        <v>12319.03832</v>
      </c>
      <c r="AU43" s="75">
        <f t="shared" ca="1" si="79"/>
        <v>7319.0383199999997</v>
      </c>
      <c r="AV43" s="75">
        <f t="shared" ca="1" si="79"/>
        <v>2319.0383199999997</v>
      </c>
      <c r="AW43" s="75">
        <f t="shared" ca="1" si="79"/>
        <v>2319.0383199999997</v>
      </c>
      <c r="AX43" s="75">
        <f t="shared" ca="1" si="79"/>
        <v>2319.0383199999997</v>
      </c>
      <c r="AY43" s="75">
        <f t="shared" ca="1" si="54"/>
        <v>2319.0383199999997</v>
      </c>
      <c r="AZ43" s="75">
        <f t="shared" ca="1" si="12"/>
        <v>2319.0383199999997</v>
      </c>
      <c r="BA43" s="75">
        <f t="shared" ca="1" si="12"/>
        <v>2319.0383199999997</v>
      </c>
      <c r="BB43" s="166"/>
      <c r="BC43" s="86">
        <v>3909</v>
      </c>
      <c r="BD43" s="86">
        <v>1983</v>
      </c>
      <c r="BE43" s="86">
        <v>2000</v>
      </c>
      <c r="BF43" s="86">
        <v>2000</v>
      </c>
      <c r="BG43" s="86">
        <v>1229.772555</v>
      </c>
      <c r="BH43" s="86">
        <v>1969.1269399999999</v>
      </c>
      <c r="BI43" s="86">
        <v>2828.05006</v>
      </c>
      <c r="BJ43" s="86">
        <v>1070.52792</v>
      </c>
      <c r="BK43" s="86">
        <f ca="1">1608.91786+10000</f>
        <v>11608.91786</v>
      </c>
      <c r="BL43" s="86">
        <v>1937.6266800000001</v>
      </c>
      <c r="BM43" s="86">
        <v>1781.3276799999999</v>
      </c>
      <c r="BN43" s="86">
        <v>1721.93406</v>
      </c>
      <c r="BO43" s="86">
        <v>1959.0276199999998</v>
      </c>
      <c r="BP43" s="86">
        <v>5000</v>
      </c>
      <c r="BQ43" s="86">
        <v>5000</v>
      </c>
      <c r="BR43" s="86">
        <v>5000</v>
      </c>
      <c r="BS43" s="86">
        <v>5000</v>
      </c>
      <c r="BT43" s="86">
        <v>5000</v>
      </c>
      <c r="BU43" s="86">
        <v>6500</v>
      </c>
      <c r="BV43" s="86">
        <v>3500</v>
      </c>
      <c r="BW43" s="86">
        <f ca="1">VLOOKUP(A43,[3]Export!$B:$Q,16,0)</f>
        <v>5000</v>
      </c>
      <c r="BX43" s="86">
        <v>5000</v>
      </c>
      <c r="BY43" s="86">
        <v>0</v>
      </c>
      <c r="BZ43" s="86">
        <v>0</v>
      </c>
      <c r="CA43" s="86">
        <v>0</v>
      </c>
      <c r="CB43" s="86">
        <v>0</v>
      </c>
      <c r="CC43" s="86">
        <v>0</v>
      </c>
      <c r="CD43" s="86">
        <v>0</v>
      </c>
      <c r="CE43" s="86">
        <f t="shared" ca="1" si="28"/>
        <v>1633.4712713373192</v>
      </c>
      <c r="CF43" s="87"/>
      <c r="CG43" s="86">
        <v>0</v>
      </c>
      <c r="CH43" s="86">
        <v>0</v>
      </c>
      <c r="CI43" s="86">
        <v>0</v>
      </c>
      <c r="CJ43" s="86">
        <v>0</v>
      </c>
      <c r="CK43" s="86">
        <v>0</v>
      </c>
      <c r="CL43" s="86">
        <v>0</v>
      </c>
      <c r="CM43" s="86">
        <v>0</v>
      </c>
      <c r="CN43" s="86">
        <v>0</v>
      </c>
      <c r="CO43" s="104">
        <v>0</v>
      </c>
      <c r="CP43" s="104">
        <v>0</v>
      </c>
      <c r="CQ43" s="105">
        <f ca="1">3400*4</f>
        <v>13600</v>
      </c>
      <c r="CR43" s="99">
        <v>0</v>
      </c>
      <c r="CS43" s="99">
        <f ca="1">V43*6</f>
        <v>20400</v>
      </c>
      <c r="CT43" s="99">
        <v>0</v>
      </c>
      <c r="CU43" s="86">
        <f ca="1">3400*2</f>
        <v>6800</v>
      </c>
      <c r="CV43" s="86">
        <v>0</v>
      </c>
      <c r="CW43" s="86">
        <f ca="1">3400*3</f>
        <v>10200</v>
      </c>
      <c r="CX43" s="86">
        <v>0</v>
      </c>
      <c r="CY43" s="86">
        <v>0</v>
      </c>
      <c r="CZ43" s="86">
        <v>0</v>
      </c>
      <c r="DA43" s="86">
        <v>0</v>
      </c>
      <c r="DB43" s="86">
        <v>0</v>
      </c>
      <c r="DC43" s="86">
        <v>0</v>
      </c>
      <c r="DD43" s="86">
        <v>0</v>
      </c>
      <c r="DE43" s="86">
        <v>0</v>
      </c>
      <c r="DF43" s="86">
        <v>0</v>
      </c>
      <c r="DG43" s="86">
        <v>0</v>
      </c>
      <c r="DI43" s="91">
        <f ca="1">VLOOKUP(A43,'[2]2-Relatório'!$A:$J,9,0)</f>
        <v>47.32</v>
      </c>
      <c r="DJ43" s="92">
        <f t="shared" ca="1" si="60"/>
        <v>50490.44</v>
      </c>
      <c r="DK43" s="92">
        <f t="shared" ca="1" si="60"/>
        <v>137369.96</v>
      </c>
      <c r="DL43" s="92">
        <f t="shared" ca="1" si="60"/>
        <v>79639.56</v>
      </c>
      <c r="DM43" s="92">
        <f t="shared" ca="1" si="60"/>
        <v>155730.12</v>
      </c>
      <c r="DN43" s="92">
        <f t="shared" ca="1" si="60"/>
        <v>149909.76000000001</v>
      </c>
      <c r="DO43" s="92">
        <f t="shared" ca="1" si="60"/>
        <v>268777.59999999998</v>
      </c>
      <c r="DP43" s="92">
        <f t="shared" ca="1" si="60"/>
        <v>575837.07999999996</v>
      </c>
      <c r="DQ43" s="92">
        <f t="shared" ca="1" si="60"/>
        <v>70080.92</v>
      </c>
      <c r="DR43" s="92">
        <f t="shared" ca="1" si="60"/>
        <v>0</v>
      </c>
      <c r="DS43" s="92">
        <f t="shared" ca="1" si="60"/>
        <v>0</v>
      </c>
      <c r="DT43" s="92">
        <f t="shared" ca="1" si="60"/>
        <v>562070.0802808</v>
      </c>
      <c r="DU43" s="92">
        <f t="shared" ca="1" si="60"/>
        <v>469368.89330240001</v>
      </c>
      <c r="DV43" s="92">
        <f t="shared" ca="1" si="60"/>
        <v>1198096.8933023999</v>
      </c>
      <c r="DW43" s="92">
        <f t="shared" ca="1" si="60"/>
        <v>961496.89330240001</v>
      </c>
      <c r="DX43" s="92">
        <f t="shared" ca="1" si="60"/>
        <v>1046672.8933024</v>
      </c>
      <c r="DY43" s="92">
        <f t="shared" ca="1" si="60"/>
        <v>810072.89330240001</v>
      </c>
      <c r="DZ43" s="92">
        <f t="shared" ca="1" si="75"/>
        <v>1056136.8933023999</v>
      </c>
      <c r="EA43" s="92">
        <f t="shared" ca="1" si="75"/>
        <v>748556.89330240001</v>
      </c>
      <c r="EB43" s="92">
        <f t="shared" ca="1" si="75"/>
        <v>582936.89330240001</v>
      </c>
      <c r="EC43" s="92">
        <f t="shared" ca="1" si="75"/>
        <v>346336.89330240001</v>
      </c>
      <c r="ED43" s="92">
        <f t="shared" ca="1" si="75"/>
        <v>109736.89330239999</v>
      </c>
      <c r="EE43" s="92">
        <f t="shared" ca="1" si="75"/>
        <v>109736.89330239999</v>
      </c>
      <c r="EF43" s="92">
        <f t="shared" ca="1" si="75"/>
        <v>109736.89330239999</v>
      </c>
      <c r="EG43" s="92">
        <f t="shared" ca="1" si="73"/>
        <v>109736.89330239999</v>
      </c>
      <c r="EH43" s="92">
        <f t="shared" ca="1" si="46"/>
        <v>109736.89330239999</v>
      </c>
      <c r="EI43" s="92">
        <f t="shared" ca="1" si="46"/>
        <v>109736.89330239999</v>
      </c>
      <c r="EL43" s="93">
        <f t="shared" ca="1" si="57"/>
        <v>378391.2</v>
      </c>
      <c r="EM43" s="93">
        <f t="shared" ca="1" si="57"/>
        <v>191954.4</v>
      </c>
      <c r="EN43" s="92">
        <f t="shared" ca="1" si="83"/>
        <v>94640</v>
      </c>
      <c r="EO43" s="92">
        <f t="shared" ca="1" si="83"/>
        <v>94640</v>
      </c>
      <c r="EP43" s="92">
        <f t="shared" ca="1" si="83"/>
        <v>58192.837302600004</v>
      </c>
      <c r="EQ43" s="92">
        <f t="shared" ca="1" si="83"/>
        <v>93179.086800799996</v>
      </c>
      <c r="ER43" s="92">
        <f t="shared" ca="1" si="83"/>
        <v>133823.3288392</v>
      </c>
      <c r="ES43" s="92">
        <f t="shared" ca="1" si="83"/>
        <v>50657.381174399998</v>
      </c>
      <c r="ET43" s="92">
        <f t="shared" ca="1" si="83"/>
        <v>549333.9931352</v>
      </c>
      <c r="EU43" s="92">
        <f t="shared" ca="1" si="83"/>
        <v>91688.494497600012</v>
      </c>
      <c r="EV43" s="92">
        <f t="shared" ca="1" si="83"/>
        <v>84292.4258176</v>
      </c>
      <c r="EW43" s="92">
        <f t="shared" ca="1" si="83"/>
        <v>81481.919719199999</v>
      </c>
      <c r="EX43" s="92">
        <f t="shared" ca="1" si="83"/>
        <v>92701.186978399986</v>
      </c>
      <c r="EY43" s="92">
        <f t="shared" ca="1" si="83"/>
        <v>236600</v>
      </c>
      <c r="EZ43" s="92">
        <f t="shared" ca="1" si="83"/>
        <v>236600</v>
      </c>
      <c r="FA43" s="92">
        <f t="shared" ca="1" si="83"/>
        <v>236600</v>
      </c>
      <c r="FB43" s="92">
        <f t="shared" ca="1" si="83"/>
        <v>236600</v>
      </c>
      <c r="FC43" s="92">
        <f t="shared" ca="1" si="82"/>
        <v>236600</v>
      </c>
      <c r="FD43" s="92">
        <f t="shared" ca="1" si="58"/>
        <v>307580</v>
      </c>
      <c r="FE43" s="92">
        <f t="shared" ca="1" si="58"/>
        <v>165620</v>
      </c>
      <c r="FF43" s="92">
        <f t="shared" ca="1" si="58"/>
        <v>236600</v>
      </c>
      <c r="FG43" s="92">
        <f t="shared" ca="1" si="58"/>
        <v>236600</v>
      </c>
      <c r="FH43" s="92">
        <f t="shared" ca="1" si="55"/>
        <v>0</v>
      </c>
      <c r="FI43" s="92">
        <f t="shared" ca="1" si="55"/>
        <v>0</v>
      </c>
      <c r="FJ43" s="92">
        <f t="shared" ca="1" si="55"/>
        <v>0</v>
      </c>
      <c r="FK43" s="92">
        <f t="shared" ca="1" si="55"/>
        <v>0</v>
      </c>
      <c r="FL43" s="92">
        <f t="shared" ca="1" si="55"/>
        <v>0</v>
      </c>
      <c r="FM43" s="92">
        <f t="shared" ca="1" si="55"/>
        <v>0</v>
      </c>
      <c r="FN43" s="94">
        <f t="shared" ref="FN43:FN46" ca="1" si="86">SUM(CN43:CS43)</f>
        <v>34000</v>
      </c>
      <c r="FO43" s="94">
        <f t="shared" ref="FO43:FO46" ca="1" si="87">SUM(CT43:CZ43)</f>
        <v>17000</v>
      </c>
      <c r="FP43" s="95">
        <f t="shared" ca="1" si="59"/>
        <v>31.043745203376826</v>
      </c>
      <c r="FQ43" s="95">
        <f t="shared" ca="1" si="59"/>
        <v>30.226928895612708</v>
      </c>
      <c r="FR43" s="95">
        <f t="shared" ca="1" si="72"/>
        <v>16.004999999999999</v>
      </c>
      <c r="FS43" s="95">
        <f t="shared" ca="1" si="72"/>
        <v>43.545000000000002</v>
      </c>
      <c r="FT43" s="95">
        <f t="shared" ca="1" si="72"/>
        <v>41.056372411888795</v>
      </c>
      <c r="FU43" s="95">
        <f t="shared" ca="1" si="72"/>
        <v>50.138971741456139</v>
      </c>
      <c r="FV43" s="95">
        <f t="shared" ca="1" si="72"/>
        <v>33.606194368426422</v>
      </c>
      <c r="FW43" s="95">
        <f t="shared" ca="1" si="72"/>
        <v>159.17380277200056</v>
      </c>
      <c r="FX43" s="95">
        <f t="shared" ca="1" si="72"/>
        <v>31.447375578209147</v>
      </c>
      <c r="FY43" s="95">
        <f t="shared" ca="1" si="72"/>
        <v>22.930113658426706</v>
      </c>
      <c r="FZ43" s="95">
        <f t="shared" ca="1" si="72"/>
        <v>0</v>
      </c>
      <c r="GA43" s="95">
        <f t="shared" ca="1" si="72"/>
        <v>0</v>
      </c>
      <c r="GB43" s="95">
        <f t="shared" ca="1" si="72"/>
        <v>181.89737324887744</v>
      </c>
      <c r="GC43" s="95">
        <f t="shared" ca="1" si="72"/>
        <v>59.514229919999998</v>
      </c>
      <c r="GD43" s="95">
        <f t="shared" ca="1" si="72"/>
        <v>151.91422992</v>
      </c>
      <c r="GE43" s="95">
        <f t="shared" ca="1" si="72"/>
        <v>121.91422992000001</v>
      </c>
      <c r="GF43" s="95">
        <f t="shared" ca="1" si="72"/>
        <v>132.71422992000001</v>
      </c>
      <c r="GG43" s="95">
        <f t="shared" ca="1" si="72"/>
        <v>102.71422991999999</v>
      </c>
      <c r="GH43" s="95">
        <f t="shared" ca="1" si="41"/>
        <v>103.01094609230768</v>
      </c>
      <c r="GI43" s="95">
        <f t="shared" ca="1" si="41"/>
        <v>135.59175702857144</v>
      </c>
      <c r="GJ43" s="95">
        <f t="shared" ca="1" si="41"/>
        <v>73.914229919999997</v>
      </c>
      <c r="GK43" s="95">
        <f t="shared" ca="1" si="41"/>
        <v>43.914229919999997</v>
      </c>
      <c r="GL43" s="95">
        <f t="shared" ca="1" si="41"/>
        <v>0</v>
      </c>
      <c r="GM43" s="95">
        <f t="shared" ca="1" si="41"/>
        <v>0</v>
      </c>
      <c r="GN43" s="95">
        <f t="shared" ca="1" si="41"/>
        <v>0</v>
      </c>
      <c r="GO43" s="95">
        <f t="shared" ca="1" si="41"/>
        <v>0</v>
      </c>
      <c r="GP43" s="95">
        <f t="shared" ca="1" si="41"/>
        <v>0</v>
      </c>
      <c r="GQ43" s="95">
        <f t="shared" ca="1" si="41"/>
        <v>0</v>
      </c>
      <c r="GS43" s="7">
        <v>138.11563168003337</v>
      </c>
      <c r="GT43" s="96">
        <f t="shared" ca="1" si="76"/>
        <v>169850.8132565936</v>
      </c>
      <c r="GU43" s="96">
        <f t="shared" ca="1" si="76"/>
        <v>271967.21117627114</v>
      </c>
      <c r="GV43" s="96">
        <f t="shared" ca="1" si="76"/>
        <v>390597.92045965628</v>
      </c>
      <c r="GW43" s="96">
        <f t="shared" ca="1" si="76"/>
        <v>147856.63990191225</v>
      </c>
      <c r="GX43" s="96">
        <f t="shared" ca="1" si="76"/>
        <v>1603373.0233555213</v>
      </c>
      <c r="GY43" s="96">
        <f t="shared" ca="1" si="76"/>
        <v>267616.5328682859</v>
      </c>
      <c r="GZ43" s="96">
        <f t="shared" ca="1" si="76"/>
        <v>246029.19775232833</v>
      </c>
      <c r="HA43" s="96">
        <f t="shared" ca="1" si="76"/>
        <v>237826.0104082645</v>
      </c>
      <c r="HB43" s="96">
        <f t="shared" ca="1" si="76"/>
        <v>270572.33721493237</v>
      </c>
      <c r="HC43" s="96">
        <f t="shared" ca="1" si="76"/>
        <v>690578.1584001669</v>
      </c>
      <c r="HD43" s="96">
        <f t="shared" ca="1" si="76"/>
        <v>690578.1584001669</v>
      </c>
      <c r="HE43" s="96">
        <f t="shared" ca="1" si="76"/>
        <v>690578.1584001669</v>
      </c>
      <c r="HF43" s="96">
        <f t="shared" ca="1" si="76"/>
        <v>690578.1584001669</v>
      </c>
      <c r="HG43" s="96">
        <f t="shared" ca="1" si="76"/>
        <v>690578.1584001669</v>
      </c>
      <c r="HH43" s="96">
        <f t="shared" ca="1" si="76"/>
        <v>897751.60592021688</v>
      </c>
      <c r="HI43" s="96">
        <f t="shared" ca="1" si="74"/>
        <v>483404.71088011679</v>
      </c>
      <c r="HJ43" s="96">
        <f t="shared" ca="1" si="48"/>
        <v>690578.1584001669</v>
      </c>
      <c r="HK43" s="96">
        <f t="shared" ca="1" si="48"/>
        <v>690578.1584001669</v>
      </c>
      <c r="HL43" s="96">
        <f t="shared" ca="1" si="48"/>
        <v>0</v>
      </c>
      <c r="HM43" s="96">
        <f t="shared" ca="1" si="48"/>
        <v>0</v>
      </c>
      <c r="HN43" s="96">
        <f t="shared" ca="1" si="48"/>
        <v>0</v>
      </c>
      <c r="HO43" s="96">
        <f t="shared" ca="1" si="48"/>
        <v>0</v>
      </c>
      <c r="HP43" s="96">
        <f t="shared" ca="1" si="48"/>
        <v>0</v>
      </c>
      <c r="HQ43" s="96">
        <f t="shared" ca="1" si="48"/>
        <v>0</v>
      </c>
      <c r="HR43" s="97"/>
      <c r="HS43" s="97">
        <f t="shared" ca="1" si="21"/>
        <v>232448.60811749616</v>
      </c>
    </row>
    <row r="44" spans="1:227" ht="17.25" thickTop="1" thickBot="1" x14ac:dyDescent="0.3">
      <c r="A44" s="102" t="s">
        <v>64</v>
      </c>
      <c r="B44" s="103" t="s">
        <v>402</v>
      </c>
      <c r="C44" s="73" t="s">
        <v>402</v>
      </c>
      <c r="D44" s="74" t="s">
        <v>0</v>
      </c>
      <c r="E44" s="74" t="s">
        <v>360</v>
      </c>
      <c r="F44" s="73"/>
      <c r="G44" s="75">
        <f t="shared" ca="1" si="85"/>
        <v>96</v>
      </c>
      <c r="H44" s="75">
        <v>137</v>
      </c>
      <c r="I44" s="75">
        <f t="shared" ca="1" si="78"/>
        <v>233</v>
      </c>
      <c r="J44" s="76">
        <f ca="1">[1]Parameters!$C$3+G44</f>
        <v>45927</v>
      </c>
      <c r="K44" s="77">
        <f t="shared" ca="1" si="23"/>
        <v>9</v>
      </c>
      <c r="L44" s="77">
        <f t="shared" ca="1" si="24"/>
        <v>2025</v>
      </c>
      <c r="M44" s="76">
        <f ca="1">[1]Parameters!$C$3+I44</f>
        <v>46064</v>
      </c>
      <c r="N44" s="77">
        <f t="shared" ca="1" si="25"/>
        <v>2</v>
      </c>
      <c r="O44" s="77">
        <f t="shared" ca="1" si="26"/>
        <v>2026</v>
      </c>
      <c r="P44" s="78">
        <v>0.95</v>
      </c>
      <c r="Q44" s="79" t="str">
        <f ca="1">VLOOKUP(A44,[1]ABC!A:G,7,0)</f>
        <v>B</v>
      </c>
      <c r="R44" s="80">
        <f t="shared" ca="1" si="9"/>
        <v>40.358850501922973</v>
      </c>
      <c r="S44" s="81">
        <v>85.22</v>
      </c>
      <c r="T44" s="82">
        <f t="shared" ca="1" si="10"/>
        <v>600</v>
      </c>
      <c r="U44" s="83">
        <f t="shared" ca="1" si="84"/>
        <v>1600</v>
      </c>
      <c r="V44" s="80">
        <v>3400</v>
      </c>
      <c r="W44" s="80">
        <f t="shared" ca="1" si="27"/>
        <v>3400</v>
      </c>
      <c r="X44" s="101" t="s">
        <v>390</v>
      </c>
      <c r="Y44" s="84">
        <v>9.5</v>
      </c>
      <c r="Z44" s="85">
        <v>2095</v>
      </c>
      <c r="AA44" s="85">
        <v>1096</v>
      </c>
      <c r="AB44" s="85">
        <v>13</v>
      </c>
      <c r="AC44" s="85">
        <v>12</v>
      </c>
      <c r="AD44" s="85">
        <v>0</v>
      </c>
      <c r="AE44" s="85">
        <v>2064</v>
      </c>
      <c r="AF44" s="85">
        <v>755</v>
      </c>
      <c r="AG44" s="85">
        <v>518</v>
      </c>
      <c r="AH44" s="85">
        <v>440</v>
      </c>
      <c r="AI44" s="75">
        <v>2247</v>
      </c>
      <c r="AJ44" s="75">
        <f t="shared" ca="1" si="79"/>
        <v>1378.0650000000001</v>
      </c>
      <c r="AK44" s="75">
        <f t="shared" ca="1" si="79"/>
        <v>7394.384</v>
      </c>
      <c r="AL44" s="75">
        <f t="shared" ca="1" si="79"/>
        <v>6621.6329999999998</v>
      </c>
      <c r="AM44" s="75">
        <f t="shared" ca="1" si="79"/>
        <v>5672.9089999999997</v>
      </c>
      <c r="AN44" s="75">
        <f t="shared" ca="1" si="79"/>
        <v>4788.6719999999996</v>
      </c>
      <c r="AO44" s="75">
        <f t="shared" ca="1" si="79"/>
        <v>4004.6719999999996</v>
      </c>
      <c r="AP44" s="75">
        <f t="shared" ca="1" si="79"/>
        <v>6631.6719999999996</v>
      </c>
      <c r="AQ44" s="75">
        <f t="shared" ca="1" si="79"/>
        <v>5682.6719999999996</v>
      </c>
      <c r="AR44" s="75">
        <f t="shared" ca="1" si="79"/>
        <v>4798.6719999999996</v>
      </c>
      <c r="AS44" s="75">
        <f t="shared" ca="1" si="79"/>
        <v>3942.6719999999996</v>
      </c>
      <c r="AT44" s="75">
        <f t="shared" ca="1" si="79"/>
        <v>2704.6719999999996</v>
      </c>
      <c r="AU44" s="75">
        <f t="shared" ca="1" si="79"/>
        <v>1711.6719999999996</v>
      </c>
      <c r="AV44" s="75">
        <f t="shared" ca="1" si="79"/>
        <v>718.67199999999957</v>
      </c>
      <c r="AW44" s="75">
        <f t="shared" ca="1" si="79"/>
        <v>718.67199999999957</v>
      </c>
      <c r="AX44" s="75">
        <f t="shared" ca="1" si="79"/>
        <v>718.67199999999957</v>
      </c>
      <c r="AY44" s="75">
        <f t="shared" ca="1" si="54"/>
        <v>718.67199999999957</v>
      </c>
      <c r="AZ44" s="75">
        <f t="shared" ca="1" si="12"/>
        <v>718.67199999999957</v>
      </c>
      <c r="BA44" s="75">
        <f t="shared" ca="1" si="12"/>
        <v>718.67199999999957</v>
      </c>
      <c r="BB44" s="166"/>
      <c r="BC44" s="86">
        <v>1889.97</v>
      </c>
      <c r="BD44" s="86">
        <v>1092</v>
      </c>
      <c r="BE44" s="86">
        <v>751.91666666666663</v>
      </c>
      <c r="BF44" s="86">
        <v>751.91666666666663</v>
      </c>
      <c r="BG44" s="86">
        <v>527.91899999999998</v>
      </c>
      <c r="BH44" s="86">
        <v>912.65499999999997</v>
      </c>
      <c r="BI44" s="86">
        <v>1228.5319999999999</v>
      </c>
      <c r="BJ44" s="86">
        <v>479.827</v>
      </c>
      <c r="BK44" s="86">
        <v>712.63599999999997</v>
      </c>
      <c r="BL44" s="86">
        <v>868.93499999999995</v>
      </c>
      <c r="BM44" s="86">
        <v>783.68100000000004</v>
      </c>
      <c r="BN44" s="86">
        <v>772.75099999999998</v>
      </c>
      <c r="BO44" s="86">
        <v>948.72400000000005</v>
      </c>
      <c r="BP44" s="86">
        <v>884.23699999999997</v>
      </c>
      <c r="BQ44" s="86">
        <v>784</v>
      </c>
      <c r="BR44" s="86">
        <v>773</v>
      </c>
      <c r="BS44" s="86">
        <v>949</v>
      </c>
      <c r="BT44" s="86">
        <v>884</v>
      </c>
      <c r="BU44" s="86">
        <v>856</v>
      </c>
      <c r="BV44" s="86">
        <v>1238</v>
      </c>
      <c r="BW44" s="86">
        <f ca="1">VLOOKUP(A44,[3]Export!$B:$Q,16,0)</f>
        <v>993</v>
      </c>
      <c r="BX44" s="86">
        <v>993</v>
      </c>
      <c r="BY44" s="86">
        <v>0</v>
      </c>
      <c r="BZ44" s="86">
        <v>0</v>
      </c>
      <c r="CA44" s="86">
        <v>0</v>
      </c>
      <c r="CB44" s="86">
        <v>0</v>
      </c>
      <c r="CC44" s="86">
        <v>0</v>
      </c>
      <c r="CD44" s="86">
        <v>0</v>
      </c>
      <c r="CE44" s="86">
        <f t="shared" ca="1" si="28"/>
        <v>128.76600982690817</v>
      </c>
      <c r="CF44" s="87"/>
      <c r="CG44" s="86">
        <v>0</v>
      </c>
      <c r="CH44" s="86">
        <v>0</v>
      </c>
      <c r="CI44" s="86">
        <v>0</v>
      </c>
      <c r="CJ44" s="86">
        <v>0</v>
      </c>
      <c r="CK44" s="86">
        <v>0</v>
      </c>
      <c r="CL44" s="86">
        <v>0</v>
      </c>
      <c r="CM44" s="86">
        <v>0</v>
      </c>
      <c r="CN44" s="86">
        <v>0</v>
      </c>
      <c r="CO44" s="104">
        <v>0</v>
      </c>
      <c r="CP44" s="104">
        <f ca="1">3400*2</f>
        <v>6800</v>
      </c>
      <c r="CQ44" s="105">
        <v>0</v>
      </c>
      <c r="CR44" s="99">
        <v>0</v>
      </c>
      <c r="CS44" s="99">
        <v>0</v>
      </c>
      <c r="CT44" s="99">
        <v>0</v>
      </c>
      <c r="CU44" s="86">
        <v>3400</v>
      </c>
      <c r="CV44" s="86">
        <v>0</v>
      </c>
      <c r="CW44" s="86">
        <v>0</v>
      </c>
      <c r="CX44" s="86">
        <v>0</v>
      </c>
      <c r="CY44" s="86">
        <v>0</v>
      </c>
      <c r="CZ44" s="86">
        <v>0</v>
      </c>
      <c r="DA44" s="86">
        <v>0</v>
      </c>
      <c r="DB44" s="86">
        <v>0</v>
      </c>
      <c r="DC44" s="86">
        <v>0</v>
      </c>
      <c r="DD44" s="86">
        <v>0</v>
      </c>
      <c r="DE44" s="86">
        <v>0</v>
      </c>
      <c r="DF44" s="86">
        <v>0</v>
      </c>
      <c r="DG44" s="86">
        <v>0</v>
      </c>
      <c r="DI44" s="91">
        <f ca="1">VLOOKUP(A44,'[2]2-Relatório'!$A:$J,9,0)</f>
        <v>76.62</v>
      </c>
      <c r="DJ44" s="92">
        <f t="shared" ca="1" si="60"/>
        <v>996.06000000000006</v>
      </c>
      <c r="DK44" s="92">
        <f t="shared" ca="1" si="60"/>
        <v>919.44</v>
      </c>
      <c r="DL44" s="92">
        <f t="shared" ca="1" si="60"/>
        <v>0</v>
      </c>
      <c r="DM44" s="92">
        <f t="shared" ca="1" si="60"/>
        <v>158143.68000000002</v>
      </c>
      <c r="DN44" s="92">
        <f t="shared" ca="1" si="60"/>
        <v>57848.100000000006</v>
      </c>
      <c r="DO44" s="92">
        <f t="shared" ca="1" si="60"/>
        <v>39689.160000000003</v>
      </c>
      <c r="DP44" s="92">
        <f t="shared" ca="1" si="60"/>
        <v>33712.800000000003</v>
      </c>
      <c r="DQ44" s="92">
        <f t="shared" ca="1" si="60"/>
        <v>172165.14</v>
      </c>
      <c r="DR44" s="92">
        <f t="shared" ca="1" si="60"/>
        <v>105587.34030000001</v>
      </c>
      <c r="DS44" s="92">
        <f t="shared" ca="1" si="60"/>
        <v>566557.70208000008</v>
      </c>
      <c r="DT44" s="92">
        <f t="shared" ca="1" si="60"/>
        <v>507349.52046000003</v>
      </c>
      <c r="DU44" s="92">
        <f t="shared" ca="1" si="60"/>
        <v>434658.28758</v>
      </c>
      <c r="DV44" s="92">
        <f t="shared" ca="1" si="60"/>
        <v>366908.04863999999</v>
      </c>
      <c r="DW44" s="92">
        <f t="shared" ca="1" si="60"/>
        <v>306837.96863999998</v>
      </c>
      <c r="DX44" s="92">
        <f t="shared" ca="1" si="60"/>
        <v>508118.70864000003</v>
      </c>
      <c r="DY44" s="92">
        <f t="shared" ca="1" si="60"/>
        <v>435406.32864000002</v>
      </c>
      <c r="DZ44" s="92">
        <f t="shared" ca="1" si="75"/>
        <v>367674.24864000001</v>
      </c>
      <c r="EA44" s="92">
        <f t="shared" ca="1" si="75"/>
        <v>302087.52863999997</v>
      </c>
      <c r="EB44" s="92">
        <f t="shared" ca="1" si="75"/>
        <v>207231.96863999998</v>
      </c>
      <c r="EC44" s="92">
        <f t="shared" ca="1" si="75"/>
        <v>131148.30863999997</v>
      </c>
      <c r="ED44" s="92">
        <f t="shared" ca="1" si="75"/>
        <v>55064.64863999997</v>
      </c>
      <c r="EE44" s="92">
        <f t="shared" ca="1" si="75"/>
        <v>55064.64863999997</v>
      </c>
      <c r="EF44" s="92">
        <f t="shared" ca="1" si="75"/>
        <v>55064.64863999997</v>
      </c>
      <c r="EG44" s="92">
        <f t="shared" ca="1" si="73"/>
        <v>55064.64863999997</v>
      </c>
      <c r="EH44" s="92">
        <f t="shared" ca="1" si="46"/>
        <v>55064.64863999997</v>
      </c>
      <c r="EI44" s="92">
        <f t="shared" ca="1" si="46"/>
        <v>55064.64863999997</v>
      </c>
      <c r="EL44" s="93">
        <f t="shared" ca="1" si="57"/>
        <v>161063.24340000001</v>
      </c>
      <c r="EM44" s="93">
        <f t="shared" ca="1" si="57"/>
        <v>93060.24</v>
      </c>
      <c r="EN44" s="92">
        <f t="shared" ca="1" si="83"/>
        <v>57611.855000000003</v>
      </c>
      <c r="EO44" s="92">
        <f t="shared" ca="1" si="83"/>
        <v>57611.855000000003</v>
      </c>
      <c r="EP44" s="92">
        <f t="shared" ca="1" si="83"/>
        <v>40449.153780000001</v>
      </c>
      <c r="EQ44" s="92">
        <f t="shared" ca="1" si="83"/>
        <v>69927.626100000009</v>
      </c>
      <c r="ER44" s="92">
        <f t="shared" ca="1" si="83"/>
        <v>94130.121840000007</v>
      </c>
      <c r="ES44" s="92">
        <f t="shared" ca="1" si="83"/>
        <v>36764.34474</v>
      </c>
      <c r="ET44" s="92">
        <f t="shared" ca="1" si="83"/>
        <v>54602.170319999997</v>
      </c>
      <c r="EU44" s="92">
        <f t="shared" ca="1" si="83"/>
        <v>66577.799700000003</v>
      </c>
      <c r="EV44" s="92">
        <f t="shared" ca="1" si="83"/>
        <v>60045.638220000008</v>
      </c>
      <c r="EW44" s="92">
        <f t="shared" ca="1" si="83"/>
        <v>59208.181620000003</v>
      </c>
      <c r="EX44" s="92">
        <f t="shared" ca="1" si="83"/>
        <v>72691.23288000001</v>
      </c>
      <c r="EY44" s="92">
        <f t="shared" ca="1" si="83"/>
        <v>67750.238939999996</v>
      </c>
      <c r="EZ44" s="92">
        <f t="shared" ca="1" si="83"/>
        <v>60070.080000000002</v>
      </c>
      <c r="FA44" s="92">
        <f t="shared" ca="1" si="83"/>
        <v>59227.26</v>
      </c>
      <c r="FB44" s="92">
        <f t="shared" ca="1" si="83"/>
        <v>72712.38</v>
      </c>
      <c r="FC44" s="92">
        <f t="shared" ca="1" si="82"/>
        <v>67732.08</v>
      </c>
      <c r="FD44" s="92">
        <f t="shared" ca="1" si="58"/>
        <v>65586.720000000001</v>
      </c>
      <c r="FE44" s="92">
        <f t="shared" ca="1" si="58"/>
        <v>94855.560000000012</v>
      </c>
      <c r="FF44" s="92">
        <f t="shared" ca="1" si="58"/>
        <v>76083.66</v>
      </c>
      <c r="FG44" s="92">
        <f t="shared" ca="1" si="58"/>
        <v>76083.66</v>
      </c>
      <c r="FH44" s="92">
        <f t="shared" ca="1" si="55"/>
        <v>0</v>
      </c>
      <c r="FI44" s="92">
        <f t="shared" ca="1" si="55"/>
        <v>0</v>
      </c>
      <c r="FJ44" s="92">
        <f t="shared" ca="1" si="55"/>
        <v>0</v>
      </c>
      <c r="FK44" s="92">
        <f t="shared" ca="1" si="55"/>
        <v>0</v>
      </c>
      <c r="FL44" s="92">
        <f t="shared" ca="1" si="55"/>
        <v>0</v>
      </c>
      <c r="FM44" s="92">
        <f t="shared" ca="1" si="55"/>
        <v>0</v>
      </c>
      <c r="FN44" s="94">
        <f t="shared" ca="1" si="86"/>
        <v>6800</v>
      </c>
      <c r="FO44" s="94">
        <f t="shared" ca="1" si="87"/>
        <v>3400</v>
      </c>
      <c r="FP44" s="95">
        <f t="shared" ca="1" si="59"/>
        <v>33.254496103112743</v>
      </c>
      <c r="FQ44" s="95">
        <f t="shared" ca="1" si="59"/>
        <v>30.109890109890109</v>
      </c>
      <c r="FR44" s="95">
        <f t="shared" ca="1" si="72"/>
        <v>0.51867449850382363</v>
      </c>
      <c r="FS44" s="95">
        <f t="shared" ca="1" si="72"/>
        <v>0.47877646015737563</v>
      </c>
      <c r="FT44" s="95">
        <f t="shared" ca="1" si="72"/>
        <v>0</v>
      </c>
      <c r="FU44" s="95">
        <f t="shared" ca="1" si="72"/>
        <v>67.846009718897065</v>
      </c>
      <c r="FV44" s="95">
        <f t="shared" ca="1" si="72"/>
        <v>18.436638199086389</v>
      </c>
      <c r="FW44" s="95">
        <f t="shared" ca="1" si="72"/>
        <v>32.386672696617737</v>
      </c>
      <c r="FX44" s="95">
        <f t="shared" ca="1" si="72"/>
        <v>18.522780213180365</v>
      </c>
      <c r="FY44" s="95">
        <f t="shared" ca="1" si="72"/>
        <v>77.577724455799341</v>
      </c>
      <c r="FZ44" s="95">
        <f t="shared" ca="1" si="72"/>
        <v>52.753543852664542</v>
      </c>
      <c r="GA44" s="95">
        <f t="shared" ca="1" si="72"/>
        <v>287.06727005206079</v>
      </c>
      <c r="GB44" s="95">
        <f t="shared" ca="1" si="72"/>
        <v>209.38543770369461</v>
      </c>
      <c r="GC44" s="95">
        <f t="shared" ca="1" si="72"/>
        <v>192.46793563264148</v>
      </c>
      <c r="GD44" s="95">
        <f t="shared" ca="1" si="72"/>
        <v>183.23999999999998</v>
      </c>
      <c r="GE44" s="95">
        <f t="shared" ca="1" si="72"/>
        <v>155.42064683053039</v>
      </c>
      <c r="GF44" s="95">
        <f t="shared" ca="1" si="72"/>
        <v>209.64189673340357</v>
      </c>
      <c r="GG44" s="95">
        <f t="shared" ca="1" si="72"/>
        <v>192.8508597285068</v>
      </c>
      <c r="GH44" s="95">
        <f t="shared" ca="1" si="41"/>
        <v>168.17775700934581</v>
      </c>
      <c r="GI44" s="95">
        <f t="shared" ca="1" si="41"/>
        <v>95.541324717285917</v>
      </c>
      <c r="GJ44" s="95">
        <f t="shared" ca="1" si="41"/>
        <v>81.712145015105733</v>
      </c>
      <c r="GK44" s="95">
        <f t="shared" ca="1" si="41"/>
        <v>51.712145015105733</v>
      </c>
      <c r="GL44" s="95">
        <f t="shared" ca="1" si="41"/>
        <v>0</v>
      </c>
      <c r="GM44" s="95">
        <f t="shared" ca="1" si="41"/>
        <v>0</v>
      </c>
      <c r="GN44" s="95">
        <f t="shared" ca="1" si="41"/>
        <v>0</v>
      </c>
      <c r="GO44" s="95">
        <f t="shared" ca="1" si="41"/>
        <v>0</v>
      </c>
      <c r="GP44" s="95">
        <f t="shared" ca="1" si="41"/>
        <v>0</v>
      </c>
      <c r="GQ44" s="95">
        <f t="shared" ca="1" si="41"/>
        <v>0</v>
      </c>
      <c r="GS44" s="7">
        <v>284.38319073413328</v>
      </c>
      <c r="GT44" s="96">
        <f t="shared" ca="1" si="76"/>
        <v>150131.2896691729</v>
      </c>
      <c r="GU44" s="96">
        <f t="shared" ca="1" si="76"/>
        <v>259543.7409394604</v>
      </c>
      <c r="GV44" s="96">
        <f t="shared" ca="1" si="76"/>
        <v>349373.8500789862</v>
      </c>
      <c r="GW44" s="96">
        <f t="shared" ca="1" si="76"/>
        <v>136454.73326038697</v>
      </c>
      <c r="GX44" s="96">
        <f t="shared" ca="1" si="76"/>
        <v>202661.6995120098</v>
      </c>
      <c r="GY44" s="96">
        <f t="shared" ca="1" si="76"/>
        <v>247110.5078405641</v>
      </c>
      <c r="GZ44" s="96">
        <f t="shared" ca="1" si="76"/>
        <v>222865.7032977163</v>
      </c>
      <c r="HA44" s="96">
        <f t="shared" ca="1" si="76"/>
        <v>219757.39502299222</v>
      </c>
      <c r="HB44" s="96">
        <f t="shared" ca="1" si="76"/>
        <v>269801.15824604989</v>
      </c>
      <c r="HC44" s="96">
        <f t="shared" ca="1" si="76"/>
        <v>251462.1394251778</v>
      </c>
      <c r="HD44" s="96">
        <f t="shared" ca="1" si="76"/>
        <v>222956.42153556048</v>
      </c>
      <c r="HE44" s="96">
        <f t="shared" ca="1" si="76"/>
        <v>219828.20643748503</v>
      </c>
      <c r="HF44" s="96">
        <f t="shared" ca="1" si="76"/>
        <v>269879.64800669247</v>
      </c>
      <c r="HG44" s="96">
        <f t="shared" ca="1" si="76"/>
        <v>251394.74060897381</v>
      </c>
      <c r="HH44" s="96">
        <f t="shared" ca="1" si="76"/>
        <v>243432.01126841808</v>
      </c>
      <c r="HI44" s="96">
        <f t="shared" ca="1" si="74"/>
        <v>352066.39012885699</v>
      </c>
      <c r="HJ44" s="96">
        <f t="shared" ca="1" si="48"/>
        <v>282392.50839899434</v>
      </c>
      <c r="HK44" s="96">
        <f t="shared" ca="1" si="48"/>
        <v>282392.50839899434</v>
      </c>
      <c r="HL44" s="96">
        <f t="shared" ca="1" si="48"/>
        <v>0</v>
      </c>
      <c r="HM44" s="96">
        <f t="shared" ca="1" si="48"/>
        <v>0</v>
      </c>
      <c r="HN44" s="96">
        <f t="shared" ca="1" si="48"/>
        <v>0</v>
      </c>
      <c r="HO44" s="96">
        <f t="shared" ca="1" si="48"/>
        <v>0</v>
      </c>
      <c r="HP44" s="96">
        <f t="shared" ca="1" si="48"/>
        <v>0</v>
      </c>
      <c r="HQ44" s="96">
        <f t="shared" ca="1" si="48"/>
        <v>0</v>
      </c>
      <c r="HS44" s="97">
        <f t="shared" ca="1" si="21"/>
        <v>0</v>
      </c>
    </row>
    <row r="45" spans="1:227" ht="17.25" thickTop="1" thickBot="1" x14ac:dyDescent="0.3">
      <c r="A45" s="102" t="s">
        <v>62</v>
      </c>
      <c r="B45" s="103" t="s">
        <v>403</v>
      </c>
      <c r="C45" s="73" t="s">
        <v>403</v>
      </c>
      <c r="D45" s="74" t="s">
        <v>0</v>
      </c>
      <c r="E45" s="74" t="s">
        <v>360</v>
      </c>
      <c r="F45" s="73"/>
      <c r="G45" s="75">
        <f t="shared" ca="1" si="85"/>
        <v>96</v>
      </c>
      <c r="H45" s="75">
        <v>137</v>
      </c>
      <c r="I45" s="75">
        <f t="shared" ca="1" si="78"/>
        <v>233</v>
      </c>
      <c r="J45" s="76">
        <f ca="1">[1]Parameters!$C$3+G45</f>
        <v>45927</v>
      </c>
      <c r="K45" s="77">
        <f t="shared" ca="1" si="23"/>
        <v>9</v>
      </c>
      <c r="L45" s="77">
        <f t="shared" ca="1" si="24"/>
        <v>2025</v>
      </c>
      <c r="M45" s="76">
        <f ca="1">[1]Parameters!$C$3+I45</f>
        <v>46064</v>
      </c>
      <c r="N45" s="77">
        <f t="shared" ca="1" si="25"/>
        <v>2</v>
      </c>
      <c r="O45" s="77">
        <f t="shared" ca="1" si="26"/>
        <v>2026</v>
      </c>
      <c r="P45" s="78">
        <v>0.95</v>
      </c>
      <c r="Q45" s="79" t="str">
        <f ca="1">VLOOKUP(A45,[1]ABC!A:G,7,0)</f>
        <v>B</v>
      </c>
      <c r="R45" s="80">
        <f t="shared" ca="1" si="9"/>
        <v>50.826745299926237</v>
      </c>
      <c r="S45" s="81">
        <v>123.78</v>
      </c>
      <c r="T45" s="82">
        <f t="shared" ca="1" si="10"/>
        <v>300</v>
      </c>
      <c r="U45" s="83">
        <f t="shared" ca="1" si="84"/>
        <v>1000</v>
      </c>
      <c r="V45" s="80">
        <v>3400</v>
      </c>
      <c r="W45" s="80">
        <f t="shared" ca="1" si="27"/>
        <v>3400</v>
      </c>
      <c r="X45" s="101" t="s">
        <v>390</v>
      </c>
      <c r="Y45" s="84">
        <f ca="1">18.05</f>
        <v>18.05</v>
      </c>
      <c r="Z45" s="85">
        <v>856</v>
      </c>
      <c r="AA45" s="85">
        <v>1516</v>
      </c>
      <c r="AB45" s="85">
        <v>127</v>
      </c>
      <c r="AC45" s="85">
        <v>0</v>
      </c>
      <c r="AD45" s="85">
        <v>0</v>
      </c>
      <c r="AE45" s="85">
        <v>1171</v>
      </c>
      <c r="AF45" s="85">
        <v>596</v>
      </c>
      <c r="AG45" s="85">
        <v>257</v>
      </c>
      <c r="AH45" s="85">
        <v>368</v>
      </c>
      <c r="AI45" s="75">
        <v>6572</v>
      </c>
      <c r="AJ45" s="75">
        <f t="shared" ca="1" si="79"/>
        <v>6080.15</v>
      </c>
      <c r="AK45" s="75">
        <f t="shared" ca="1" si="79"/>
        <v>5588.2999999999993</v>
      </c>
      <c r="AL45" s="75">
        <f t="shared" ca="1" si="79"/>
        <v>5096.4499999999989</v>
      </c>
      <c r="AM45" s="75">
        <f t="shared" ca="1" si="79"/>
        <v>4604.5999999999985</v>
      </c>
      <c r="AN45" s="75">
        <f t="shared" ca="1" si="79"/>
        <v>4112.7499999999982</v>
      </c>
      <c r="AO45" s="75">
        <f t="shared" ca="1" si="79"/>
        <v>3612.7499999999982</v>
      </c>
      <c r="AP45" s="75">
        <f t="shared" ca="1" si="79"/>
        <v>3112.7499999999982</v>
      </c>
      <c r="AQ45" s="75">
        <f t="shared" ca="1" si="79"/>
        <v>2612.7499999999982</v>
      </c>
      <c r="AR45" s="75">
        <f t="shared" ca="1" si="79"/>
        <v>2112.7499999999982</v>
      </c>
      <c r="AS45" s="75">
        <f t="shared" ca="1" si="79"/>
        <v>1462.7499999999982</v>
      </c>
      <c r="AT45" s="75">
        <f t="shared" ca="1" si="79"/>
        <v>1112.7499999999982</v>
      </c>
      <c r="AU45" s="75">
        <f t="shared" ca="1" si="79"/>
        <v>612.74999999999818</v>
      </c>
      <c r="AV45" s="75">
        <f t="shared" ca="1" si="79"/>
        <v>112.74999999999818</v>
      </c>
      <c r="AW45" s="75">
        <f t="shared" ca="1" si="79"/>
        <v>112.74999999999818</v>
      </c>
      <c r="AX45" s="75">
        <f t="shared" ca="1" si="79"/>
        <v>112.74999999999818</v>
      </c>
      <c r="AY45" s="75">
        <f t="shared" ca="1" si="54"/>
        <v>112.74999999999818</v>
      </c>
      <c r="AZ45" s="75">
        <f t="shared" ca="1" si="12"/>
        <v>112.74999999999818</v>
      </c>
      <c r="BA45" s="75">
        <f t="shared" ca="1" si="12"/>
        <v>112.74999999999818</v>
      </c>
      <c r="BB45" s="166"/>
      <c r="BC45" s="86">
        <v>854.83</v>
      </c>
      <c r="BD45" s="86">
        <v>1515</v>
      </c>
      <c r="BE45" s="86">
        <v>500</v>
      </c>
      <c r="BF45" s="86">
        <v>500</v>
      </c>
      <c r="BG45" s="86">
        <v>491.85</v>
      </c>
      <c r="BH45" s="86">
        <v>491.85</v>
      </c>
      <c r="BI45" s="86">
        <v>786.96</v>
      </c>
      <c r="BJ45" s="86">
        <v>196.74</v>
      </c>
      <c r="BK45" s="86">
        <v>491.85</v>
      </c>
      <c r="BL45" s="86">
        <v>491.85</v>
      </c>
      <c r="BM45" s="86">
        <v>491.85</v>
      </c>
      <c r="BN45" s="86">
        <v>491.85</v>
      </c>
      <c r="BO45" s="86">
        <v>491.85</v>
      </c>
      <c r="BP45" s="86">
        <v>491.85</v>
      </c>
      <c r="BQ45" s="86">
        <v>500</v>
      </c>
      <c r="BR45" s="86">
        <v>500</v>
      </c>
      <c r="BS45" s="86">
        <v>500</v>
      </c>
      <c r="BT45" s="86">
        <v>500</v>
      </c>
      <c r="BU45" s="86">
        <v>650</v>
      </c>
      <c r="BV45" s="86">
        <v>350</v>
      </c>
      <c r="BW45" s="86">
        <f ca="1">VLOOKUP(A45,[3]Export!$B:$Q,16,0)</f>
        <v>500</v>
      </c>
      <c r="BX45" s="86">
        <v>500</v>
      </c>
      <c r="BY45" s="86">
        <v>0</v>
      </c>
      <c r="BZ45" s="86">
        <v>0</v>
      </c>
      <c r="CA45" s="86">
        <v>0</v>
      </c>
      <c r="CB45" s="86">
        <v>0</v>
      </c>
      <c r="CC45" s="86">
        <v>0</v>
      </c>
      <c r="CD45" s="86">
        <v>0</v>
      </c>
      <c r="CE45" s="86">
        <f t="shared" ca="1" si="28"/>
        <v>61.376146916016168</v>
      </c>
      <c r="CF45" s="87"/>
      <c r="CG45" s="86">
        <v>0</v>
      </c>
      <c r="CH45" s="86">
        <v>0</v>
      </c>
      <c r="CI45" s="86">
        <v>0</v>
      </c>
      <c r="CJ45" s="86">
        <v>0</v>
      </c>
      <c r="CK45" s="86">
        <v>0</v>
      </c>
      <c r="CL45" s="86">
        <v>0</v>
      </c>
      <c r="CM45" s="86">
        <v>0</v>
      </c>
      <c r="CN45" s="86">
        <v>0</v>
      </c>
      <c r="CO45" s="104">
        <v>0</v>
      </c>
      <c r="CP45" s="104">
        <v>0</v>
      </c>
      <c r="CQ45" s="105">
        <v>0</v>
      </c>
      <c r="CR45" s="99">
        <v>0</v>
      </c>
      <c r="CS45" s="99">
        <v>0</v>
      </c>
      <c r="CT45" s="99">
        <v>0</v>
      </c>
      <c r="CU45" s="86">
        <v>0</v>
      </c>
      <c r="CV45" s="86">
        <v>0</v>
      </c>
      <c r="CW45" s="86">
        <v>0</v>
      </c>
      <c r="CX45" s="86">
        <v>0</v>
      </c>
      <c r="CY45" s="86">
        <v>0</v>
      </c>
      <c r="CZ45" s="86">
        <v>0</v>
      </c>
      <c r="DA45" s="86">
        <v>0</v>
      </c>
      <c r="DB45" s="86">
        <v>0</v>
      </c>
      <c r="DC45" s="86">
        <v>0</v>
      </c>
      <c r="DD45" s="86">
        <v>0</v>
      </c>
      <c r="DE45" s="86">
        <v>0</v>
      </c>
      <c r="DF45" s="86">
        <v>0</v>
      </c>
      <c r="DG45" s="86">
        <v>0</v>
      </c>
      <c r="DI45" s="91">
        <f ca="1">VLOOKUP(A45,'[2]2-Relatório'!$A:$J,9,0)</f>
        <v>144.75</v>
      </c>
      <c r="DJ45" s="92">
        <f t="shared" ca="1" si="60"/>
        <v>18383.25</v>
      </c>
      <c r="DK45" s="92">
        <f t="shared" ca="1" si="60"/>
        <v>0</v>
      </c>
      <c r="DL45" s="92">
        <f t="shared" ca="1" si="60"/>
        <v>0</v>
      </c>
      <c r="DM45" s="92">
        <f t="shared" ca="1" si="60"/>
        <v>169502.25</v>
      </c>
      <c r="DN45" s="92">
        <f t="shared" ca="1" si="60"/>
        <v>86271</v>
      </c>
      <c r="DO45" s="92">
        <f t="shared" ca="1" si="60"/>
        <v>37200.75</v>
      </c>
      <c r="DP45" s="92">
        <f t="shared" ca="1" si="60"/>
        <v>53268</v>
      </c>
      <c r="DQ45" s="92">
        <f t="shared" ref="DQ45:EF72" ca="1" si="88">AI45*$DI45</f>
        <v>951297</v>
      </c>
      <c r="DR45" s="92">
        <f t="shared" ca="1" si="88"/>
        <v>880101.71249999991</v>
      </c>
      <c r="DS45" s="92">
        <f t="shared" ca="1" si="88"/>
        <v>808906.42499999993</v>
      </c>
      <c r="DT45" s="92">
        <f t="shared" ca="1" si="88"/>
        <v>737711.13749999984</v>
      </c>
      <c r="DU45" s="92">
        <f t="shared" ca="1" si="88"/>
        <v>666515.84999999974</v>
      </c>
      <c r="DV45" s="92">
        <f t="shared" ca="1" si="88"/>
        <v>595320.56249999977</v>
      </c>
      <c r="DW45" s="92">
        <f t="shared" ca="1" si="88"/>
        <v>522945.56249999971</v>
      </c>
      <c r="DX45" s="92">
        <f t="shared" ca="1" si="88"/>
        <v>450570.56249999971</v>
      </c>
      <c r="DY45" s="92">
        <f t="shared" ca="1" si="88"/>
        <v>378195.56249999971</v>
      </c>
      <c r="DZ45" s="92">
        <f t="shared" ca="1" si="75"/>
        <v>305820.56249999971</v>
      </c>
      <c r="EA45" s="92">
        <f t="shared" ca="1" si="75"/>
        <v>211733.06249999974</v>
      </c>
      <c r="EB45" s="92">
        <f t="shared" ca="1" si="75"/>
        <v>161070.56249999974</v>
      </c>
      <c r="EC45" s="92">
        <f t="shared" ca="1" si="75"/>
        <v>88695.562499999738</v>
      </c>
      <c r="ED45" s="92">
        <f t="shared" ca="1" si="75"/>
        <v>16320.562499999736</v>
      </c>
      <c r="EE45" s="92">
        <f t="shared" ca="1" si="75"/>
        <v>16320.562499999736</v>
      </c>
      <c r="EF45" s="92">
        <f t="shared" ca="1" si="75"/>
        <v>16320.562499999736</v>
      </c>
      <c r="EG45" s="92">
        <f t="shared" ca="1" si="73"/>
        <v>16320.562499999736</v>
      </c>
      <c r="EH45" s="92">
        <f t="shared" ca="1" si="46"/>
        <v>16320.562499999736</v>
      </c>
      <c r="EI45" s="92">
        <f t="shared" ca="1" si="46"/>
        <v>16320.562499999736</v>
      </c>
      <c r="EL45" s="93">
        <f t="shared" ca="1" si="57"/>
        <v>105810.85740000001</v>
      </c>
      <c r="EM45" s="93">
        <f t="shared" ca="1" si="57"/>
        <v>187526.7</v>
      </c>
      <c r="EN45" s="92">
        <f t="shared" ca="1" si="83"/>
        <v>72375</v>
      </c>
      <c r="EO45" s="92">
        <f t="shared" ca="1" si="83"/>
        <v>72375</v>
      </c>
      <c r="EP45" s="92">
        <f t="shared" ca="1" si="83"/>
        <v>71195.287500000006</v>
      </c>
      <c r="EQ45" s="92">
        <f t="shared" ca="1" si="83"/>
        <v>71195.287500000006</v>
      </c>
      <c r="ER45" s="92">
        <f t="shared" ca="1" si="83"/>
        <v>113912.46</v>
      </c>
      <c r="ES45" s="92">
        <f t="shared" ca="1" si="83"/>
        <v>28478.115000000002</v>
      </c>
      <c r="ET45" s="92">
        <f t="shared" ca="1" si="83"/>
        <v>71195.287500000006</v>
      </c>
      <c r="EU45" s="92">
        <f t="shared" ca="1" si="83"/>
        <v>71195.287500000006</v>
      </c>
      <c r="EV45" s="92">
        <f t="shared" ca="1" si="83"/>
        <v>71195.287500000006</v>
      </c>
      <c r="EW45" s="92">
        <f t="shared" ca="1" si="83"/>
        <v>71195.287500000006</v>
      </c>
      <c r="EX45" s="92">
        <f t="shared" ca="1" si="83"/>
        <v>71195.287500000006</v>
      </c>
      <c r="EY45" s="92">
        <f t="shared" ca="1" si="83"/>
        <v>71195.287500000006</v>
      </c>
      <c r="EZ45" s="92">
        <f t="shared" ca="1" si="83"/>
        <v>72375</v>
      </c>
      <c r="FA45" s="92">
        <f t="shared" ca="1" si="83"/>
        <v>72375</v>
      </c>
      <c r="FB45" s="92">
        <f t="shared" ca="1" si="83"/>
        <v>72375</v>
      </c>
      <c r="FC45" s="92">
        <f t="shared" ca="1" si="82"/>
        <v>72375</v>
      </c>
      <c r="FD45" s="92">
        <f t="shared" ca="1" si="58"/>
        <v>94087.5</v>
      </c>
      <c r="FE45" s="92">
        <f t="shared" ca="1" si="58"/>
        <v>50662.5</v>
      </c>
      <c r="FF45" s="92">
        <f t="shared" ca="1" si="58"/>
        <v>72375</v>
      </c>
      <c r="FG45" s="92">
        <f t="shared" ca="1" si="58"/>
        <v>72375</v>
      </c>
      <c r="FH45" s="92">
        <f t="shared" ca="1" si="55"/>
        <v>0</v>
      </c>
      <c r="FI45" s="92">
        <f t="shared" ca="1" si="55"/>
        <v>0</v>
      </c>
      <c r="FJ45" s="92">
        <f t="shared" ca="1" si="55"/>
        <v>0</v>
      </c>
      <c r="FK45" s="92">
        <f t="shared" ca="1" si="55"/>
        <v>0</v>
      </c>
      <c r="FL45" s="92">
        <f t="shared" ca="1" si="55"/>
        <v>0</v>
      </c>
      <c r="FM45" s="92">
        <f t="shared" ca="1" si="55"/>
        <v>0</v>
      </c>
      <c r="FN45" s="94">
        <f t="shared" ca="1" si="86"/>
        <v>0</v>
      </c>
      <c r="FO45" s="94">
        <f t="shared" ca="1" si="87"/>
        <v>0</v>
      </c>
      <c r="FP45" s="95">
        <f t="shared" ca="1" si="59"/>
        <v>30.041060795713765</v>
      </c>
      <c r="FQ45" s="95">
        <f t="shared" ca="1" si="59"/>
        <v>30.019801980198022</v>
      </c>
      <c r="FR45" s="95">
        <f t="shared" ca="1" si="72"/>
        <v>7.62</v>
      </c>
      <c r="FS45" s="95">
        <f t="shared" ca="1" si="72"/>
        <v>0</v>
      </c>
      <c r="FT45" s="95">
        <f t="shared" ca="1" si="72"/>
        <v>0</v>
      </c>
      <c r="FU45" s="95">
        <f t="shared" ca="1" si="72"/>
        <v>71.424214699603525</v>
      </c>
      <c r="FV45" s="95">
        <f t="shared" ca="1" si="72"/>
        <v>22.720341567551081</v>
      </c>
      <c r="FW45" s="95">
        <f t="shared" ca="1" si="72"/>
        <v>39.188777066178709</v>
      </c>
      <c r="FX45" s="95">
        <f t="shared" ca="1" si="72"/>
        <v>22.445867642573955</v>
      </c>
      <c r="FY45" s="95">
        <f t="shared" ca="1" si="72"/>
        <v>400.85391887770658</v>
      </c>
      <c r="FZ45" s="95">
        <f t="shared" ca="1" si="72"/>
        <v>370.85391887770652</v>
      </c>
      <c r="GA45" s="95">
        <f t="shared" ca="1" si="72"/>
        <v>340.85391887770652</v>
      </c>
      <c r="GB45" s="95">
        <f t="shared" ca="1" si="72"/>
        <v>310.85391887770652</v>
      </c>
      <c r="GC45" s="95">
        <f t="shared" ca="1" si="72"/>
        <v>280.85391887770652</v>
      </c>
      <c r="GD45" s="95">
        <f t="shared" ca="1" si="72"/>
        <v>246.7649999999999</v>
      </c>
      <c r="GE45" s="95">
        <f t="shared" ca="1" si="72"/>
        <v>216.76499999999987</v>
      </c>
      <c r="GF45" s="95">
        <f t="shared" ca="1" si="72"/>
        <v>186.76499999999987</v>
      </c>
      <c r="GG45" s="95">
        <f t="shared" ca="1" si="72"/>
        <v>156.76499999999987</v>
      </c>
      <c r="GH45" s="95">
        <f t="shared" ca="1" si="41"/>
        <v>97.511538461538365</v>
      </c>
      <c r="GI45" s="95">
        <f t="shared" ca="1" si="41"/>
        <v>125.37857142857126</v>
      </c>
      <c r="GJ45" s="95">
        <f t="shared" ca="1" si="41"/>
        <v>66.764999999999887</v>
      </c>
      <c r="GK45" s="95">
        <f t="shared" ca="1" si="41"/>
        <v>36.764999999999894</v>
      </c>
      <c r="GL45" s="95">
        <f t="shared" ca="1" si="41"/>
        <v>0</v>
      </c>
      <c r="GM45" s="95">
        <f t="shared" ca="1" si="41"/>
        <v>0</v>
      </c>
      <c r="GN45" s="95">
        <f t="shared" ca="1" si="41"/>
        <v>0</v>
      </c>
      <c r="GO45" s="95">
        <f t="shared" ca="1" si="41"/>
        <v>0</v>
      </c>
      <c r="GP45" s="95">
        <f t="shared" ca="1" si="41"/>
        <v>0</v>
      </c>
      <c r="GQ45" s="95">
        <f t="shared" ca="1" si="41"/>
        <v>0</v>
      </c>
      <c r="GS45" s="7">
        <v>327.15583333333331</v>
      </c>
      <c r="GT45" s="96">
        <f t="shared" ca="1" si="76"/>
        <v>160911.59662500001</v>
      </c>
      <c r="GU45" s="96">
        <f t="shared" ca="1" si="76"/>
        <v>160911.59662500001</v>
      </c>
      <c r="GV45" s="96">
        <f t="shared" ca="1" si="76"/>
        <v>257458.5546</v>
      </c>
      <c r="GW45" s="96">
        <f t="shared" ca="1" si="76"/>
        <v>64364.638650000001</v>
      </c>
      <c r="GX45" s="96">
        <f t="shared" ca="1" si="76"/>
        <v>160911.59662500001</v>
      </c>
      <c r="GY45" s="96">
        <f t="shared" ca="1" si="76"/>
        <v>160911.59662500001</v>
      </c>
      <c r="GZ45" s="96">
        <f t="shared" ca="1" si="76"/>
        <v>160911.59662500001</v>
      </c>
      <c r="HA45" s="96">
        <f t="shared" ca="1" si="76"/>
        <v>160911.59662500001</v>
      </c>
      <c r="HB45" s="96">
        <f t="shared" ca="1" si="76"/>
        <v>160911.59662500001</v>
      </c>
      <c r="HC45" s="96">
        <f t="shared" ca="1" si="76"/>
        <v>160911.59662500001</v>
      </c>
      <c r="HD45" s="96">
        <f t="shared" ca="1" si="76"/>
        <v>163577.91666666666</v>
      </c>
      <c r="HE45" s="96">
        <f t="shared" ca="1" si="76"/>
        <v>163577.91666666666</v>
      </c>
      <c r="HF45" s="96">
        <f t="shared" ca="1" si="76"/>
        <v>163577.91666666666</v>
      </c>
      <c r="HG45" s="96">
        <f t="shared" ca="1" si="76"/>
        <v>163577.91666666666</v>
      </c>
      <c r="HH45" s="96">
        <f t="shared" ca="1" si="76"/>
        <v>212651.29166666666</v>
      </c>
      <c r="HI45" s="96">
        <f t="shared" ca="1" si="74"/>
        <v>114504.54166666666</v>
      </c>
      <c r="HJ45" s="96">
        <f t="shared" ca="1" si="48"/>
        <v>163577.91666666666</v>
      </c>
      <c r="HK45" s="96">
        <f t="shared" ca="1" si="48"/>
        <v>163577.91666666666</v>
      </c>
      <c r="HL45" s="96">
        <f t="shared" ca="1" si="48"/>
        <v>0</v>
      </c>
      <c r="HM45" s="96">
        <f t="shared" ca="1" si="48"/>
        <v>0</v>
      </c>
      <c r="HN45" s="96">
        <f t="shared" ca="1" si="48"/>
        <v>0</v>
      </c>
      <c r="HO45" s="96">
        <f t="shared" ca="1" si="48"/>
        <v>0</v>
      </c>
      <c r="HP45" s="96">
        <f t="shared" ca="1" si="48"/>
        <v>0</v>
      </c>
      <c r="HQ45" s="96">
        <f t="shared" ca="1" si="48"/>
        <v>0</v>
      </c>
      <c r="HS45" s="97">
        <f t="shared" ca="1" si="21"/>
        <v>0</v>
      </c>
    </row>
    <row r="46" spans="1:227" ht="17.25" thickTop="1" thickBot="1" x14ac:dyDescent="0.3">
      <c r="A46" s="102" t="s">
        <v>50</v>
      </c>
      <c r="B46" s="103" t="s">
        <v>404</v>
      </c>
      <c r="C46" s="73" t="s">
        <v>404</v>
      </c>
      <c r="D46" s="74" t="s">
        <v>0</v>
      </c>
      <c r="E46" s="74" t="s">
        <v>360</v>
      </c>
      <c r="F46" s="73"/>
      <c r="G46" s="75">
        <f t="shared" ca="1" si="85"/>
        <v>96</v>
      </c>
      <c r="H46" s="75">
        <v>137</v>
      </c>
      <c r="I46" s="75">
        <f t="shared" ca="1" si="78"/>
        <v>233</v>
      </c>
      <c r="J46" s="76">
        <f ca="1">[1]Parameters!$C$3+G46</f>
        <v>45927</v>
      </c>
      <c r="K46" s="77">
        <f t="shared" ca="1" si="23"/>
        <v>9</v>
      </c>
      <c r="L46" s="77">
        <f t="shared" ca="1" si="24"/>
        <v>2025</v>
      </c>
      <c r="M46" s="76">
        <f ca="1">[1]Parameters!$C$3+I46</f>
        <v>46064</v>
      </c>
      <c r="N46" s="77">
        <f t="shared" ca="1" si="25"/>
        <v>2</v>
      </c>
      <c r="O46" s="77">
        <f t="shared" ca="1" si="26"/>
        <v>2026</v>
      </c>
      <c r="P46" s="78">
        <v>0.95</v>
      </c>
      <c r="Q46" s="79" t="str">
        <f ca="1">VLOOKUP(A46,[1]ABC!A:G,7,0)</f>
        <v>B</v>
      </c>
      <c r="R46" s="80">
        <f t="shared" ca="1" si="9"/>
        <v>1.1947791353244752</v>
      </c>
      <c r="S46" s="81">
        <v>114.17</v>
      </c>
      <c r="T46" s="82">
        <f t="shared" ca="1" si="10"/>
        <v>400</v>
      </c>
      <c r="U46" s="83">
        <f t="shared" ca="1" si="84"/>
        <v>1500</v>
      </c>
      <c r="V46" s="80">
        <v>3400</v>
      </c>
      <c r="W46" s="80">
        <f t="shared" ca="1" si="27"/>
        <v>3400</v>
      </c>
      <c r="X46" s="101" t="s">
        <v>390</v>
      </c>
      <c r="Y46" s="84">
        <v>16.05</v>
      </c>
      <c r="Z46" s="85">
        <v>871</v>
      </c>
      <c r="AA46" s="85">
        <v>13</v>
      </c>
      <c r="AB46" s="85">
        <v>2</v>
      </c>
      <c r="AC46" s="85">
        <v>1034</v>
      </c>
      <c r="AD46" s="85">
        <v>308</v>
      </c>
      <c r="AE46" s="85">
        <v>341</v>
      </c>
      <c r="AF46" s="85">
        <v>584</v>
      </c>
      <c r="AG46" s="85">
        <v>318</v>
      </c>
      <c r="AH46" s="85">
        <v>316</v>
      </c>
      <c r="AI46" s="75">
        <v>6035</v>
      </c>
      <c r="AJ46" s="75">
        <f t="shared" ca="1" si="79"/>
        <v>5269.9</v>
      </c>
      <c r="AK46" s="75">
        <f t="shared" ca="1" si="79"/>
        <v>4504.7999999999993</v>
      </c>
      <c r="AL46" s="75">
        <f t="shared" ca="1" si="79"/>
        <v>3739.6999999999994</v>
      </c>
      <c r="AM46" s="75">
        <f t="shared" ca="1" si="79"/>
        <v>2974.5999999999995</v>
      </c>
      <c r="AN46" s="75">
        <f t="shared" ca="1" si="79"/>
        <v>5609.4999999999991</v>
      </c>
      <c r="AO46" s="75">
        <f t="shared" ca="1" si="79"/>
        <v>4909.4999999999991</v>
      </c>
      <c r="AP46" s="75">
        <f t="shared" ca="1" si="79"/>
        <v>4209.4999999999991</v>
      </c>
      <c r="AQ46" s="75">
        <f t="shared" ca="1" si="79"/>
        <v>3509.4999999999991</v>
      </c>
      <c r="AR46" s="75">
        <f t="shared" ca="1" si="79"/>
        <v>2809.4999999999991</v>
      </c>
      <c r="AS46" s="75">
        <f t="shared" ca="1" si="79"/>
        <v>1899.4999999999991</v>
      </c>
      <c r="AT46" s="75">
        <f t="shared" ca="1" si="79"/>
        <v>1409.4999999999991</v>
      </c>
      <c r="AU46" s="75">
        <f t="shared" ca="1" si="79"/>
        <v>709.49999999999909</v>
      </c>
      <c r="AV46" s="75">
        <f t="shared" ca="1" si="79"/>
        <v>9.4999999999990905</v>
      </c>
      <c r="AW46" s="75">
        <f t="shared" ca="1" si="79"/>
        <v>9.4999999999990905</v>
      </c>
      <c r="AX46" s="75">
        <f t="shared" ca="1" si="79"/>
        <v>9.4999999999990905</v>
      </c>
      <c r="AY46" s="75">
        <f t="shared" ca="1" si="54"/>
        <v>9.4999999999990905</v>
      </c>
      <c r="AZ46" s="75">
        <f t="shared" ca="1" si="12"/>
        <v>9.4999999999990905</v>
      </c>
      <c r="BA46" s="75">
        <f t="shared" ca="1" si="12"/>
        <v>9.4999999999990905</v>
      </c>
      <c r="BB46" s="166"/>
      <c r="BC46" s="86">
        <v>868.33</v>
      </c>
      <c r="BD46" s="86">
        <v>1</v>
      </c>
      <c r="BE46" s="86">
        <v>0</v>
      </c>
      <c r="BF46" s="86">
        <v>800</v>
      </c>
      <c r="BG46" s="86">
        <v>0</v>
      </c>
      <c r="BH46" s="86">
        <v>765.1</v>
      </c>
      <c r="BI46" s="86">
        <v>1098.4649999999999</v>
      </c>
      <c r="BJ46" s="86">
        <v>229.53</v>
      </c>
      <c r="BK46" s="86">
        <v>765.1</v>
      </c>
      <c r="BL46" s="86">
        <v>765.1</v>
      </c>
      <c r="BM46" s="86">
        <v>765.1</v>
      </c>
      <c r="BN46" s="86">
        <v>765.1</v>
      </c>
      <c r="BO46" s="86">
        <v>765.1</v>
      </c>
      <c r="BP46" s="86">
        <v>765.1</v>
      </c>
      <c r="BQ46" s="86">
        <v>700</v>
      </c>
      <c r="BR46" s="86">
        <v>700</v>
      </c>
      <c r="BS46" s="86">
        <v>700</v>
      </c>
      <c r="BT46" s="86">
        <v>700</v>
      </c>
      <c r="BU46" s="86">
        <v>910</v>
      </c>
      <c r="BV46" s="86">
        <v>490</v>
      </c>
      <c r="BW46" s="86">
        <f ca="1">VLOOKUP(A46,[3]Export!$B:$Q,16,0)</f>
        <v>700</v>
      </c>
      <c r="BX46" s="86">
        <v>700</v>
      </c>
      <c r="BY46" s="86">
        <v>0</v>
      </c>
      <c r="BZ46" s="86">
        <v>0</v>
      </c>
      <c r="CA46" s="86">
        <v>0</v>
      </c>
      <c r="CB46" s="86">
        <v>0</v>
      </c>
      <c r="CC46" s="86">
        <v>0</v>
      </c>
      <c r="CD46" s="86">
        <v>0</v>
      </c>
      <c r="CE46" s="86">
        <f t="shared" ca="1" si="28"/>
        <v>91.851343108139872</v>
      </c>
      <c r="CF46" s="87"/>
      <c r="CG46" s="86">
        <v>0</v>
      </c>
      <c r="CH46" s="86">
        <v>0</v>
      </c>
      <c r="CI46" s="86">
        <v>0</v>
      </c>
      <c r="CJ46" s="86">
        <v>0</v>
      </c>
      <c r="CK46" s="86">
        <v>0</v>
      </c>
      <c r="CL46" s="86">
        <v>0</v>
      </c>
      <c r="CM46" s="86">
        <v>0</v>
      </c>
      <c r="CN46" s="86">
        <v>0</v>
      </c>
      <c r="CO46" s="104">
        <v>0</v>
      </c>
      <c r="CP46" s="104">
        <v>0</v>
      </c>
      <c r="CQ46" s="105">
        <v>0</v>
      </c>
      <c r="CR46" s="99">
        <v>0</v>
      </c>
      <c r="CS46" s="99">
        <v>3400</v>
      </c>
      <c r="CT46" s="99">
        <v>0</v>
      </c>
      <c r="CU46" s="86">
        <v>0</v>
      </c>
      <c r="CV46" s="86">
        <v>0</v>
      </c>
      <c r="CW46" s="86">
        <v>0</v>
      </c>
      <c r="CX46" s="86">
        <v>0</v>
      </c>
      <c r="CY46" s="86">
        <v>0</v>
      </c>
      <c r="CZ46" s="86">
        <v>0</v>
      </c>
      <c r="DA46" s="86">
        <v>0</v>
      </c>
      <c r="DB46" s="86">
        <v>0</v>
      </c>
      <c r="DC46" s="86">
        <v>0</v>
      </c>
      <c r="DD46" s="86">
        <v>0</v>
      </c>
      <c r="DE46" s="86">
        <v>0</v>
      </c>
      <c r="DF46" s="86">
        <v>0</v>
      </c>
      <c r="DG46" s="86">
        <v>0</v>
      </c>
      <c r="DI46" s="91">
        <f ca="1">VLOOKUP(A46,'[2]2-Relatório'!$A:$J,9,0)</f>
        <v>139.61000000000001</v>
      </c>
      <c r="DJ46" s="92">
        <f t="shared" ref="DJ46:DW74" ca="1" si="89">AB46*$DI46</f>
        <v>279.22000000000003</v>
      </c>
      <c r="DK46" s="92">
        <f t="shared" ca="1" si="89"/>
        <v>144356.74000000002</v>
      </c>
      <c r="DL46" s="92">
        <f t="shared" ca="1" si="89"/>
        <v>42999.880000000005</v>
      </c>
      <c r="DM46" s="92">
        <f t="shared" ca="1" si="89"/>
        <v>47607.01</v>
      </c>
      <c r="DN46" s="92">
        <f t="shared" ca="1" si="89"/>
        <v>81532.240000000005</v>
      </c>
      <c r="DO46" s="92">
        <f t="shared" ca="1" si="89"/>
        <v>44395.98</v>
      </c>
      <c r="DP46" s="92">
        <f t="shared" ca="1" si="89"/>
        <v>44116.76</v>
      </c>
      <c r="DQ46" s="92">
        <f t="shared" ca="1" si="88"/>
        <v>842546.35000000009</v>
      </c>
      <c r="DR46" s="92">
        <f t="shared" ca="1" si="88"/>
        <v>735730.73900000006</v>
      </c>
      <c r="DS46" s="92">
        <f t="shared" ca="1" si="88"/>
        <v>628915.12799999991</v>
      </c>
      <c r="DT46" s="92">
        <f t="shared" ca="1" si="88"/>
        <v>522099.51699999993</v>
      </c>
      <c r="DU46" s="92">
        <f t="shared" ca="1" si="88"/>
        <v>415283.90599999996</v>
      </c>
      <c r="DV46" s="92">
        <f t="shared" ca="1" si="88"/>
        <v>783142.29499999993</v>
      </c>
      <c r="DW46" s="92">
        <f t="shared" ca="1" si="88"/>
        <v>685415.29499999993</v>
      </c>
      <c r="DX46" s="92">
        <f t="shared" ca="1" si="88"/>
        <v>587688.29499999993</v>
      </c>
      <c r="DY46" s="92">
        <f t="shared" ca="1" si="88"/>
        <v>489961.29499999993</v>
      </c>
      <c r="DZ46" s="92">
        <f t="shared" ca="1" si="75"/>
        <v>392234.29499999993</v>
      </c>
      <c r="EA46" s="92">
        <f t="shared" ca="1" si="75"/>
        <v>265189.19499999989</v>
      </c>
      <c r="EB46" s="92">
        <f t="shared" ca="1" si="75"/>
        <v>196780.2949999999</v>
      </c>
      <c r="EC46" s="92">
        <f t="shared" ca="1" si="75"/>
        <v>99053.294999999882</v>
      </c>
      <c r="ED46" s="92">
        <f t="shared" ca="1" si="75"/>
        <v>1326.2949999998732</v>
      </c>
      <c r="EE46" s="92">
        <f t="shared" ca="1" si="75"/>
        <v>1326.2949999998732</v>
      </c>
      <c r="EF46" s="92">
        <f t="shared" ca="1" si="75"/>
        <v>1326.2949999998732</v>
      </c>
      <c r="EG46" s="92">
        <f t="shared" ca="1" si="73"/>
        <v>1326.2949999998732</v>
      </c>
      <c r="EH46" s="92">
        <f t="shared" ca="1" si="46"/>
        <v>1326.2949999998732</v>
      </c>
      <c r="EI46" s="92">
        <f t="shared" ca="1" si="46"/>
        <v>1326.2949999998732</v>
      </c>
      <c r="EL46" s="93">
        <f t="shared" ca="1" si="57"/>
        <v>99137.236100000009</v>
      </c>
      <c r="EM46" s="93">
        <f t="shared" ca="1" si="57"/>
        <v>114.17</v>
      </c>
      <c r="EN46" s="92">
        <f t="shared" ca="1" si="83"/>
        <v>0</v>
      </c>
      <c r="EO46" s="92">
        <f t="shared" ca="1" si="83"/>
        <v>111688.00000000001</v>
      </c>
      <c r="EP46" s="92">
        <f t="shared" ca="1" si="83"/>
        <v>0</v>
      </c>
      <c r="EQ46" s="92">
        <f t="shared" ca="1" si="83"/>
        <v>106815.61100000002</v>
      </c>
      <c r="ER46" s="92">
        <f t="shared" ca="1" si="83"/>
        <v>153356.69865000001</v>
      </c>
      <c r="ES46" s="92">
        <f t="shared" ca="1" si="83"/>
        <v>32044.683300000004</v>
      </c>
      <c r="ET46" s="92">
        <f t="shared" ca="1" si="83"/>
        <v>106815.61100000002</v>
      </c>
      <c r="EU46" s="92">
        <f t="shared" ca="1" si="83"/>
        <v>106815.61100000002</v>
      </c>
      <c r="EV46" s="92">
        <f t="shared" ca="1" si="83"/>
        <v>106815.61100000002</v>
      </c>
      <c r="EW46" s="92">
        <f t="shared" ca="1" si="83"/>
        <v>106815.61100000002</v>
      </c>
      <c r="EX46" s="92">
        <f t="shared" ca="1" si="83"/>
        <v>106815.61100000002</v>
      </c>
      <c r="EY46" s="92">
        <f t="shared" ca="1" si="83"/>
        <v>106815.61100000002</v>
      </c>
      <c r="EZ46" s="92">
        <f t="shared" ca="1" si="83"/>
        <v>97727.000000000015</v>
      </c>
      <c r="FA46" s="92">
        <f t="shared" ca="1" si="83"/>
        <v>97727.000000000015</v>
      </c>
      <c r="FB46" s="92">
        <f t="shared" ca="1" si="83"/>
        <v>97727.000000000015</v>
      </c>
      <c r="FC46" s="92">
        <f t="shared" ca="1" si="82"/>
        <v>97727.000000000015</v>
      </c>
      <c r="FD46" s="92">
        <f t="shared" ca="1" si="58"/>
        <v>127045.1</v>
      </c>
      <c r="FE46" s="92">
        <f t="shared" ca="1" si="58"/>
        <v>68408.900000000009</v>
      </c>
      <c r="FF46" s="92">
        <f t="shared" ca="1" si="58"/>
        <v>97727.000000000015</v>
      </c>
      <c r="FG46" s="92">
        <f t="shared" ca="1" si="58"/>
        <v>97727.000000000015</v>
      </c>
      <c r="FH46" s="92">
        <f t="shared" ca="1" si="55"/>
        <v>0</v>
      </c>
      <c r="FI46" s="92">
        <f t="shared" ca="1" si="55"/>
        <v>0</v>
      </c>
      <c r="FJ46" s="92">
        <f t="shared" ca="1" si="55"/>
        <v>0</v>
      </c>
      <c r="FK46" s="92">
        <f t="shared" ca="1" si="55"/>
        <v>0</v>
      </c>
      <c r="FL46" s="92">
        <f t="shared" ca="1" si="55"/>
        <v>0</v>
      </c>
      <c r="FM46" s="92">
        <f t="shared" ca="1" si="55"/>
        <v>0</v>
      </c>
      <c r="FN46" s="94">
        <f t="shared" ca="1" si="86"/>
        <v>3400</v>
      </c>
      <c r="FO46" s="94">
        <f t="shared" ca="1" si="87"/>
        <v>0</v>
      </c>
      <c r="FP46" s="95">
        <f t="shared" ca="1" si="59"/>
        <v>30.092246035493414</v>
      </c>
      <c r="FQ46" s="95">
        <f t="shared" ca="1" si="59"/>
        <v>390</v>
      </c>
      <c r="FR46" s="95">
        <f t="shared" ca="1" si="72"/>
        <v>0</v>
      </c>
      <c r="FS46" s="95">
        <f t="shared" ca="1" si="72"/>
        <v>38.774999999999999</v>
      </c>
      <c r="FT46" s="95">
        <f t="shared" ca="1" si="72"/>
        <v>0</v>
      </c>
      <c r="FU46" s="95">
        <f t="shared" ca="1" si="72"/>
        <v>13.370801202457194</v>
      </c>
      <c r="FV46" s="95">
        <f t="shared" ca="1" si="72"/>
        <v>15.949529570810176</v>
      </c>
      <c r="FW46" s="95">
        <f t="shared" ca="1" si="72"/>
        <v>41.563194353679258</v>
      </c>
      <c r="FX46" s="95">
        <f t="shared" ca="1" si="72"/>
        <v>12.39053718468174</v>
      </c>
      <c r="FY46" s="95">
        <f t="shared" ca="1" si="72"/>
        <v>236.63573389099463</v>
      </c>
      <c r="FZ46" s="95">
        <f t="shared" ca="1" si="72"/>
        <v>206.63573389099463</v>
      </c>
      <c r="GA46" s="95">
        <f t="shared" ca="1" si="72"/>
        <v>176.63573389099457</v>
      </c>
      <c r="GB46" s="95">
        <f t="shared" ca="1" si="72"/>
        <v>146.6357338909946</v>
      </c>
      <c r="GC46" s="95">
        <f t="shared" ca="1" si="72"/>
        <v>116.6357338909946</v>
      </c>
      <c r="GD46" s="95">
        <f t="shared" ca="1" si="72"/>
        <v>240.40714285714279</v>
      </c>
      <c r="GE46" s="95">
        <f t="shared" ca="1" si="72"/>
        <v>210.40714285714282</v>
      </c>
      <c r="GF46" s="95">
        <f t="shared" ca="1" si="72"/>
        <v>180.40714285714282</v>
      </c>
      <c r="GG46" s="95">
        <f t="shared" ref="GG46:GH74" ca="1" si="90">IFERROR((DY46/FC46)*30,0)</f>
        <v>150.40714285714282</v>
      </c>
      <c r="GH46" s="95">
        <f t="shared" ca="1" si="41"/>
        <v>92.620879120879096</v>
      </c>
      <c r="GI46" s="95">
        <f t="shared" ca="1" si="41"/>
        <v>116.29591836734687</v>
      </c>
      <c r="GJ46" s="95">
        <f t="shared" ca="1" si="41"/>
        <v>60.407142857142809</v>
      </c>
      <c r="GK46" s="95">
        <f t="shared" ca="1" si="41"/>
        <v>30.407142857142816</v>
      </c>
      <c r="GL46" s="95">
        <f t="shared" ca="1" si="41"/>
        <v>0</v>
      </c>
      <c r="GM46" s="95">
        <f t="shared" ca="1" si="41"/>
        <v>0</v>
      </c>
      <c r="GN46" s="95">
        <f t="shared" ca="1" si="41"/>
        <v>0</v>
      </c>
      <c r="GO46" s="95">
        <f t="shared" ca="1" si="41"/>
        <v>0</v>
      </c>
      <c r="GP46" s="95">
        <f t="shared" ca="1" si="41"/>
        <v>0</v>
      </c>
      <c r="GQ46" s="95">
        <f t="shared" ca="1" si="41"/>
        <v>0</v>
      </c>
      <c r="GS46" s="7">
        <v>394.99416666666662</v>
      </c>
      <c r="GT46" s="96">
        <f t="shared" ca="1" si="76"/>
        <v>0</v>
      </c>
      <c r="GU46" s="96">
        <f t="shared" ca="1" si="76"/>
        <v>302210.03691666666</v>
      </c>
      <c r="GV46" s="96">
        <f t="shared" ca="1" si="76"/>
        <v>433887.26728749991</v>
      </c>
      <c r="GW46" s="96">
        <f t="shared" ca="1" si="76"/>
        <v>90663.011074999988</v>
      </c>
      <c r="GX46" s="96">
        <f t="shared" ca="1" si="76"/>
        <v>302210.03691666666</v>
      </c>
      <c r="GY46" s="96">
        <f t="shared" ca="1" si="76"/>
        <v>302210.03691666666</v>
      </c>
      <c r="GZ46" s="96">
        <f t="shared" ca="1" si="76"/>
        <v>302210.03691666666</v>
      </c>
      <c r="HA46" s="96">
        <f t="shared" ca="1" si="76"/>
        <v>302210.03691666666</v>
      </c>
      <c r="HB46" s="96">
        <f t="shared" ca="1" si="76"/>
        <v>302210.03691666666</v>
      </c>
      <c r="HC46" s="96">
        <f t="shared" ca="1" si="76"/>
        <v>302210.03691666666</v>
      </c>
      <c r="HD46" s="96">
        <f t="shared" ca="1" si="76"/>
        <v>276495.91666666663</v>
      </c>
      <c r="HE46" s="96">
        <f t="shared" ca="1" si="76"/>
        <v>276495.91666666663</v>
      </c>
      <c r="HF46" s="96">
        <f t="shared" ca="1" si="76"/>
        <v>276495.91666666663</v>
      </c>
      <c r="HG46" s="96">
        <f t="shared" ca="1" si="76"/>
        <v>276495.91666666663</v>
      </c>
      <c r="HH46" s="96">
        <f t="shared" ca="1" si="76"/>
        <v>359444.69166666659</v>
      </c>
      <c r="HI46" s="96">
        <f t="shared" ca="1" si="74"/>
        <v>193547.14166666663</v>
      </c>
      <c r="HJ46" s="96">
        <f t="shared" ca="1" si="48"/>
        <v>276495.91666666663</v>
      </c>
      <c r="HK46" s="96">
        <f t="shared" ca="1" si="48"/>
        <v>276495.91666666663</v>
      </c>
      <c r="HL46" s="96">
        <f t="shared" ca="1" si="48"/>
        <v>0</v>
      </c>
      <c r="HM46" s="96">
        <f t="shared" ca="1" si="48"/>
        <v>0</v>
      </c>
      <c r="HN46" s="96">
        <f t="shared" ca="1" si="48"/>
        <v>0</v>
      </c>
      <c r="HO46" s="96">
        <f t="shared" ca="1" si="48"/>
        <v>0</v>
      </c>
      <c r="HP46" s="96">
        <f t="shared" ca="1" si="48"/>
        <v>0</v>
      </c>
      <c r="HQ46" s="96">
        <f t="shared" ca="1" si="48"/>
        <v>0</v>
      </c>
      <c r="HS46" s="97">
        <f t="shared" ca="1" si="21"/>
        <v>121658.20333333332</v>
      </c>
    </row>
    <row r="47" spans="1:227" ht="17.25" thickTop="1" thickBot="1" x14ac:dyDescent="0.3">
      <c r="A47" s="123" t="s">
        <v>405</v>
      </c>
      <c r="B47" s="124" t="s">
        <v>406</v>
      </c>
      <c r="C47" s="124" t="s">
        <v>407</v>
      </c>
      <c r="D47" s="125" t="s">
        <v>0</v>
      </c>
      <c r="E47" s="125" t="s">
        <v>349</v>
      </c>
      <c r="F47" s="73"/>
      <c r="G47" s="75">
        <f t="shared" ref="G47:G52" ca="1" si="91">127+6</f>
        <v>133</v>
      </c>
      <c r="H47" s="75">
        <v>133</v>
      </c>
      <c r="I47" s="75">
        <f t="shared" ca="1" si="78"/>
        <v>266</v>
      </c>
      <c r="J47" s="76">
        <f ca="1">[1]Parameters!$C$3+G47</f>
        <v>45964</v>
      </c>
      <c r="K47" s="77">
        <f t="shared" ca="1" si="23"/>
        <v>11</v>
      </c>
      <c r="L47" s="77">
        <f t="shared" ca="1" si="24"/>
        <v>2025</v>
      </c>
      <c r="M47" s="76">
        <f ca="1">[1]Parameters!$C$3+I47</f>
        <v>46097</v>
      </c>
      <c r="N47" s="77">
        <f t="shared" ca="1" si="25"/>
        <v>3</v>
      </c>
      <c r="O47" s="77">
        <f t="shared" ca="1" si="26"/>
        <v>2026</v>
      </c>
      <c r="P47" s="78">
        <v>0.95</v>
      </c>
      <c r="Q47" s="79" t="e">
        <f ca="1">VLOOKUP(A47,[1]ABC!A:G,7,0)</f>
        <v>#N/A</v>
      </c>
      <c r="R47" s="80">
        <f t="shared" ca="1" si="9"/>
        <v>0</v>
      </c>
      <c r="S47" s="120">
        <v>43.43</v>
      </c>
      <c r="T47" s="82">
        <f t="shared" ca="1" si="10"/>
        <v>6900</v>
      </c>
      <c r="U47" s="83">
        <f t="shared" ca="1" si="84"/>
        <v>6900</v>
      </c>
      <c r="V47" s="80">
        <v>2640</v>
      </c>
      <c r="W47" s="80">
        <f t="shared" ca="1" si="27"/>
        <v>7920</v>
      </c>
      <c r="X47" s="101" t="s">
        <v>350</v>
      </c>
      <c r="Y47" s="126">
        <v>9.3000000000000007</v>
      </c>
      <c r="Z47" s="85">
        <v>0</v>
      </c>
      <c r="AA47" s="85">
        <v>0</v>
      </c>
      <c r="AB47" s="85">
        <v>0</v>
      </c>
      <c r="AC47" s="85">
        <v>0</v>
      </c>
      <c r="AD47" s="85">
        <v>0</v>
      </c>
      <c r="AE47" s="85">
        <v>0</v>
      </c>
      <c r="AF47" s="85">
        <v>0</v>
      </c>
      <c r="AG47" s="85">
        <v>0</v>
      </c>
      <c r="AH47" s="85">
        <v>0</v>
      </c>
      <c r="AI47" s="75">
        <v>0</v>
      </c>
      <c r="AJ47" s="75">
        <f t="shared" ca="1" si="79"/>
        <v>0</v>
      </c>
      <c r="AK47" s="75">
        <f t="shared" ca="1" si="79"/>
        <v>0</v>
      </c>
      <c r="AL47" s="75">
        <f t="shared" ca="1" si="79"/>
        <v>0</v>
      </c>
      <c r="AM47" s="75">
        <f t="shared" ca="1" si="79"/>
        <v>0</v>
      </c>
      <c r="AN47" s="75">
        <f t="shared" ca="1" si="79"/>
        <v>0</v>
      </c>
      <c r="AO47" s="75">
        <f t="shared" ca="1" si="79"/>
        <v>8400</v>
      </c>
      <c r="AP47" s="75">
        <f t="shared" ca="1" si="79"/>
        <v>8400</v>
      </c>
      <c r="AQ47" s="75">
        <f t="shared" ca="1" si="79"/>
        <v>5996</v>
      </c>
      <c r="AR47" s="75">
        <f t="shared" ca="1" si="79"/>
        <v>3472</v>
      </c>
      <c r="AS47" s="75">
        <f t="shared" ca="1" si="79"/>
        <v>399</v>
      </c>
      <c r="AT47" s="75">
        <f t="shared" ca="1" si="79"/>
        <v>0</v>
      </c>
      <c r="AU47" s="75">
        <f t="shared" ca="1" si="79"/>
        <v>0</v>
      </c>
      <c r="AV47" s="75">
        <f t="shared" ca="1" si="79"/>
        <v>0</v>
      </c>
      <c r="AW47" s="75">
        <f t="shared" ca="1" si="79"/>
        <v>0</v>
      </c>
      <c r="AX47" s="75">
        <f t="shared" ca="1" si="79"/>
        <v>0</v>
      </c>
      <c r="AY47" s="75">
        <f t="shared" ca="1" si="54"/>
        <v>0</v>
      </c>
      <c r="AZ47" s="75">
        <f t="shared" ca="1" si="12"/>
        <v>0</v>
      </c>
      <c r="BA47" s="75">
        <f t="shared" ca="1" si="12"/>
        <v>0</v>
      </c>
      <c r="BB47" s="166"/>
      <c r="BC47" s="86">
        <v>5280</v>
      </c>
      <c r="BD47" s="86">
        <v>0</v>
      </c>
      <c r="BE47" s="86">
        <v>0</v>
      </c>
      <c r="BF47" s="86">
        <v>0</v>
      </c>
      <c r="BG47" s="86">
        <v>0</v>
      </c>
      <c r="BH47" s="86">
        <v>0</v>
      </c>
      <c r="BI47" s="86">
        <v>0</v>
      </c>
      <c r="BJ47" s="86">
        <v>0</v>
      </c>
      <c r="BK47" s="86">
        <v>0</v>
      </c>
      <c r="BL47" s="86">
        <v>0</v>
      </c>
      <c r="BM47" s="86">
        <v>0</v>
      </c>
      <c r="BN47" s="86">
        <v>0</v>
      </c>
      <c r="BO47" s="86">
        <v>0</v>
      </c>
      <c r="BP47" s="86">
        <v>0</v>
      </c>
      <c r="BQ47" s="86">
        <v>0</v>
      </c>
      <c r="BR47" s="86">
        <v>0</v>
      </c>
      <c r="BS47" s="86">
        <v>2404</v>
      </c>
      <c r="BT47" s="86">
        <v>2524</v>
      </c>
      <c r="BU47" s="86">
        <v>3073</v>
      </c>
      <c r="BV47" s="86">
        <v>2750</v>
      </c>
      <c r="BW47" s="86">
        <v>2685</v>
      </c>
      <c r="BX47" s="86">
        <v>2808</v>
      </c>
      <c r="BY47" s="86">
        <v>3024</v>
      </c>
      <c r="BZ47" s="86">
        <v>2771</v>
      </c>
      <c r="CA47" s="86">
        <v>2991</v>
      </c>
      <c r="CB47" s="86">
        <v>2472</v>
      </c>
      <c r="CC47" s="86">
        <v>3256</v>
      </c>
      <c r="CD47" s="86">
        <v>3424</v>
      </c>
      <c r="CE47" s="86">
        <f t="shared" ca="1" si="28"/>
        <v>1412.8047526925895</v>
      </c>
      <c r="CF47" s="87"/>
      <c r="CG47" s="86">
        <v>0</v>
      </c>
      <c r="CH47" s="86">
        <v>0</v>
      </c>
      <c r="CI47" s="86">
        <v>0</v>
      </c>
      <c r="CJ47" s="86">
        <v>0</v>
      </c>
      <c r="CK47" s="86">
        <v>0</v>
      </c>
      <c r="CL47" s="86">
        <v>0</v>
      </c>
      <c r="CM47" s="86">
        <v>0</v>
      </c>
      <c r="CN47" s="86">
        <v>0</v>
      </c>
      <c r="CO47" s="86">
        <v>0</v>
      </c>
      <c r="CP47" s="86">
        <v>0</v>
      </c>
      <c r="CQ47" s="86">
        <v>0</v>
      </c>
      <c r="CR47" s="86">
        <v>0</v>
      </c>
      <c r="CS47" s="86">
        <v>0</v>
      </c>
      <c r="CT47" s="86">
        <f ca="1">2100*4</f>
        <v>8400</v>
      </c>
      <c r="CU47" s="86">
        <v>0</v>
      </c>
      <c r="CV47" s="86">
        <v>0</v>
      </c>
      <c r="CW47" s="86">
        <v>0</v>
      </c>
      <c r="CX47" s="90">
        <v>0</v>
      </c>
      <c r="CY47" s="86">
        <v>0</v>
      </c>
      <c r="CZ47" s="86">
        <v>0</v>
      </c>
      <c r="DA47" s="86">
        <v>0</v>
      </c>
      <c r="DB47" s="86">
        <v>0</v>
      </c>
      <c r="DC47" s="86">
        <v>0</v>
      </c>
      <c r="DD47" s="86">
        <v>0</v>
      </c>
      <c r="DE47" s="86">
        <v>0</v>
      </c>
      <c r="DF47" s="86">
        <v>0</v>
      </c>
      <c r="DG47" s="86">
        <v>0</v>
      </c>
      <c r="DI47" s="91" t="e">
        <f ca="1">VLOOKUP(A47,'[2]2-Relatório'!$A:$J,9,0)</f>
        <v>#N/A</v>
      </c>
      <c r="DJ47" s="92">
        <v>0</v>
      </c>
      <c r="DK47" s="92">
        <v>0</v>
      </c>
      <c r="DL47" s="92">
        <v>0</v>
      </c>
      <c r="DM47" s="92">
        <v>0</v>
      </c>
      <c r="DN47" s="92">
        <v>0</v>
      </c>
      <c r="DO47" s="92">
        <v>0</v>
      </c>
      <c r="DP47" s="92">
        <v>0</v>
      </c>
      <c r="DQ47" s="92">
        <v>0</v>
      </c>
      <c r="DR47" s="92">
        <v>0</v>
      </c>
      <c r="DS47" s="92">
        <v>0</v>
      </c>
      <c r="DT47" s="92">
        <v>0</v>
      </c>
      <c r="DU47" s="92">
        <v>0</v>
      </c>
      <c r="DV47" s="92">
        <v>0</v>
      </c>
      <c r="DW47" s="92">
        <v>0</v>
      </c>
      <c r="DX47" s="92">
        <v>0</v>
      </c>
      <c r="DY47" s="92">
        <v>0</v>
      </c>
      <c r="DZ47" s="92">
        <v>0</v>
      </c>
      <c r="EA47" s="92">
        <v>0</v>
      </c>
      <c r="EB47" s="92">
        <v>0</v>
      </c>
      <c r="EC47" s="92">
        <v>0</v>
      </c>
      <c r="ED47" s="92">
        <v>0</v>
      </c>
      <c r="EE47" s="92">
        <v>0</v>
      </c>
      <c r="EF47" s="92">
        <v>0</v>
      </c>
      <c r="EG47" s="92">
        <v>0</v>
      </c>
      <c r="EH47" s="92">
        <v>0</v>
      </c>
      <c r="EI47" s="92">
        <v>0</v>
      </c>
      <c r="EL47" s="93">
        <f t="shared" ca="1" si="57"/>
        <v>229310.4</v>
      </c>
      <c r="EM47" s="93">
        <f t="shared" ca="1" si="57"/>
        <v>0</v>
      </c>
      <c r="EN47" s="92">
        <f ca="1">IFERROR($DI47*BE47,0)</f>
        <v>0</v>
      </c>
      <c r="EO47" s="92">
        <f t="shared" ref="EO47:FM47" ca="1" si="92">IFERROR($DI47*BF47,0)</f>
        <v>0</v>
      </c>
      <c r="EP47" s="92">
        <f t="shared" ca="1" si="92"/>
        <v>0</v>
      </c>
      <c r="EQ47" s="92">
        <f t="shared" ca="1" si="92"/>
        <v>0</v>
      </c>
      <c r="ER47" s="92">
        <f t="shared" ca="1" si="92"/>
        <v>0</v>
      </c>
      <c r="ES47" s="92">
        <f t="shared" ca="1" si="92"/>
        <v>0</v>
      </c>
      <c r="ET47" s="92">
        <f t="shared" ca="1" si="92"/>
        <v>0</v>
      </c>
      <c r="EU47" s="92">
        <f t="shared" ca="1" si="92"/>
        <v>0</v>
      </c>
      <c r="EV47" s="92">
        <f t="shared" ca="1" si="92"/>
        <v>0</v>
      </c>
      <c r="EW47" s="92">
        <f t="shared" ca="1" si="92"/>
        <v>0</v>
      </c>
      <c r="EX47" s="92">
        <f t="shared" ca="1" si="92"/>
        <v>0</v>
      </c>
      <c r="EY47" s="92">
        <f t="shared" ca="1" si="92"/>
        <v>0</v>
      </c>
      <c r="EZ47" s="92">
        <f t="shared" ca="1" si="92"/>
        <v>0</v>
      </c>
      <c r="FA47" s="92">
        <f t="shared" ca="1" si="92"/>
        <v>0</v>
      </c>
      <c r="FB47" s="92">
        <f t="shared" ca="1" si="92"/>
        <v>0</v>
      </c>
      <c r="FC47" s="92">
        <f t="shared" ca="1" si="92"/>
        <v>0</v>
      </c>
      <c r="FD47" s="92">
        <f t="shared" ca="1" si="92"/>
        <v>0</v>
      </c>
      <c r="FE47" s="92">
        <f t="shared" ca="1" si="92"/>
        <v>0</v>
      </c>
      <c r="FF47" s="92">
        <f t="shared" ca="1" si="92"/>
        <v>0</v>
      </c>
      <c r="FG47" s="92">
        <f t="shared" ca="1" si="92"/>
        <v>0</v>
      </c>
      <c r="FH47" s="92">
        <f t="shared" ca="1" si="92"/>
        <v>0</v>
      </c>
      <c r="FI47" s="92">
        <f t="shared" ca="1" si="92"/>
        <v>0</v>
      </c>
      <c r="FJ47" s="92">
        <f t="shared" ca="1" si="92"/>
        <v>0</v>
      </c>
      <c r="FK47" s="92">
        <f t="shared" ca="1" si="92"/>
        <v>0</v>
      </c>
      <c r="FL47" s="92">
        <f t="shared" ca="1" si="92"/>
        <v>0</v>
      </c>
      <c r="FM47" s="92">
        <f t="shared" ca="1" si="92"/>
        <v>0</v>
      </c>
      <c r="FN47" s="94">
        <f t="shared" ref="FN47:FN52" ca="1" si="93">SUM(CO47:CU47)</f>
        <v>8400</v>
      </c>
      <c r="FO47" s="94">
        <f t="shared" ref="FO47:FO52" ca="1" si="94">SUM(CV47:DA47)</f>
        <v>0</v>
      </c>
      <c r="FP47" s="95"/>
      <c r="FQ47" s="95"/>
      <c r="FR47" s="95"/>
      <c r="FS47" s="95"/>
      <c r="FT47" s="95"/>
      <c r="FU47" s="95"/>
      <c r="FV47" s="95"/>
      <c r="FW47" s="95">
        <f t="shared" ref="FW47:GF62" ca="1" si="95">IFERROR((DO47/ES47)*30,0)</f>
        <v>0</v>
      </c>
      <c r="FX47" s="95">
        <f t="shared" ca="1" si="95"/>
        <v>0</v>
      </c>
      <c r="FY47" s="95">
        <f t="shared" ca="1" si="95"/>
        <v>0</v>
      </c>
      <c r="FZ47" s="95">
        <f t="shared" ca="1" si="95"/>
        <v>0</v>
      </c>
      <c r="GA47" s="95">
        <f t="shared" ca="1" si="95"/>
        <v>0</v>
      </c>
      <c r="GB47" s="95">
        <f t="shared" ca="1" si="95"/>
        <v>0</v>
      </c>
      <c r="GC47" s="95">
        <f t="shared" ca="1" si="95"/>
        <v>0</v>
      </c>
      <c r="GD47" s="95">
        <f t="shared" ca="1" si="95"/>
        <v>0</v>
      </c>
      <c r="GE47" s="95">
        <f t="shared" ca="1" si="95"/>
        <v>0</v>
      </c>
      <c r="GF47" s="95">
        <f t="shared" ca="1" si="95"/>
        <v>0</v>
      </c>
      <c r="GG47" s="95">
        <f t="shared" ca="1" si="90"/>
        <v>0</v>
      </c>
      <c r="GH47" s="95">
        <f t="shared" ca="1" si="41"/>
        <v>0</v>
      </c>
      <c r="GI47" s="95">
        <f t="shared" ca="1" si="41"/>
        <v>0</v>
      </c>
      <c r="GJ47" s="95">
        <f t="shared" ca="1" si="41"/>
        <v>0</v>
      </c>
      <c r="GK47" s="95">
        <f t="shared" ca="1" si="41"/>
        <v>0</v>
      </c>
      <c r="GL47" s="95">
        <f t="shared" ca="1" si="41"/>
        <v>0</v>
      </c>
      <c r="GM47" s="95">
        <f t="shared" ca="1" si="41"/>
        <v>0</v>
      </c>
      <c r="GN47" s="95">
        <f t="shared" ca="1" si="41"/>
        <v>0</v>
      </c>
      <c r="GO47" s="95">
        <f t="shared" ca="1" si="41"/>
        <v>0</v>
      </c>
      <c r="GP47" s="95">
        <f t="shared" ca="1" si="41"/>
        <v>0</v>
      </c>
      <c r="GQ47" s="95">
        <f t="shared" ca="1" si="41"/>
        <v>0</v>
      </c>
      <c r="GS47" s="7">
        <v>170.13111229583333</v>
      </c>
      <c r="GT47" s="96">
        <f t="shared" ca="1" si="76"/>
        <v>0</v>
      </c>
      <c r="GU47" s="96">
        <f t="shared" ca="1" si="76"/>
        <v>0</v>
      </c>
      <c r="GV47" s="96">
        <f t="shared" ca="1" si="76"/>
        <v>0</v>
      </c>
      <c r="GW47" s="96">
        <f t="shared" ca="1" si="76"/>
        <v>0</v>
      </c>
      <c r="GX47" s="96">
        <f t="shared" ca="1" si="76"/>
        <v>0</v>
      </c>
      <c r="GY47" s="96">
        <f t="shared" ca="1" si="76"/>
        <v>0</v>
      </c>
      <c r="GZ47" s="96">
        <f t="shared" ca="1" si="76"/>
        <v>0</v>
      </c>
      <c r="HA47" s="96">
        <f t="shared" ca="1" si="76"/>
        <v>0</v>
      </c>
      <c r="HB47" s="96">
        <f t="shared" ca="1" si="76"/>
        <v>0</v>
      </c>
      <c r="HC47" s="96">
        <f t="shared" ca="1" si="76"/>
        <v>0</v>
      </c>
      <c r="HD47" s="96">
        <f t="shared" ca="1" si="76"/>
        <v>0</v>
      </c>
      <c r="HE47" s="96">
        <f t="shared" ca="1" si="76"/>
        <v>0</v>
      </c>
      <c r="HF47" s="96">
        <f t="shared" ca="1" si="76"/>
        <v>408995.19395918335</v>
      </c>
      <c r="HG47" s="96">
        <f t="shared" ca="1" si="76"/>
        <v>429410.92743468331</v>
      </c>
      <c r="HH47" s="96">
        <f t="shared" ca="1" si="76"/>
        <v>522812.90808509581</v>
      </c>
      <c r="HI47" s="96"/>
      <c r="HJ47" s="96"/>
      <c r="HK47" s="96"/>
      <c r="HL47" s="96"/>
      <c r="HM47" s="96"/>
      <c r="HN47" s="96"/>
      <c r="HO47" s="96"/>
      <c r="HP47" s="96"/>
      <c r="HQ47" s="96"/>
      <c r="HS47" s="97"/>
    </row>
    <row r="48" spans="1:227" ht="17.25" thickTop="1" thickBot="1" x14ac:dyDescent="0.3">
      <c r="A48" s="102" t="s">
        <v>76</v>
      </c>
      <c r="B48" s="103" t="s">
        <v>408</v>
      </c>
      <c r="C48" s="73" t="s">
        <v>409</v>
      </c>
      <c r="D48" s="74" t="s">
        <v>0</v>
      </c>
      <c r="E48" s="74" t="s">
        <v>349</v>
      </c>
      <c r="F48" s="73"/>
      <c r="G48" s="75">
        <f t="shared" ca="1" si="91"/>
        <v>133</v>
      </c>
      <c r="H48" s="75">
        <v>133</v>
      </c>
      <c r="I48" s="75">
        <f t="shared" ca="1" si="78"/>
        <v>266</v>
      </c>
      <c r="J48" s="76">
        <f ca="1">[1]Parameters!$C$3+G48</f>
        <v>45964</v>
      </c>
      <c r="K48" s="77">
        <f t="shared" ca="1" si="23"/>
        <v>11</v>
      </c>
      <c r="L48" s="77">
        <f t="shared" ca="1" si="24"/>
        <v>2025</v>
      </c>
      <c r="M48" s="76">
        <f ca="1">[1]Parameters!$C$3+I48</f>
        <v>46097</v>
      </c>
      <c r="N48" s="77">
        <f t="shared" ca="1" si="25"/>
        <v>3</v>
      </c>
      <c r="O48" s="77">
        <f t="shared" ca="1" si="26"/>
        <v>2026</v>
      </c>
      <c r="P48" s="78">
        <v>0.9</v>
      </c>
      <c r="Q48" s="79" t="str">
        <f ca="1">VLOOKUP(A48,[1]ABC!A:G,7,0)</f>
        <v>C</v>
      </c>
      <c r="R48" s="80">
        <f t="shared" ca="1" si="9"/>
        <v>45.139177699956896</v>
      </c>
      <c r="S48" s="81">
        <v>39.93</v>
      </c>
      <c r="T48" s="82">
        <f t="shared" ca="1" si="10"/>
        <v>500</v>
      </c>
      <c r="U48" s="83">
        <f ca="1">IF((ROUND(AVERAGE(BI48:BR48)/10,0)*10)&lt;T48,T48,ROUND(AVERAGE(BI48:BR48)/10,0)*10)</f>
        <v>500</v>
      </c>
      <c r="V48" s="80">
        <v>3000</v>
      </c>
      <c r="W48" s="80">
        <f t="shared" ca="1" si="27"/>
        <v>3000</v>
      </c>
      <c r="X48" s="80"/>
      <c r="Y48" s="84">
        <v>5.79</v>
      </c>
      <c r="Z48" s="85">
        <v>1313</v>
      </c>
      <c r="AA48" s="85">
        <v>1319</v>
      </c>
      <c r="AB48" s="85">
        <v>1240</v>
      </c>
      <c r="AC48" s="85">
        <v>1009</v>
      </c>
      <c r="AD48" s="85">
        <v>893</v>
      </c>
      <c r="AE48" s="85">
        <v>599</v>
      </c>
      <c r="AF48" s="85">
        <v>1084</v>
      </c>
      <c r="AG48" s="85">
        <v>424</v>
      </c>
      <c r="AH48" s="85">
        <v>326</v>
      </c>
      <c r="AI48" s="75">
        <v>944</v>
      </c>
      <c r="AJ48" s="75">
        <f t="shared" ca="1" si="79"/>
        <v>350</v>
      </c>
      <c r="AK48" s="75">
        <f t="shared" ca="1" si="79"/>
        <v>2872</v>
      </c>
      <c r="AL48" s="75">
        <f t="shared" ca="1" si="79"/>
        <v>2698</v>
      </c>
      <c r="AM48" s="75">
        <f t="shared" ca="1" si="79"/>
        <v>2315</v>
      </c>
      <c r="AN48" s="75">
        <f t="shared" ca="1" si="79"/>
        <v>1765</v>
      </c>
      <c r="AO48" s="75">
        <f t="shared" ca="1" si="79"/>
        <v>1215</v>
      </c>
      <c r="AP48" s="75">
        <f t="shared" ca="1" si="79"/>
        <v>665</v>
      </c>
      <c r="AQ48" s="75">
        <f t="shared" ca="1" si="79"/>
        <v>3115</v>
      </c>
      <c r="AR48" s="75">
        <f t="shared" ca="1" si="79"/>
        <v>2565</v>
      </c>
      <c r="AS48" s="75">
        <f t="shared" ca="1" si="79"/>
        <v>1964</v>
      </c>
      <c r="AT48" s="75">
        <f t="shared" ca="1" si="79"/>
        <v>1288</v>
      </c>
      <c r="AU48" s="75">
        <f t="shared" ca="1" si="79"/>
        <v>665</v>
      </c>
      <c r="AV48" s="75">
        <f t="shared" ca="1" si="79"/>
        <v>42</v>
      </c>
      <c r="AW48" s="75">
        <f t="shared" ca="1" si="79"/>
        <v>42</v>
      </c>
      <c r="AX48" s="75">
        <f t="shared" ca="1" si="79"/>
        <v>42</v>
      </c>
      <c r="AY48" s="75">
        <f t="shared" ca="1" si="54"/>
        <v>42</v>
      </c>
      <c r="AZ48" s="75">
        <f t="shared" ca="1" si="12"/>
        <v>42</v>
      </c>
      <c r="BA48" s="75">
        <f t="shared" ca="1" si="12"/>
        <v>42</v>
      </c>
      <c r="BB48" s="166"/>
      <c r="BC48" s="86">
        <v>1313</v>
      </c>
      <c r="BD48" s="86">
        <v>1284</v>
      </c>
      <c r="BE48" s="86">
        <v>530.92708333333337</v>
      </c>
      <c r="BF48" s="86">
        <v>530.92708333333337</v>
      </c>
      <c r="BG48" s="86">
        <v>188</v>
      </c>
      <c r="BH48" s="86">
        <v>538</v>
      </c>
      <c r="BI48" s="86">
        <v>695</v>
      </c>
      <c r="BJ48" s="86">
        <v>678</v>
      </c>
      <c r="BK48" s="86">
        <v>263</v>
      </c>
      <c r="BL48" s="86">
        <v>594</v>
      </c>
      <c r="BM48" s="86">
        <v>478</v>
      </c>
      <c r="BN48" s="86">
        <v>174</v>
      </c>
      <c r="BO48" s="86">
        <v>383</v>
      </c>
      <c r="BP48" s="86">
        <v>550</v>
      </c>
      <c r="BQ48" s="86">
        <v>550</v>
      </c>
      <c r="BR48" s="86">
        <v>550</v>
      </c>
      <c r="BS48" s="86">
        <v>550</v>
      </c>
      <c r="BT48" s="86">
        <v>550</v>
      </c>
      <c r="BU48" s="86">
        <v>601</v>
      </c>
      <c r="BV48" s="86">
        <v>676</v>
      </c>
      <c r="BW48" s="86">
        <f ca="1">VLOOKUP(A48,[3]Export!$B:$Q,16,0)</f>
        <v>623</v>
      </c>
      <c r="BX48" s="86">
        <v>623</v>
      </c>
      <c r="BY48" s="86">
        <v>0</v>
      </c>
      <c r="BZ48" s="86">
        <v>0</v>
      </c>
      <c r="CA48" s="86">
        <v>0</v>
      </c>
      <c r="CB48" s="86">
        <v>0</v>
      </c>
      <c r="CC48" s="86">
        <v>0</v>
      </c>
      <c r="CD48" s="86">
        <v>0</v>
      </c>
      <c r="CE48" s="86">
        <f t="shared" ca="1" si="28"/>
        <v>129.35381809753531</v>
      </c>
      <c r="CF48" s="87"/>
      <c r="CG48" s="86">
        <v>0</v>
      </c>
      <c r="CH48" s="86">
        <v>0</v>
      </c>
      <c r="CI48" s="86">
        <v>0</v>
      </c>
      <c r="CJ48" s="86">
        <v>0</v>
      </c>
      <c r="CK48" s="86">
        <v>0</v>
      </c>
      <c r="CL48" s="86">
        <v>0</v>
      </c>
      <c r="CM48" s="86">
        <v>0</v>
      </c>
      <c r="CN48" s="86">
        <v>0</v>
      </c>
      <c r="CO48" s="86">
        <v>0</v>
      </c>
      <c r="CP48" s="89">
        <v>3000</v>
      </c>
      <c r="CQ48" s="86">
        <v>0</v>
      </c>
      <c r="CR48" s="89">
        <v>0</v>
      </c>
      <c r="CS48" s="86">
        <v>0</v>
      </c>
      <c r="CT48" s="86">
        <v>0</v>
      </c>
      <c r="CU48" s="90">
        <v>0</v>
      </c>
      <c r="CV48" s="90">
        <v>3000</v>
      </c>
      <c r="CW48" s="86">
        <v>0</v>
      </c>
      <c r="CX48" s="86">
        <v>0</v>
      </c>
      <c r="CY48" s="86">
        <v>0</v>
      </c>
      <c r="CZ48" s="86">
        <v>0</v>
      </c>
      <c r="DA48" s="90">
        <v>0</v>
      </c>
      <c r="DB48" s="90">
        <v>0</v>
      </c>
      <c r="DC48" s="90">
        <v>0</v>
      </c>
      <c r="DD48" s="90">
        <v>0</v>
      </c>
      <c r="DE48" s="90">
        <v>0</v>
      </c>
      <c r="DF48" s="90">
        <v>0</v>
      </c>
      <c r="DG48" s="86">
        <v>0</v>
      </c>
      <c r="DI48" s="91">
        <f ca="1">VLOOKUP(A48,'[2]2-Relatório'!$A:$J,9,0)</f>
        <v>50.61</v>
      </c>
      <c r="DJ48" s="92">
        <f t="shared" ca="1" si="89"/>
        <v>62756.4</v>
      </c>
      <c r="DK48" s="92">
        <f t="shared" ca="1" si="89"/>
        <v>51065.49</v>
      </c>
      <c r="DL48" s="92">
        <f t="shared" ca="1" si="89"/>
        <v>45194.729999999996</v>
      </c>
      <c r="DM48" s="92">
        <f t="shared" ca="1" si="89"/>
        <v>30315.39</v>
      </c>
      <c r="DN48" s="92">
        <f t="shared" ca="1" si="89"/>
        <v>54861.24</v>
      </c>
      <c r="DO48" s="92">
        <f t="shared" ca="1" si="89"/>
        <v>21458.639999999999</v>
      </c>
      <c r="DP48" s="92">
        <f t="shared" ca="1" si="89"/>
        <v>16498.86</v>
      </c>
      <c r="DQ48" s="92">
        <f t="shared" ca="1" si="88"/>
        <v>47775.839999999997</v>
      </c>
      <c r="DR48" s="92">
        <f t="shared" ca="1" si="88"/>
        <v>17713.5</v>
      </c>
      <c r="DS48" s="92">
        <f t="shared" ca="1" si="88"/>
        <v>145351.92000000001</v>
      </c>
      <c r="DT48" s="92">
        <f t="shared" ca="1" si="88"/>
        <v>136545.78</v>
      </c>
      <c r="DU48" s="92">
        <f t="shared" ca="1" si="88"/>
        <v>117162.15</v>
      </c>
      <c r="DV48" s="92">
        <f t="shared" ca="1" si="88"/>
        <v>89326.65</v>
      </c>
      <c r="DW48" s="92">
        <f t="shared" ca="1" si="88"/>
        <v>61491.15</v>
      </c>
      <c r="DX48" s="92">
        <f t="shared" ca="1" si="88"/>
        <v>33655.65</v>
      </c>
      <c r="DY48" s="92">
        <f t="shared" ca="1" si="88"/>
        <v>157650.15</v>
      </c>
      <c r="DZ48" s="92">
        <f t="shared" ca="1" si="75"/>
        <v>129814.65</v>
      </c>
      <c r="EA48" s="92">
        <f t="shared" ca="1" si="75"/>
        <v>99398.04</v>
      </c>
      <c r="EB48" s="92">
        <f t="shared" ca="1" si="75"/>
        <v>65185.68</v>
      </c>
      <c r="EC48" s="92">
        <f t="shared" ca="1" si="75"/>
        <v>33655.65</v>
      </c>
      <c r="ED48" s="92">
        <f t="shared" ca="1" si="75"/>
        <v>2125.62</v>
      </c>
      <c r="EE48" s="92">
        <f t="shared" ca="1" si="75"/>
        <v>2125.62</v>
      </c>
      <c r="EF48" s="92">
        <f t="shared" ca="1" si="75"/>
        <v>2125.62</v>
      </c>
      <c r="EG48" s="92">
        <f t="shared" ca="1" si="73"/>
        <v>2125.62</v>
      </c>
      <c r="EH48" s="92">
        <f t="shared" ca="1" si="46"/>
        <v>2125.62</v>
      </c>
      <c r="EI48" s="92">
        <f t="shared" ca="1" si="46"/>
        <v>2125.62</v>
      </c>
      <c r="EL48" s="93">
        <f t="shared" ca="1" si="57"/>
        <v>52428.09</v>
      </c>
      <c r="EM48" s="93">
        <f t="shared" ca="1" si="57"/>
        <v>51270.12</v>
      </c>
      <c r="EN48" s="92">
        <f t="shared" ca="1" si="83"/>
        <v>26870.219687500001</v>
      </c>
      <c r="EO48" s="92">
        <f t="shared" ca="1" si="83"/>
        <v>26870.219687500001</v>
      </c>
      <c r="EP48" s="92">
        <f t="shared" ca="1" si="83"/>
        <v>9514.68</v>
      </c>
      <c r="EQ48" s="92">
        <f t="shared" ca="1" si="83"/>
        <v>27228.18</v>
      </c>
      <c r="ER48" s="92">
        <f t="shared" ca="1" si="83"/>
        <v>35173.949999999997</v>
      </c>
      <c r="ES48" s="92">
        <f t="shared" ca="1" si="83"/>
        <v>34313.58</v>
      </c>
      <c r="ET48" s="92">
        <f t="shared" ca="1" si="83"/>
        <v>13310.43</v>
      </c>
      <c r="EU48" s="92">
        <f t="shared" ca="1" si="83"/>
        <v>30062.34</v>
      </c>
      <c r="EV48" s="92">
        <f t="shared" ca="1" si="83"/>
        <v>24191.579999999998</v>
      </c>
      <c r="EW48" s="92">
        <f t="shared" ca="1" si="83"/>
        <v>8806.14</v>
      </c>
      <c r="EX48" s="92">
        <f t="shared" ca="1" si="83"/>
        <v>19383.63</v>
      </c>
      <c r="EY48" s="92">
        <f t="shared" ca="1" si="83"/>
        <v>27835.5</v>
      </c>
      <c r="EZ48" s="92">
        <f t="shared" ca="1" si="83"/>
        <v>27835.5</v>
      </c>
      <c r="FA48" s="92">
        <f t="shared" ca="1" si="83"/>
        <v>27835.5</v>
      </c>
      <c r="FB48" s="92">
        <f t="shared" ca="1" si="83"/>
        <v>27835.5</v>
      </c>
      <c r="FC48" s="92">
        <f t="shared" ca="1" si="82"/>
        <v>27835.5</v>
      </c>
      <c r="FD48" s="92">
        <f t="shared" ca="1" si="58"/>
        <v>30416.61</v>
      </c>
      <c r="FE48" s="92">
        <f t="shared" ca="1" si="58"/>
        <v>34212.36</v>
      </c>
      <c r="FF48" s="92">
        <f t="shared" ca="1" si="58"/>
        <v>31530.03</v>
      </c>
      <c r="FG48" s="92">
        <f t="shared" ca="1" si="58"/>
        <v>31530.03</v>
      </c>
      <c r="FH48" s="92">
        <f t="shared" ca="1" si="55"/>
        <v>0</v>
      </c>
      <c r="FI48" s="92">
        <f t="shared" ca="1" si="55"/>
        <v>0</v>
      </c>
      <c r="FJ48" s="92">
        <f t="shared" ca="1" si="55"/>
        <v>0</v>
      </c>
      <c r="FK48" s="92">
        <f t="shared" ca="1" si="55"/>
        <v>0</v>
      </c>
      <c r="FL48" s="92">
        <f t="shared" ca="1" si="55"/>
        <v>0</v>
      </c>
      <c r="FM48" s="92">
        <f t="shared" ca="1" si="55"/>
        <v>0</v>
      </c>
      <c r="FN48" s="94">
        <f t="shared" ca="1" si="93"/>
        <v>3000</v>
      </c>
      <c r="FO48" s="94">
        <f t="shared" ca="1" si="94"/>
        <v>3000</v>
      </c>
      <c r="FP48" s="95">
        <f t="shared" ca="1" si="59"/>
        <v>30</v>
      </c>
      <c r="FQ48" s="95">
        <f t="shared" ca="1" si="59"/>
        <v>30.81775700934579</v>
      </c>
      <c r="FR48" s="95">
        <f t="shared" ref="FR48:GF74" ca="1" si="96">IFERROR((DJ48/EN48)*30,0)</f>
        <v>70.066118621122641</v>
      </c>
      <c r="FS48" s="95">
        <f t="shared" ca="1" si="96"/>
        <v>57.013478781219952</v>
      </c>
      <c r="FT48" s="95">
        <f t="shared" ca="1" si="96"/>
        <v>142.49999999999997</v>
      </c>
      <c r="FU48" s="95">
        <f t="shared" ca="1" si="96"/>
        <v>33.40148698884758</v>
      </c>
      <c r="FV48" s="95">
        <f t="shared" ca="1" si="96"/>
        <v>46.791366906474828</v>
      </c>
      <c r="FW48" s="95">
        <f t="shared" ca="1" si="95"/>
        <v>18.761061946902654</v>
      </c>
      <c r="FX48" s="95">
        <f t="shared" ca="1" si="95"/>
        <v>37.186311787072242</v>
      </c>
      <c r="FY48" s="95">
        <f t="shared" ca="1" si="95"/>
        <v>47.676767676767675</v>
      </c>
      <c r="FZ48" s="95">
        <f t="shared" ca="1" si="95"/>
        <v>21.966527196652724</v>
      </c>
      <c r="GA48" s="95">
        <f t="shared" ca="1" si="95"/>
        <v>495.17241379310354</v>
      </c>
      <c r="GB48" s="95">
        <f t="shared" ca="1" si="95"/>
        <v>211.33159268929504</v>
      </c>
      <c r="GC48" s="95">
        <f t="shared" ca="1" si="95"/>
        <v>126.27272727272727</v>
      </c>
      <c r="GD48" s="95">
        <f t="shared" ca="1" si="95"/>
        <v>96.272727272727266</v>
      </c>
      <c r="GE48" s="95">
        <f t="shared" ca="1" si="95"/>
        <v>66.272727272727266</v>
      </c>
      <c r="GF48" s="95">
        <f t="shared" ca="1" si="95"/>
        <v>36.272727272727273</v>
      </c>
      <c r="GG48" s="95">
        <f t="shared" ca="1" si="90"/>
        <v>169.90909090909091</v>
      </c>
      <c r="GH48" s="95">
        <f t="shared" ca="1" si="41"/>
        <v>128.03660565723794</v>
      </c>
      <c r="GI48" s="95">
        <f t="shared" ref="GI48:GQ74" ca="1" si="97">IFERROR((EA48/FE48)*30,0)</f>
        <v>87.15976331360946</v>
      </c>
      <c r="GJ48" s="95">
        <f t="shared" ca="1" si="97"/>
        <v>62.022471910112365</v>
      </c>
      <c r="GK48" s="95">
        <f t="shared" ca="1" si="97"/>
        <v>32.022471910112365</v>
      </c>
      <c r="GL48" s="95">
        <f t="shared" ca="1" si="97"/>
        <v>0</v>
      </c>
      <c r="GM48" s="95">
        <f t="shared" ca="1" si="97"/>
        <v>0</v>
      </c>
      <c r="GN48" s="95">
        <f t="shared" ca="1" si="97"/>
        <v>0</v>
      </c>
      <c r="GO48" s="95">
        <f t="shared" ca="1" si="97"/>
        <v>0</v>
      </c>
      <c r="GP48" s="95">
        <f t="shared" ca="1" si="97"/>
        <v>0</v>
      </c>
      <c r="GQ48" s="95">
        <f t="shared" ca="1" si="97"/>
        <v>0</v>
      </c>
      <c r="GS48" s="7">
        <v>161.87009743813334</v>
      </c>
      <c r="GT48" s="96">
        <f t="shared" ca="1" si="76"/>
        <v>30431.578318369069</v>
      </c>
      <c r="GU48" s="96">
        <f t="shared" ca="1" si="76"/>
        <v>87086.112421715734</v>
      </c>
      <c r="GV48" s="96">
        <f t="shared" ca="1" si="76"/>
        <v>112499.71771950267</v>
      </c>
      <c r="GW48" s="96">
        <f t="shared" ca="1" si="76"/>
        <v>109747.9260630544</v>
      </c>
      <c r="GX48" s="96">
        <f t="shared" ca="1" si="76"/>
        <v>42571.835626229069</v>
      </c>
      <c r="GY48" s="96">
        <f t="shared" ca="1" si="76"/>
        <v>96150.837878251201</v>
      </c>
      <c r="GZ48" s="96">
        <f t="shared" ca="1" si="76"/>
        <v>77373.90657542774</v>
      </c>
      <c r="HA48" s="96">
        <f t="shared" ca="1" si="76"/>
        <v>28165.396954235202</v>
      </c>
      <c r="HB48" s="96">
        <f t="shared" ca="1" si="76"/>
        <v>61996.247318805072</v>
      </c>
      <c r="HC48" s="96">
        <f t="shared" ca="1" si="76"/>
        <v>89028.553590973344</v>
      </c>
      <c r="HD48" s="96">
        <f t="shared" ca="1" si="76"/>
        <v>89028.553590973344</v>
      </c>
      <c r="HE48" s="96">
        <f t="shared" ca="1" si="76"/>
        <v>89028.553590973344</v>
      </c>
      <c r="HF48" s="96">
        <f t="shared" ca="1" si="76"/>
        <v>89028.553590973344</v>
      </c>
      <c r="HG48" s="96">
        <f t="shared" ca="1" si="76"/>
        <v>89028.553590973344</v>
      </c>
      <c r="HH48" s="96">
        <f t="shared" ca="1" si="76"/>
        <v>97283.928560318134</v>
      </c>
      <c r="HI48" s="96">
        <f t="shared" ca="1" si="74"/>
        <v>109424.18586817815</v>
      </c>
      <c r="HJ48" s="96">
        <f t="shared" ca="1" si="48"/>
        <v>100845.07070395707</v>
      </c>
      <c r="HK48" s="96">
        <f t="shared" ca="1" si="48"/>
        <v>100845.07070395707</v>
      </c>
      <c r="HL48" s="96">
        <f t="shared" ca="1" si="48"/>
        <v>0</v>
      </c>
      <c r="HM48" s="96">
        <f t="shared" ca="1" si="48"/>
        <v>0</v>
      </c>
      <c r="HN48" s="96">
        <f t="shared" ca="1" si="48"/>
        <v>0</v>
      </c>
      <c r="HO48" s="96">
        <f t="shared" ca="1" si="48"/>
        <v>0</v>
      </c>
      <c r="HP48" s="96">
        <f t="shared" ca="1" si="48"/>
        <v>0</v>
      </c>
      <c r="HQ48" s="96">
        <f t="shared" ca="1" si="48"/>
        <v>0</v>
      </c>
      <c r="HS48" s="97">
        <f t="shared" ca="1" si="21"/>
        <v>144549.99701225306</v>
      </c>
    </row>
    <row r="49" spans="1:227" ht="17.25" thickTop="1" thickBot="1" x14ac:dyDescent="0.3">
      <c r="A49" s="16" t="s">
        <v>68</v>
      </c>
      <c r="B49" s="73" t="s">
        <v>410</v>
      </c>
      <c r="C49" s="73" t="s">
        <v>411</v>
      </c>
      <c r="D49" s="74" t="s">
        <v>0</v>
      </c>
      <c r="E49" s="74" t="s">
        <v>349</v>
      </c>
      <c r="F49" s="73"/>
      <c r="G49" s="75">
        <f t="shared" ca="1" si="91"/>
        <v>133</v>
      </c>
      <c r="H49" s="75">
        <v>133</v>
      </c>
      <c r="I49" s="75">
        <f t="shared" ca="1" si="78"/>
        <v>266</v>
      </c>
      <c r="J49" s="76">
        <f ca="1">[1]Parameters!$C$3+G49</f>
        <v>45964</v>
      </c>
      <c r="K49" s="77">
        <f t="shared" ca="1" si="23"/>
        <v>11</v>
      </c>
      <c r="L49" s="77">
        <f t="shared" ca="1" si="24"/>
        <v>2025</v>
      </c>
      <c r="M49" s="76">
        <f ca="1">[1]Parameters!$C$3+I49</f>
        <v>46097</v>
      </c>
      <c r="N49" s="77">
        <f t="shared" ca="1" si="25"/>
        <v>3</v>
      </c>
      <c r="O49" s="77">
        <f t="shared" ca="1" si="26"/>
        <v>2026</v>
      </c>
      <c r="P49" s="78">
        <v>0.95</v>
      </c>
      <c r="Q49" s="79" t="str">
        <f ca="1">VLOOKUP(A49,[1]ABC!A:G,7,0)</f>
        <v>C</v>
      </c>
      <c r="R49" s="80">
        <f t="shared" ca="1" si="9"/>
        <v>0</v>
      </c>
      <c r="S49" s="81">
        <v>50.06</v>
      </c>
      <c r="T49" s="82">
        <f t="shared" ca="1" si="10"/>
        <v>600</v>
      </c>
      <c r="U49" s="83">
        <f ca="1">IF((ROUND(AVERAGE(BI49:BR49)*2/100,0)*100)&lt;T49,T49,ROUND(AVERAGE(BI49:BR49)*2/100,0)*100)</f>
        <v>1200</v>
      </c>
      <c r="V49" s="80">
        <v>3000</v>
      </c>
      <c r="W49" s="80">
        <f t="shared" ca="1" si="27"/>
        <v>3000</v>
      </c>
      <c r="X49" s="80"/>
      <c r="Y49" s="84">
        <v>9.52</v>
      </c>
      <c r="Z49" s="85">
        <v>2</v>
      </c>
      <c r="AA49" s="85">
        <v>0</v>
      </c>
      <c r="AB49" s="85">
        <v>0</v>
      </c>
      <c r="AC49" s="85">
        <v>2011</v>
      </c>
      <c r="AD49" s="85">
        <v>559</v>
      </c>
      <c r="AE49" s="85">
        <v>821</v>
      </c>
      <c r="AF49" s="85">
        <v>1180</v>
      </c>
      <c r="AG49" s="85">
        <v>534</v>
      </c>
      <c r="AH49" s="85">
        <v>827</v>
      </c>
      <c r="AI49" s="75">
        <v>56</v>
      </c>
      <c r="AJ49" s="75">
        <f t="shared" ca="1" si="79"/>
        <v>0</v>
      </c>
      <c r="AK49" s="75">
        <f t="shared" ca="1" si="79"/>
        <v>0</v>
      </c>
      <c r="AL49" s="75">
        <f t="shared" ca="1" si="79"/>
        <v>2437.105</v>
      </c>
      <c r="AM49" s="75">
        <f t="shared" ca="1" si="79"/>
        <v>4725.5619999999999</v>
      </c>
      <c r="AN49" s="75">
        <f t="shared" ca="1" si="79"/>
        <v>3905.8119999999999</v>
      </c>
      <c r="AO49" s="75">
        <f t="shared" ca="1" si="79"/>
        <v>3392.8119999999999</v>
      </c>
      <c r="AP49" s="75">
        <f t="shared" ca="1" si="79"/>
        <v>2818.8119999999999</v>
      </c>
      <c r="AQ49" s="75">
        <f t="shared" ca="1" si="79"/>
        <v>2243.8119999999999</v>
      </c>
      <c r="AR49" s="75">
        <f t="shared" ca="1" si="79"/>
        <v>1652.8119999999999</v>
      </c>
      <c r="AS49" s="75">
        <f t="shared" ca="1" si="79"/>
        <v>4031.8119999999999</v>
      </c>
      <c r="AT49" s="75">
        <f t="shared" ca="1" si="79"/>
        <v>3678.8119999999999</v>
      </c>
      <c r="AU49" s="75">
        <f t="shared" ca="1" si="79"/>
        <v>3080.8119999999999</v>
      </c>
      <c r="AV49" s="75">
        <f t="shared" ca="1" si="79"/>
        <v>2280.8119999999999</v>
      </c>
      <c r="AW49" s="75">
        <f t="shared" ca="1" si="79"/>
        <v>2280.8119999999999</v>
      </c>
      <c r="AX49" s="75">
        <f t="shared" ca="1" si="79"/>
        <v>2280.8119999999999</v>
      </c>
      <c r="AY49" s="75">
        <f t="shared" ca="1" si="54"/>
        <v>2280.8119999999999</v>
      </c>
      <c r="AZ49" s="75">
        <f t="shared" ca="1" si="12"/>
        <v>2280.8119999999999</v>
      </c>
      <c r="BA49" s="75">
        <f t="shared" ca="1" si="12"/>
        <v>2280.8119999999999</v>
      </c>
      <c r="BB49" s="166"/>
      <c r="BC49" s="86">
        <v>2</v>
      </c>
      <c r="BD49" s="86">
        <v>0</v>
      </c>
      <c r="BE49" s="86">
        <v>561.83333333333337</v>
      </c>
      <c r="BF49" s="86">
        <v>561.83333333333337</v>
      </c>
      <c r="BG49" s="86">
        <v>424.084</v>
      </c>
      <c r="BH49" s="86">
        <v>656.89300000000003</v>
      </c>
      <c r="BI49" s="86">
        <v>924.678</v>
      </c>
      <c r="BJ49" s="86">
        <v>333.36500000000001</v>
      </c>
      <c r="BK49" s="86">
        <v>501.68700000000001</v>
      </c>
      <c r="BL49" s="86">
        <v>615.35900000000004</v>
      </c>
      <c r="BM49" s="86">
        <v>531.19799999999998</v>
      </c>
      <c r="BN49" s="86">
        <v>562.89499999999998</v>
      </c>
      <c r="BO49" s="86">
        <v>711.54300000000001</v>
      </c>
      <c r="BP49" s="86">
        <v>819.75</v>
      </c>
      <c r="BQ49" s="86">
        <v>513</v>
      </c>
      <c r="BR49" s="86">
        <v>574</v>
      </c>
      <c r="BS49" s="86">
        <v>575</v>
      </c>
      <c r="BT49" s="86">
        <v>591</v>
      </c>
      <c r="BU49" s="86">
        <v>621</v>
      </c>
      <c r="BV49" s="86">
        <v>353</v>
      </c>
      <c r="BW49" s="86">
        <f ca="1">VLOOKUP(A49,[3]Export!$B:$Q,16,0)</f>
        <v>598</v>
      </c>
      <c r="BX49" s="86">
        <v>800</v>
      </c>
      <c r="BY49" s="86">
        <v>0</v>
      </c>
      <c r="BZ49" s="86">
        <v>0</v>
      </c>
      <c r="CA49" s="86">
        <v>0</v>
      </c>
      <c r="CB49" s="86">
        <v>0</v>
      </c>
      <c r="CC49" s="86">
        <v>0</v>
      </c>
      <c r="CD49" s="86">
        <v>0</v>
      </c>
      <c r="CE49" s="86">
        <f t="shared" ca="1" si="28"/>
        <v>121.50130512494135</v>
      </c>
      <c r="CF49" s="87"/>
      <c r="CG49" s="86">
        <v>0</v>
      </c>
      <c r="CH49" s="86">
        <v>0</v>
      </c>
      <c r="CI49" s="86">
        <v>0</v>
      </c>
      <c r="CJ49" s="86">
        <v>0</v>
      </c>
      <c r="CK49" s="86">
        <v>0</v>
      </c>
      <c r="CL49" s="86">
        <v>0</v>
      </c>
      <c r="CM49" s="86">
        <v>0</v>
      </c>
      <c r="CN49" s="86">
        <v>0</v>
      </c>
      <c r="CO49" s="86">
        <v>0</v>
      </c>
      <c r="CP49" s="89">
        <v>0</v>
      </c>
      <c r="CQ49" s="89">
        <v>3000</v>
      </c>
      <c r="CR49" s="86">
        <v>3000</v>
      </c>
      <c r="CS49" s="86">
        <v>0</v>
      </c>
      <c r="CT49" s="86">
        <v>0</v>
      </c>
      <c r="CU49" s="90"/>
      <c r="CV49" s="90">
        <v>0</v>
      </c>
      <c r="CW49" s="86">
        <v>0</v>
      </c>
      <c r="CX49" s="90">
        <v>3000</v>
      </c>
      <c r="CY49" s="90">
        <v>0</v>
      </c>
      <c r="CZ49" s="90">
        <v>0</v>
      </c>
      <c r="DA49" s="90">
        <v>0</v>
      </c>
      <c r="DB49" s="90">
        <v>0</v>
      </c>
      <c r="DC49" s="90">
        <v>0</v>
      </c>
      <c r="DD49" s="90">
        <v>0</v>
      </c>
      <c r="DE49" s="90">
        <v>0</v>
      </c>
      <c r="DF49" s="90">
        <v>0</v>
      </c>
      <c r="DG49" s="86">
        <v>0</v>
      </c>
      <c r="DI49" s="91">
        <f ca="1">VLOOKUP(A49,'[2]2-Relatório'!$A:$J,9,0)</f>
        <v>79.39</v>
      </c>
      <c r="DJ49" s="92">
        <f t="shared" ca="1" si="89"/>
        <v>0</v>
      </c>
      <c r="DK49" s="92">
        <f t="shared" ca="1" si="89"/>
        <v>159653.29</v>
      </c>
      <c r="DL49" s="92">
        <f t="shared" ca="1" si="89"/>
        <v>44379.01</v>
      </c>
      <c r="DM49" s="92">
        <f t="shared" ca="1" si="89"/>
        <v>65179.19</v>
      </c>
      <c r="DN49" s="92">
        <f t="shared" ca="1" si="89"/>
        <v>93680.2</v>
      </c>
      <c r="DO49" s="92">
        <f t="shared" ca="1" si="89"/>
        <v>42394.26</v>
      </c>
      <c r="DP49" s="92">
        <f t="shared" ca="1" si="89"/>
        <v>65655.53</v>
      </c>
      <c r="DQ49" s="92">
        <f t="shared" ca="1" si="88"/>
        <v>4445.84</v>
      </c>
      <c r="DR49" s="92">
        <f t="shared" ca="1" si="88"/>
        <v>0</v>
      </c>
      <c r="DS49" s="92">
        <f t="shared" ca="1" si="88"/>
        <v>0</v>
      </c>
      <c r="DT49" s="92">
        <f t="shared" ca="1" si="88"/>
        <v>193481.76595</v>
      </c>
      <c r="DU49" s="92">
        <f t="shared" ca="1" si="88"/>
        <v>375162.36718</v>
      </c>
      <c r="DV49" s="92">
        <f t="shared" ca="1" si="88"/>
        <v>310082.41467999999</v>
      </c>
      <c r="DW49" s="92">
        <f t="shared" ca="1" si="88"/>
        <v>269355.34467999998</v>
      </c>
      <c r="DX49" s="92">
        <f t="shared" ca="1" si="88"/>
        <v>223785.48467999999</v>
      </c>
      <c r="DY49" s="92">
        <f t="shared" ca="1" si="88"/>
        <v>178136.23467999999</v>
      </c>
      <c r="DZ49" s="92">
        <f t="shared" ca="1" si="75"/>
        <v>131216.74468</v>
      </c>
      <c r="EA49" s="92">
        <f t="shared" ca="1" si="75"/>
        <v>320085.55468</v>
      </c>
      <c r="EB49" s="92">
        <f t="shared" ca="1" si="75"/>
        <v>292060.88468000002</v>
      </c>
      <c r="EC49" s="92">
        <f t="shared" ca="1" si="75"/>
        <v>244585.66467999999</v>
      </c>
      <c r="ED49" s="92">
        <f t="shared" ca="1" si="75"/>
        <v>181073.66467999999</v>
      </c>
      <c r="EE49" s="92">
        <f t="shared" ca="1" si="75"/>
        <v>181073.66467999999</v>
      </c>
      <c r="EF49" s="92">
        <f t="shared" ca="1" si="75"/>
        <v>181073.66467999999</v>
      </c>
      <c r="EG49" s="92">
        <f t="shared" ca="1" si="73"/>
        <v>181073.66467999999</v>
      </c>
      <c r="EH49" s="92">
        <f t="shared" ca="1" si="46"/>
        <v>181073.66467999999</v>
      </c>
      <c r="EI49" s="92">
        <f t="shared" ca="1" si="46"/>
        <v>181073.66467999999</v>
      </c>
      <c r="EL49" s="93">
        <f t="shared" ca="1" si="57"/>
        <v>100.12</v>
      </c>
      <c r="EM49" s="93">
        <f t="shared" ca="1" si="57"/>
        <v>0</v>
      </c>
      <c r="EN49" s="92">
        <f t="shared" ca="1" si="83"/>
        <v>44603.948333333334</v>
      </c>
      <c r="EO49" s="92">
        <f t="shared" ca="1" si="83"/>
        <v>44603.948333333334</v>
      </c>
      <c r="EP49" s="92">
        <f t="shared" ca="1" si="83"/>
        <v>33668.028760000001</v>
      </c>
      <c r="EQ49" s="92">
        <f t="shared" ca="1" si="83"/>
        <v>52150.735270000005</v>
      </c>
      <c r="ER49" s="92">
        <f t="shared" ca="1" si="83"/>
        <v>73410.186419999998</v>
      </c>
      <c r="ES49" s="92">
        <f t="shared" ca="1" si="83"/>
        <v>26465.84735</v>
      </c>
      <c r="ET49" s="92">
        <f t="shared" ca="1" si="83"/>
        <v>39828.930930000002</v>
      </c>
      <c r="EU49" s="92">
        <f t="shared" ca="1" si="83"/>
        <v>48853.351010000006</v>
      </c>
      <c r="EV49" s="92">
        <f t="shared" ca="1" si="83"/>
        <v>42171.809219999996</v>
      </c>
      <c r="EW49" s="92">
        <f t="shared" ca="1" si="83"/>
        <v>44688.234049999999</v>
      </c>
      <c r="EX49" s="92">
        <f t="shared" ca="1" si="83"/>
        <v>56489.39877</v>
      </c>
      <c r="EY49" s="92">
        <f t="shared" ca="1" si="83"/>
        <v>65079.952499999999</v>
      </c>
      <c r="EZ49" s="92">
        <f t="shared" ca="1" si="83"/>
        <v>40727.07</v>
      </c>
      <c r="FA49" s="92">
        <f t="shared" ca="1" si="83"/>
        <v>45569.86</v>
      </c>
      <c r="FB49" s="92">
        <f t="shared" ca="1" si="83"/>
        <v>45649.25</v>
      </c>
      <c r="FC49" s="92">
        <f t="shared" ca="1" si="82"/>
        <v>46919.49</v>
      </c>
      <c r="FD49" s="92">
        <f t="shared" ca="1" si="58"/>
        <v>49301.19</v>
      </c>
      <c r="FE49" s="92">
        <f t="shared" ca="1" si="58"/>
        <v>28024.670000000002</v>
      </c>
      <c r="FF49" s="92">
        <f t="shared" ca="1" si="58"/>
        <v>47475.22</v>
      </c>
      <c r="FG49" s="92">
        <f t="shared" ca="1" si="58"/>
        <v>63512</v>
      </c>
      <c r="FH49" s="92">
        <f t="shared" ca="1" si="55"/>
        <v>0</v>
      </c>
      <c r="FI49" s="92">
        <f t="shared" ca="1" si="55"/>
        <v>0</v>
      </c>
      <c r="FJ49" s="92">
        <f t="shared" ca="1" si="55"/>
        <v>0</v>
      </c>
      <c r="FK49" s="92">
        <f t="shared" ca="1" si="55"/>
        <v>0</v>
      </c>
      <c r="FL49" s="92">
        <f t="shared" ca="1" si="55"/>
        <v>0</v>
      </c>
      <c r="FM49" s="92">
        <f t="shared" ca="1" si="55"/>
        <v>0</v>
      </c>
      <c r="FN49" s="94">
        <f t="shared" ca="1" si="93"/>
        <v>6000</v>
      </c>
      <c r="FO49" s="94">
        <f t="shared" ca="1" si="94"/>
        <v>3000</v>
      </c>
      <c r="FP49" s="95">
        <f t="shared" ca="1" si="59"/>
        <v>30</v>
      </c>
      <c r="FQ49" s="95">
        <f t="shared" ca="1" si="59"/>
        <v>0</v>
      </c>
      <c r="FR49" s="95">
        <f t="shared" ca="1" si="96"/>
        <v>0</v>
      </c>
      <c r="FS49" s="95">
        <f t="shared" ca="1" si="96"/>
        <v>107.38059922871552</v>
      </c>
      <c r="FT49" s="95">
        <f t="shared" ca="1" si="96"/>
        <v>39.544052593354145</v>
      </c>
      <c r="FU49" s="95">
        <f t="shared" ca="1" si="96"/>
        <v>37.494690916176609</v>
      </c>
      <c r="FV49" s="95">
        <f t="shared" ca="1" si="96"/>
        <v>38.283597100828615</v>
      </c>
      <c r="FW49" s="95">
        <f t="shared" ca="1" si="95"/>
        <v>48.055434733700302</v>
      </c>
      <c r="FX49" s="95">
        <f t="shared" ca="1" si="95"/>
        <v>49.453145088471494</v>
      </c>
      <c r="FY49" s="95">
        <f t="shared" ca="1" si="95"/>
        <v>2.7301136409803055</v>
      </c>
      <c r="FZ49" s="95">
        <f t="shared" ca="1" si="95"/>
        <v>0</v>
      </c>
      <c r="GA49" s="95">
        <f t="shared" ca="1" si="95"/>
        <v>0</v>
      </c>
      <c r="GB49" s="95">
        <f t="shared" ca="1" si="95"/>
        <v>102.75296081895262</v>
      </c>
      <c r="GC49" s="95">
        <f t="shared" ca="1" si="95"/>
        <v>172.93913998170174</v>
      </c>
      <c r="GD49" s="95">
        <f t="shared" ca="1" si="95"/>
        <v>228.41005847953215</v>
      </c>
      <c r="GE49" s="95">
        <f t="shared" ca="1" si="95"/>
        <v>177.32466898954701</v>
      </c>
      <c r="GF49" s="95">
        <f t="shared" ca="1" si="95"/>
        <v>147.06845217391304</v>
      </c>
      <c r="GG49" s="95">
        <f t="shared" ca="1" si="90"/>
        <v>113.89908629441624</v>
      </c>
      <c r="GH49" s="95">
        <f t="shared" ca="1" si="90"/>
        <v>79.845990338164256</v>
      </c>
      <c r="GI49" s="95">
        <f t="shared" ca="1" si="97"/>
        <v>342.64691218130309</v>
      </c>
      <c r="GJ49" s="95">
        <f t="shared" ca="1" si="97"/>
        <v>184.55578595317726</v>
      </c>
      <c r="GK49" s="95">
        <f t="shared" ca="1" si="97"/>
        <v>115.53045</v>
      </c>
      <c r="GL49" s="95">
        <f t="shared" ca="1" si="97"/>
        <v>0</v>
      </c>
      <c r="GM49" s="95">
        <f t="shared" ca="1" si="97"/>
        <v>0</v>
      </c>
      <c r="GN49" s="95">
        <f t="shared" ca="1" si="97"/>
        <v>0</v>
      </c>
      <c r="GO49" s="95">
        <f t="shared" ca="1" si="97"/>
        <v>0</v>
      </c>
      <c r="GP49" s="95">
        <f t="shared" ca="1" si="97"/>
        <v>0</v>
      </c>
      <c r="GQ49" s="95">
        <f t="shared" ca="1" si="97"/>
        <v>0</v>
      </c>
      <c r="GS49" s="7">
        <v>209.44106444836663</v>
      </c>
      <c r="GT49" s="96">
        <f t="shared" ca="1" si="76"/>
        <v>88820.604375521114</v>
      </c>
      <c r="GU49" s="96">
        <f t="shared" ca="1" si="76"/>
        <v>137580.36914868091</v>
      </c>
      <c r="GV49" s="96">
        <f t="shared" ca="1" si="76"/>
        <v>193665.54459198675</v>
      </c>
      <c r="GW49" s="96">
        <f t="shared" ca="1" si="76"/>
        <v>69820.320449829742</v>
      </c>
      <c r="GX49" s="96">
        <f t="shared" ca="1" si="76"/>
        <v>105073.85929990771</v>
      </c>
      <c r="GY49" s="96">
        <f t="shared" ca="1" si="76"/>
        <v>128881.44397788245</v>
      </c>
      <c r="GZ49" s="96">
        <f t="shared" ca="1" si="76"/>
        <v>111254.67455284345</v>
      </c>
      <c r="HA49" s="96">
        <f t="shared" ca="1" si="76"/>
        <v>117893.32797266333</v>
      </c>
      <c r="HB49" s="96">
        <f t="shared" ca="1" si="76"/>
        <v>149026.32332078414</v>
      </c>
      <c r="HC49" s="96">
        <f t="shared" ca="1" si="76"/>
        <v>171689.31258154855</v>
      </c>
      <c r="HD49" s="96">
        <f t="shared" ca="1" si="76"/>
        <v>107443.26606201209</v>
      </c>
      <c r="HE49" s="96">
        <f t="shared" ca="1" si="76"/>
        <v>120219.17099336245</v>
      </c>
      <c r="HF49" s="96">
        <f t="shared" ca="1" si="76"/>
        <v>120428.61205781081</v>
      </c>
      <c r="HG49" s="96">
        <f t="shared" ca="1" si="76"/>
        <v>123779.66908898468</v>
      </c>
      <c r="HH49" s="96">
        <f t="shared" ca="1" si="76"/>
        <v>130062.90102243568</v>
      </c>
      <c r="HI49" s="96">
        <f t="shared" ca="1" si="74"/>
        <v>73932.695750273415</v>
      </c>
      <c r="HJ49" s="96">
        <f t="shared" ca="1" si="48"/>
        <v>125245.75654012324</v>
      </c>
      <c r="HK49" s="96">
        <f t="shared" ca="1" si="48"/>
        <v>167552.85155869331</v>
      </c>
      <c r="HL49" s="96">
        <f t="shared" ca="1" si="48"/>
        <v>0</v>
      </c>
      <c r="HM49" s="96">
        <f t="shared" ca="1" si="48"/>
        <v>0</v>
      </c>
      <c r="HN49" s="96">
        <f t="shared" ca="1" si="48"/>
        <v>0</v>
      </c>
      <c r="HO49" s="96">
        <f t="shared" ca="1" si="48"/>
        <v>0</v>
      </c>
      <c r="HP49" s="96">
        <f t="shared" ca="1" si="48"/>
        <v>0</v>
      </c>
      <c r="HQ49" s="96">
        <f t="shared" ca="1" si="48"/>
        <v>0</v>
      </c>
      <c r="HS49" s="97">
        <f t="shared" ca="1" si="21"/>
        <v>117077.55502663695</v>
      </c>
    </row>
    <row r="50" spans="1:227" ht="17.25" thickTop="1" thickBot="1" x14ac:dyDescent="0.3">
      <c r="A50" s="102" t="s">
        <v>79</v>
      </c>
      <c r="B50" s="103" t="s">
        <v>412</v>
      </c>
      <c r="C50" s="73" t="s">
        <v>413</v>
      </c>
      <c r="D50" s="74" t="s">
        <v>0</v>
      </c>
      <c r="E50" s="74" t="s">
        <v>349</v>
      </c>
      <c r="F50" s="73"/>
      <c r="G50" s="75">
        <f t="shared" ca="1" si="91"/>
        <v>133</v>
      </c>
      <c r="H50" s="75">
        <v>133</v>
      </c>
      <c r="I50" s="75">
        <f t="shared" ca="1" si="78"/>
        <v>266</v>
      </c>
      <c r="J50" s="76">
        <f ca="1">[1]Parameters!$C$3+G50</f>
        <v>45964</v>
      </c>
      <c r="K50" s="77">
        <f t="shared" ca="1" si="23"/>
        <v>11</v>
      </c>
      <c r="L50" s="77">
        <f t="shared" ca="1" si="24"/>
        <v>2025</v>
      </c>
      <c r="M50" s="76">
        <f ca="1">[1]Parameters!$C$3+I50</f>
        <v>46097</v>
      </c>
      <c r="N50" s="77">
        <f t="shared" ca="1" si="25"/>
        <v>3</v>
      </c>
      <c r="O50" s="77">
        <f t="shared" ca="1" si="26"/>
        <v>2026</v>
      </c>
      <c r="P50" s="78">
        <v>0.9</v>
      </c>
      <c r="Q50" s="79" t="str">
        <f ca="1">VLOOKUP(A50,[1]ABC!A:G,7,0)</f>
        <v>C</v>
      </c>
      <c r="R50" s="80">
        <f t="shared" ca="1" si="9"/>
        <v>0</v>
      </c>
      <c r="S50" s="81">
        <v>56.64</v>
      </c>
      <c r="T50" s="82">
        <f t="shared" ca="1" si="10"/>
        <v>100</v>
      </c>
      <c r="U50" s="83">
        <f ca="1">IF((ROUND(AVERAGE(BI50:BR50)/10,0)*10)&lt;T50,T50,ROUND(AVERAGE(BI50:BR50)/10,0)*10)</f>
        <v>330</v>
      </c>
      <c r="V50" s="80">
        <v>2200</v>
      </c>
      <c r="W50" s="80">
        <f t="shared" ca="1" si="27"/>
        <v>2200</v>
      </c>
      <c r="X50" s="80"/>
      <c r="Y50" s="84">
        <v>8.36</v>
      </c>
      <c r="Z50" s="85">
        <v>2</v>
      </c>
      <c r="AA50" s="85">
        <v>0</v>
      </c>
      <c r="AB50" s="85">
        <v>0</v>
      </c>
      <c r="AC50" s="85">
        <v>1259</v>
      </c>
      <c r="AD50" s="85">
        <v>510</v>
      </c>
      <c r="AE50" s="85">
        <v>490</v>
      </c>
      <c r="AF50" s="85">
        <v>994</v>
      </c>
      <c r="AG50" s="85">
        <v>385</v>
      </c>
      <c r="AH50" s="85">
        <v>541</v>
      </c>
      <c r="AI50" s="75">
        <v>2422</v>
      </c>
      <c r="AJ50" s="75">
        <f t="shared" ca="1" si="79"/>
        <v>2084.2629999999999</v>
      </c>
      <c r="AK50" s="75">
        <f t="shared" ca="1" si="79"/>
        <v>1772.7579999999998</v>
      </c>
      <c r="AL50" s="75">
        <f t="shared" ca="1" si="79"/>
        <v>1450.3229999999999</v>
      </c>
      <c r="AM50" s="75">
        <f t="shared" ca="1" si="79"/>
        <v>1079.7959999999998</v>
      </c>
      <c r="AN50" s="75">
        <f t="shared" ca="1" si="79"/>
        <v>707.08299999999986</v>
      </c>
      <c r="AO50" s="75">
        <f t="shared" ca="1" si="79"/>
        <v>395.08299999999986</v>
      </c>
      <c r="AP50" s="75">
        <f t="shared" ca="1" si="79"/>
        <v>73.082999999999856</v>
      </c>
      <c r="AQ50" s="75">
        <f t="shared" ca="1" si="79"/>
        <v>1902.0829999999996</v>
      </c>
      <c r="AR50" s="75">
        <f t="shared" ca="1" si="79"/>
        <v>1529.0829999999996</v>
      </c>
      <c r="AS50" s="75">
        <f t="shared" ca="1" si="79"/>
        <v>1161.0829999999996</v>
      </c>
      <c r="AT50" s="75">
        <f t="shared" ca="1" si="79"/>
        <v>808.08299999999963</v>
      </c>
      <c r="AU50" s="75">
        <f t="shared" ca="1" si="79"/>
        <v>443.08299999999963</v>
      </c>
      <c r="AV50" s="75">
        <f t="shared" ca="1" si="79"/>
        <v>78.082999999999629</v>
      </c>
      <c r="AW50" s="75">
        <f t="shared" ca="1" si="79"/>
        <v>78.082999999999629</v>
      </c>
      <c r="AX50" s="75">
        <f t="shared" ca="1" si="79"/>
        <v>78.082999999999629</v>
      </c>
      <c r="AY50" s="75">
        <f t="shared" ca="1" si="54"/>
        <v>78.082999999999629</v>
      </c>
      <c r="AZ50" s="75">
        <f t="shared" ca="1" si="12"/>
        <v>78.082999999999629</v>
      </c>
      <c r="BA50" s="75">
        <f t="shared" ca="1" si="12"/>
        <v>78.082999999999629</v>
      </c>
      <c r="BB50" s="166"/>
      <c r="BC50" s="86">
        <v>1.98</v>
      </c>
      <c r="BD50" s="86">
        <v>-0.02</v>
      </c>
      <c r="BE50" s="86">
        <v>305.75</v>
      </c>
      <c r="BF50" s="86">
        <v>305.75</v>
      </c>
      <c r="BG50" s="86">
        <v>213.13499999999999</v>
      </c>
      <c r="BH50" s="86">
        <v>361.78300000000002</v>
      </c>
      <c r="BI50" s="86">
        <v>490.75700000000001</v>
      </c>
      <c r="BJ50" s="86">
        <v>191.27500000000001</v>
      </c>
      <c r="BK50" s="86">
        <v>315.87700000000001</v>
      </c>
      <c r="BL50" s="86">
        <v>337.73700000000002</v>
      </c>
      <c r="BM50" s="86">
        <v>311.505</v>
      </c>
      <c r="BN50" s="86">
        <v>322.435</v>
      </c>
      <c r="BO50" s="86">
        <v>370.52699999999999</v>
      </c>
      <c r="BP50" s="86">
        <v>372.71300000000002</v>
      </c>
      <c r="BQ50" s="86">
        <v>312</v>
      </c>
      <c r="BR50" s="86">
        <v>322</v>
      </c>
      <c r="BS50" s="86">
        <v>371</v>
      </c>
      <c r="BT50" s="86">
        <v>373</v>
      </c>
      <c r="BU50" s="86">
        <v>368</v>
      </c>
      <c r="BV50" s="86">
        <v>353</v>
      </c>
      <c r="BW50" s="86">
        <f ca="1">VLOOKUP(A50,[3]Export!$B:$Q,16,0)</f>
        <v>365</v>
      </c>
      <c r="BX50" s="86">
        <v>365</v>
      </c>
      <c r="BY50" s="86">
        <v>0</v>
      </c>
      <c r="BZ50" s="86">
        <v>0</v>
      </c>
      <c r="CA50" s="86">
        <v>0</v>
      </c>
      <c r="CB50" s="86">
        <v>0</v>
      </c>
      <c r="CC50" s="86">
        <v>0</v>
      </c>
      <c r="CD50" s="86">
        <v>0</v>
      </c>
      <c r="CE50" s="86">
        <f t="shared" ca="1" si="28"/>
        <v>24.677025652961561</v>
      </c>
      <c r="CF50" s="87"/>
      <c r="CG50" s="86">
        <v>0</v>
      </c>
      <c r="CH50" s="86">
        <v>0</v>
      </c>
      <c r="CI50" s="86">
        <v>0</v>
      </c>
      <c r="CJ50" s="86">
        <v>0</v>
      </c>
      <c r="CK50" s="86">
        <v>0</v>
      </c>
      <c r="CL50" s="86">
        <v>0</v>
      </c>
      <c r="CM50" s="86">
        <v>0</v>
      </c>
      <c r="CN50" s="86">
        <v>0</v>
      </c>
      <c r="CO50" s="86">
        <v>0</v>
      </c>
      <c r="CP50" s="86">
        <v>0</v>
      </c>
      <c r="CQ50" s="86">
        <v>0</v>
      </c>
      <c r="CR50" s="86">
        <v>0</v>
      </c>
      <c r="CS50" s="86">
        <v>0</v>
      </c>
      <c r="CT50" s="86">
        <v>0</v>
      </c>
      <c r="CU50" s="90">
        <v>0</v>
      </c>
      <c r="CV50" s="86">
        <v>2200</v>
      </c>
      <c r="CW50" s="86">
        <v>0</v>
      </c>
      <c r="CX50" s="90">
        <v>0</v>
      </c>
      <c r="CY50" s="90">
        <v>0</v>
      </c>
      <c r="CZ50" s="90">
        <v>0</v>
      </c>
      <c r="DA50" s="90">
        <v>0</v>
      </c>
      <c r="DB50" s="90">
        <v>0</v>
      </c>
      <c r="DC50" s="90">
        <v>0</v>
      </c>
      <c r="DD50" s="90">
        <v>0</v>
      </c>
      <c r="DE50" s="90">
        <v>0</v>
      </c>
      <c r="DF50" s="90">
        <v>0</v>
      </c>
      <c r="DG50" s="86">
        <v>0</v>
      </c>
      <c r="DI50" s="91">
        <f ca="1">VLOOKUP(A50,'[2]2-Relatório'!$A:$J,9,0)</f>
        <v>70.739999999999995</v>
      </c>
      <c r="DJ50" s="92">
        <f t="shared" ca="1" si="89"/>
        <v>0</v>
      </c>
      <c r="DK50" s="92">
        <f t="shared" ca="1" si="89"/>
        <v>89061.659999999989</v>
      </c>
      <c r="DL50" s="92">
        <f t="shared" ca="1" si="89"/>
        <v>36077.399999999994</v>
      </c>
      <c r="DM50" s="92">
        <f t="shared" ca="1" si="89"/>
        <v>34662.6</v>
      </c>
      <c r="DN50" s="92">
        <f t="shared" ca="1" si="89"/>
        <v>70315.56</v>
      </c>
      <c r="DO50" s="92">
        <f t="shared" ca="1" si="89"/>
        <v>27234.899999999998</v>
      </c>
      <c r="DP50" s="92">
        <f t="shared" ca="1" si="89"/>
        <v>38270.339999999997</v>
      </c>
      <c r="DQ50" s="92">
        <f t="shared" ca="1" si="88"/>
        <v>171332.28</v>
      </c>
      <c r="DR50" s="92">
        <f t="shared" ca="1" si="88"/>
        <v>147440.76461999997</v>
      </c>
      <c r="DS50" s="92">
        <f t="shared" ca="1" si="88"/>
        <v>125404.90091999997</v>
      </c>
      <c r="DT50" s="92">
        <f t="shared" ca="1" si="88"/>
        <v>102595.84901999998</v>
      </c>
      <c r="DU50" s="92">
        <f t="shared" ca="1" si="88"/>
        <v>76384.769039999985</v>
      </c>
      <c r="DV50" s="92">
        <f t="shared" ca="1" si="88"/>
        <v>50019.051419999989</v>
      </c>
      <c r="DW50" s="92">
        <f t="shared" ca="1" si="88"/>
        <v>27948.171419999988</v>
      </c>
      <c r="DX50" s="92">
        <f t="shared" ca="1" si="88"/>
        <v>5169.891419999989</v>
      </c>
      <c r="DY50" s="92">
        <f t="shared" ca="1" si="88"/>
        <v>134553.35141999996</v>
      </c>
      <c r="DZ50" s="92">
        <f t="shared" ca="1" si="75"/>
        <v>108167.33141999997</v>
      </c>
      <c r="EA50" s="92">
        <f t="shared" ca="1" si="75"/>
        <v>82135.011419999966</v>
      </c>
      <c r="EB50" s="92">
        <f t="shared" ca="1" si="75"/>
        <v>57163.791419999972</v>
      </c>
      <c r="EC50" s="92">
        <f t="shared" ca="1" si="75"/>
        <v>31343.69141999997</v>
      </c>
      <c r="ED50" s="92">
        <f t="shared" ca="1" si="75"/>
        <v>5523.5914199999734</v>
      </c>
      <c r="EE50" s="92">
        <f t="shared" ca="1" si="75"/>
        <v>5523.5914199999734</v>
      </c>
      <c r="EF50" s="92">
        <f t="shared" ca="1" si="75"/>
        <v>5523.5914199999734</v>
      </c>
      <c r="EG50" s="92">
        <f t="shared" ca="1" si="73"/>
        <v>5523.5914199999734</v>
      </c>
      <c r="EH50" s="92">
        <f t="shared" ca="1" si="46"/>
        <v>5523.5914199999734</v>
      </c>
      <c r="EI50" s="92">
        <f t="shared" ca="1" si="46"/>
        <v>5523.5914199999734</v>
      </c>
      <c r="EL50" s="93">
        <f t="shared" ca="1" si="57"/>
        <v>112.1472</v>
      </c>
      <c r="EM50" s="93">
        <f t="shared" ca="1" si="57"/>
        <v>-1.1328</v>
      </c>
      <c r="EN50" s="92">
        <f t="shared" ca="1" si="83"/>
        <v>21628.754999999997</v>
      </c>
      <c r="EO50" s="92">
        <f t="shared" ca="1" si="83"/>
        <v>21628.754999999997</v>
      </c>
      <c r="EP50" s="92">
        <f t="shared" ca="1" si="83"/>
        <v>15077.169899999999</v>
      </c>
      <c r="EQ50" s="92">
        <f t="shared" ca="1" si="83"/>
        <v>25592.529419999999</v>
      </c>
      <c r="ER50" s="92">
        <f t="shared" ca="1" si="83"/>
        <v>34716.150179999997</v>
      </c>
      <c r="ES50" s="92">
        <f t="shared" ca="1" si="83"/>
        <v>13530.7935</v>
      </c>
      <c r="ET50" s="92">
        <f t="shared" ca="1" si="83"/>
        <v>22345.13898</v>
      </c>
      <c r="EU50" s="92">
        <f t="shared" ca="1" si="83"/>
        <v>23891.515380000001</v>
      </c>
      <c r="EV50" s="92">
        <f t="shared" ca="1" si="83"/>
        <v>22035.863699999998</v>
      </c>
      <c r="EW50" s="92">
        <f t="shared" ca="1" si="83"/>
        <v>22809.051899999999</v>
      </c>
      <c r="EX50" s="92">
        <f t="shared" ca="1" si="83"/>
        <v>26211.079979999999</v>
      </c>
      <c r="EY50" s="92">
        <f t="shared" ca="1" si="83"/>
        <v>26365.717619999999</v>
      </c>
      <c r="EZ50" s="92">
        <f t="shared" ca="1" si="83"/>
        <v>22070.879999999997</v>
      </c>
      <c r="FA50" s="92">
        <f t="shared" ca="1" si="83"/>
        <v>22778.28</v>
      </c>
      <c r="FB50" s="92">
        <f t="shared" ca="1" si="83"/>
        <v>26244.539999999997</v>
      </c>
      <c r="FC50" s="92">
        <f t="shared" ca="1" si="82"/>
        <v>26386.019999999997</v>
      </c>
      <c r="FD50" s="92">
        <f t="shared" ca="1" si="58"/>
        <v>26032.32</v>
      </c>
      <c r="FE50" s="92">
        <f t="shared" ca="1" si="58"/>
        <v>24971.219999999998</v>
      </c>
      <c r="FF50" s="92">
        <f t="shared" ca="1" si="58"/>
        <v>25820.1</v>
      </c>
      <c r="FG50" s="92">
        <f t="shared" ca="1" si="58"/>
        <v>25820.1</v>
      </c>
      <c r="FH50" s="92">
        <f t="shared" ca="1" si="55"/>
        <v>0</v>
      </c>
      <c r="FI50" s="92">
        <f t="shared" ca="1" si="55"/>
        <v>0</v>
      </c>
      <c r="FJ50" s="92">
        <f t="shared" ca="1" si="55"/>
        <v>0</v>
      </c>
      <c r="FK50" s="92">
        <f t="shared" ca="1" si="55"/>
        <v>0</v>
      </c>
      <c r="FL50" s="92">
        <f t="shared" ca="1" si="55"/>
        <v>0</v>
      </c>
      <c r="FM50" s="92">
        <f t="shared" ca="1" si="55"/>
        <v>0</v>
      </c>
      <c r="FN50" s="94">
        <f t="shared" ca="1" si="93"/>
        <v>0</v>
      </c>
      <c r="FO50" s="94">
        <f t="shared" ca="1" si="94"/>
        <v>2200</v>
      </c>
      <c r="FP50" s="95">
        <f t="shared" ca="1" si="59"/>
        <v>30.303030303030305</v>
      </c>
      <c r="FQ50" s="95">
        <f t="shared" ca="1" si="59"/>
        <v>0</v>
      </c>
      <c r="FR50" s="95">
        <f t="shared" ca="1" si="96"/>
        <v>0</v>
      </c>
      <c r="FS50" s="95">
        <f t="shared" ca="1" si="96"/>
        <v>123.53229762878169</v>
      </c>
      <c r="FT50" s="95">
        <f t="shared" ca="1" si="96"/>
        <v>71.785488070940943</v>
      </c>
      <c r="FU50" s="95">
        <f t="shared" ca="1" si="96"/>
        <v>40.632091612928193</v>
      </c>
      <c r="FV50" s="95">
        <f t="shared" ca="1" si="96"/>
        <v>60.76326980562682</v>
      </c>
      <c r="FW50" s="95">
        <f t="shared" ca="1" si="95"/>
        <v>60.384263494967975</v>
      </c>
      <c r="FX50" s="95">
        <f t="shared" ca="1" si="95"/>
        <v>51.380758966306502</v>
      </c>
      <c r="FY50" s="95">
        <f t="shared" ca="1" si="95"/>
        <v>215.13781433482265</v>
      </c>
      <c r="FZ50" s="95">
        <f t="shared" ca="1" si="95"/>
        <v>200.72836712091296</v>
      </c>
      <c r="GA50" s="95">
        <f t="shared" ca="1" si="95"/>
        <v>164.94096484562778</v>
      </c>
      <c r="GB50" s="95">
        <f t="shared" ca="1" si="95"/>
        <v>117.42650333174099</v>
      </c>
      <c r="GC50" s="95">
        <f t="shared" ca="1" si="95"/>
        <v>86.91373791630555</v>
      </c>
      <c r="GD50" s="95">
        <f t="shared" ca="1" si="95"/>
        <v>67.988749999999996</v>
      </c>
      <c r="GE50" s="95">
        <f t="shared" ca="1" si="95"/>
        <v>36.808975155279491</v>
      </c>
      <c r="GF50" s="95">
        <f t="shared" ca="1" si="95"/>
        <v>5.9096765498652166</v>
      </c>
      <c r="GG50" s="95">
        <f t="shared" ca="1" si="90"/>
        <v>152.98254691689004</v>
      </c>
      <c r="GH50" s="95">
        <f t="shared" ca="1" si="90"/>
        <v>124.65350543478259</v>
      </c>
      <c r="GI50" s="95">
        <f t="shared" ca="1" si="97"/>
        <v>98.675609065155768</v>
      </c>
      <c r="GJ50" s="95">
        <f t="shared" ca="1" si="97"/>
        <v>66.417780821917788</v>
      </c>
      <c r="GK50" s="95">
        <f t="shared" ca="1" si="97"/>
        <v>36.417780821917773</v>
      </c>
      <c r="GL50" s="95">
        <f t="shared" ca="1" si="97"/>
        <v>0</v>
      </c>
      <c r="GM50" s="95">
        <f t="shared" ca="1" si="97"/>
        <v>0</v>
      </c>
      <c r="GN50" s="95">
        <f t="shared" ca="1" si="97"/>
        <v>0</v>
      </c>
      <c r="GO50" s="95">
        <f t="shared" ca="1" si="97"/>
        <v>0</v>
      </c>
      <c r="GP50" s="95">
        <f t="shared" ca="1" si="97"/>
        <v>0</v>
      </c>
      <c r="GQ50" s="95">
        <f t="shared" ca="1" si="97"/>
        <v>0</v>
      </c>
      <c r="GS50" s="7">
        <v>259.27789269066659</v>
      </c>
      <c r="GT50" s="96">
        <f t="shared" ca="1" si="76"/>
        <v>55261.19365862522</v>
      </c>
      <c r="GU50" s="96">
        <f t="shared" ca="1" si="76"/>
        <v>93802.333851307441</v>
      </c>
      <c r="GV50" s="96">
        <f t="shared" ca="1" si="76"/>
        <v>127242.44078319347</v>
      </c>
      <c r="GW50" s="96">
        <f t="shared" ca="1" si="76"/>
        <v>49593.378924407254</v>
      </c>
      <c r="GX50" s="96">
        <f t="shared" ca="1" si="76"/>
        <v>81899.922909449699</v>
      </c>
      <c r="GY50" s="96">
        <f t="shared" ca="1" si="76"/>
        <v>87567.737643667671</v>
      </c>
      <c r="GZ50" s="96">
        <f t="shared" ca="1" si="76"/>
        <v>80766.35996260609</v>
      </c>
      <c r="HA50" s="96">
        <f t="shared" ca="1" si="76"/>
        <v>83600.267329715076</v>
      </c>
      <c r="HB50" s="96">
        <f t="shared" ca="1" si="76"/>
        <v>96069.459744994616</v>
      </c>
      <c r="HC50" s="96">
        <f t="shared" ca="1" si="76"/>
        <v>96636.241218416428</v>
      </c>
      <c r="HD50" s="96">
        <f t="shared" ca="1" si="76"/>
        <v>80894.702519487982</v>
      </c>
      <c r="HE50" s="96">
        <f t="shared" ca="1" si="76"/>
        <v>83487.481446394639</v>
      </c>
      <c r="HF50" s="96">
        <f t="shared" ca="1" si="76"/>
        <v>96192.098188237302</v>
      </c>
      <c r="HG50" s="96">
        <f t="shared" ca="1" si="76"/>
        <v>96710.653973618639</v>
      </c>
      <c r="HH50" s="96">
        <f t="shared" ca="1" si="76"/>
        <v>95414.264510165303</v>
      </c>
      <c r="HI50" s="96">
        <f t="shared" ca="1" si="74"/>
        <v>91525.096119805312</v>
      </c>
      <c r="HJ50" s="96">
        <f t="shared" ca="1" si="48"/>
        <v>94636.430832093305</v>
      </c>
      <c r="HK50" s="96">
        <f t="shared" ca="1" si="48"/>
        <v>94636.430832093305</v>
      </c>
      <c r="HL50" s="96">
        <f t="shared" ca="1" si="48"/>
        <v>0</v>
      </c>
      <c r="HM50" s="96">
        <f t="shared" ca="1" si="48"/>
        <v>0</v>
      </c>
      <c r="HN50" s="96">
        <f t="shared" ca="1" si="48"/>
        <v>0</v>
      </c>
      <c r="HO50" s="96">
        <f t="shared" ca="1" si="48"/>
        <v>0</v>
      </c>
      <c r="HP50" s="96">
        <f t="shared" ca="1" si="48"/>
        <v>0</v>
      </c>
      <c r="HQ50" s="96">
        <f t="shared" ca="1" si="48"/>
        <v>0</v>
      </c>
      <c r="HS50" s="97">
        <f t="shared" ca="1" si="21"/>
        <v>132231.72527223997</v>
      </c>
    </row>
    <row r="51" spans="1:227" ht="17.25" thickTop="1" thickBot="1" x14ac:dyDescent="0.3">
      <c r="A51" s="16" t="s">
        <v>73</v>
      </c>
      <c r="B51" s="73" t="s">
        <v>414</v>
      </c>
      <c r="C51" s="73" t="s">
        <v>415</v>
      </c>
      <c r="D51" s="74" t="s">
        <v>0</v>
      </c>
      <c r="E51" s="74" t="s">
        <v>349</v>
      </c>
      <c r="F51" s="73"/>
      <c r="G51" s="75">
        <f t="shared" ca="1" si="91"/>
        <v>133</v>
      </c>
      <c r="H51" s="75">
        <v>133</v>
      </c>
      <c r="I51" s="75">
        <f t="shared" ca="1" si="78"/>
        <v>266</v>
      </c>
      <c r="J51" s="76">
        <f ca="1">[1]Parameters!$C$3+G51</f>
        <v>45964</v>
      </c>
      <c r="K51" s="77">
        <f t="shared" ca="1" si="23"/>
        <v>11</v>
      </c>
      <c r="L51" s="77">
        <f t="shared" ca="1" si="24"/>
        <v>2025</v>
      </c>
      <c r="M51" s="76">
        <f ca="1">[1]Parameters!$C$3+I51</f>
        <v>46097</v>
      </c>
      <c r="N51" s="77">
        <f t="shared" ca="1" si="25"/>
        <v>3</v>
      </c>
      <c r="O51" s="77">
        <f t="shared" ca="1" si="26"/>
        <v>2026</v>
      </c>
      <c r="P51" s="78">
        <v>0.9</v>
      </c>
      <c r="Q51" s="79" t="str">
        <f ca="1">VLOOKUP(A51,[1]ABC!A:G,7,0)</f>
        <v>C</v>
      </c>
      <c r="R51" s="80">
        <f t="shared" ca="1" si="9"/>
        <v>0</v>
      </c>
      <c r="S51" s="81">
        <v>123.65</v>
      </c>
      <c r="T51" s="82">
        <f t="shared" ca="1" si="10"/>
        <v>200</v>
      </c>
      <c r="U51" s="83">
        <f ca="1">IF((ROUND(AVERAGE(BI51:BR51)/10,0)*10)&lt;T51,T51,ROUND(AVERAGE(BI51:BR51)/10,0)*10)</f>
        <v>200</v>
      </c>
      <c r="V51" s="80">
        <v>2000</v>
      </c>
      <c r="W51" s="80">
        <f t="shared" ca="1" si="27"/>
        <v>2000</v>
      </c>
      <c r="X51" s="80"/>
      <c r="Y51" s="84">
        <v>18.75</v>
      </c>
      <c r="Z51" s="85">
        <v>4</v>
      </c>
      <c r="AA51" s="85">
        <v>0</v>
      </c>
      <c r="AB51" s="85">
        <v>4</v>
      </c>
      <c r="AC51" s="85">
        <v>0</v>
      </c>
      <c r="AD51" s="85">
        <v>444</v>
      </c>
      <c r="AE51" s="85">
        <v>190</v>
      </c>
      <c r="AF51" s="85">
        <v>369</v>
      </c>
      <c r="AG51" s="85">
        <v>146</v>
      </c>
      <c r="AH51" s="85">
        <v>181</v>
      </c>
      <c r="AI51" s="75">
        <v>2641</v>
      </c>
      <c r="AJ51" s="75">
        <f t="shared" ca="1" si="79"/>
        <v>2466.12</v>
      </c>
      <c r="AK51" s="75">
        <f t="shared" ca="1" si="79"/>
        <v>2302.17</v>
      </c>
      <c r="AL51" s="75">
        <f t="shared" ca="1" si="79"/>
        <v>2126.1970000000001</v>
      </c>
      <c r="AM51" s="75">
        <f t="shared" ca="1" si="79"/>
        <v>1930.5500000000002</v>
      </c>
      <c r="AN51" s="75">
        <f t="shared" ca="1" si="79"/>
        <v>1643.0910000000001</v>
      </c>
      <c r="AO51" s="75">
        <f t="shared" ca="1" si="79"/>
        <v>1479.0910000000001</v>
      </c>
      <c r="AP51" s="75">
        <f t="shared" ca="1" si="79"/>
        <v>1303.0910000000001</v>
      </c>
      <c r="AQ51" s="75">
        <f t="shared" ca="1" si="79"/>
        <v>1107.0910000000001</v>
      </c>
      <c r="AR51" s="75">
        <f t="shared" ca="1" si="79"/>
        <v>820.09100000000012</v>
      </c>
      <c r="AS51" s="75">
        <f t="shared" ca="1" si="79"/>
        <v>635.09100000000012</v>
      </c>
      <c r="AT51" s="75">
        <f t="shared" ca="1" si="79"/>
        <v>330.09100000000012</v>
      </c>
      <c r="AU51" s="75">
        <f t="shared" ca="1" si="79"/>
        <v>71.091000000000122</v>
      </c>
      <c r="AV51" s="75">
        <f t="shared" ca="1" si="79"/>
        <v>0</v>
      </c>
      <c r="AW51" s="75">
        <f t="shared" ca="1" si="79"/>
        <v>0</v>
      </c>
      <c r="AX51" s="75">
        <f t="shared" ca="1" si="79"/>
        <v>0</v>
      </c>
      <c r="AY51" s="75">
        <f t="shared" ca="1" si="54"/>
        <v>0</v>
      </c>
      <c r="AZ51" s="75">
        <f t="shared" ca="1" si="12"/>
        <v>0</v>
      </c>
      <c r="BA51" s="75">
        <f t="shared" ca="1" si="12"/>
        <v>0</v>
      </c>
      <c r="BB51" s="166"/>
      <c r="BC51" s="86">
        <v>4</v>
      </c>
      <c r="BD51" s="86">
        <v>-0.03</v>
      </c>
      <c r="BE51" s="86">
        <v>0</v>
      </c>
      <c r="BF51" s="86">
        <v>250</v>
      </c>
      <c r="BG51" s="86">
        <v>116.95099999999999</v>
      </c>
      <c r="BH51" s="86">
        <v>181.43799999999999</v>
      </c>
      <c r="BI51" s="86">
        <v>250.297</v>
      </c>
      <c r="BJ51" s="86">
        <v>96.183999999999997</v>
      </c>
      <c r="BK51" s="86">
        <v>134.43899999999999</v>
      </c>
      <c r="BL51" s="86">
        <v>174.88</v>
      </c>
      <c r="BM51" s="86">
        <v>163.95</v>
      </c>
      <c r="BN51" s="86">
        <v>175.97300000000001</v>
      </c>
      <c r="BO51" s="86">
        <v>195.64699999999999</v>
      </c>
      <c r="BP51" s="86">
        <v>287.459</v>
      </c>
      <c r="BQ51" s="86">
        <v>164</v>
      </c>
      <c r="BR51" s="86">
        <v>176</v>
      </c>
      <c r="BS51" s="86">
        <v>196</v>
      </c>
      <c r="BT51" s="86">
        <v>287</v>
      </c>
      <c r="BU51" s="86">
        <v>185</v>
      </c>
      <c r="BV51" s="86">
        <v>305</v>
      </c>
      <c r="BW51" s="86">
        <f ca="1">VLOOKUP(A51,[3]Export!$B:$Q,16,0)</f>
        <v>259</v>
      </c>
      <c r="BX51" s="86">
        <v>259</v>
      </c>
      <c r="BY51" s="86">
        <v>0</v>
      </c>
      <c r="BZ51" s="86">
        <v>0</v>
      </c>
      <c r="CA51" s="86">
        <v>0</v>
      </c>
      <c r="CB51" s="86">
        <v>0</v>
      </c>
      <c r="CC51" s="86">
        <v>0</v>
      </c>
      <c r="CD51" s="86">
        <v>0</v>
      </c>
      <c r="CE51" s="86">
        <f t="shared" ca="1" si="28"/>
        <v>53.083441552801958</v>
      </c>
      <c r="CF51" s="87"/>
      <c r="CG51" s="86">
        <v>0</v>
      </c>
      <c r="CH51" s="86">
        <v>0</v>
      </c>
      <c r="CI51" s="86">
        <v>0</v>
      </c>
      <c r="CJ51" s="86">
        <v>0</v>
      </c>
      <c r="CK51" s="86">
        <v>0</v>
      </c>
      <c r="CL51" s="86">
        <v>0</v>
      </c>
      <c r="CM51" s="86">
        <v>0</v>
      </c>
      <c r="CN51" s="86">
        <v>0</v>
      </c>
      <c r="CO51" s="86">
        <v>0</v>
      </c>
      <c r="CP51" s="86">
        <v>0</v>
      </c>
      <c r="CQ51" s="86">
        <v>0</v>
      </c>
      <c r="CR51" s="86">
        <v>0</v>
      </c>
      <c r="CS51" s="86">
        <v>0</v>
      </c>
      <c r="CT51" s="86">
        <v>0</v>
      </c>
      <c r="CU51" s="90">
        <v>0</v>
      </c>
      <c r="CV51" s="90">
        <v>0</v>
      </c>
      <c r="CW51" s="86">
        <v>0</v>
      </c>
      <c r="CX51" s="90">
        <v>0</v>
      </c>
      <c r="CY51" s="90">
        <v>0</v>
      </c>
      <c r="CZ51" s="90">
        <v>0</v>
      </c>
      <c r="DA51" s="90">
        <v>0</v>
      </c>
      <c r="DB51" s="90">
        <v>0</v>
      </c>
      <c r="DC51" s="90">
        <v>0</v>
      </c>
      <c r="DD51" s="90">
        <v>0</v>
      </c>
      <c r="DE51" s="90">
        <v>0</v>
      </c>
      <c r="DF51" s="90">
        <v>0</v>
      </c>
      <c r="DG51" s="86">
        <v>0</v>
      </c>
      <c r="DI51" s="91">
        <f ca="1">VLOOKUP(A51,'[2]2-Relatório'!$A:$J,9,0)</f>
        <v>154.66</v>
      </c>
      <c r="DJ51" s="92">
        <f t="shared" ca="1" si="89"/>
        <v>618.64</v>
      </c>
      <c r="DK51" s="92">
        <f t="shared" ca="1" si="89"/>
        <v>0</v>
      </c>
      <c r="DL51" s="92">
        <f t="shared" ca="1" si="89"/>
        <v>68669.039999999994</v>
      </c>
      <c r="DM51" s="92">
        <f t="shared" ca="1" si="89"/>
        <v>29385.399999999998</v>
      </c>
      <c r="DN51" s="92">
        <f t="shared" ca="1" si="89"/>
        <v>57069.54</v>
      </c>
      <c r="DO51" s="92">
        <f t="shared" ca="1" si="89"/>
        <v>22580.36</v>
      </c>
      <c r="DP51" s="92">
        <f t="shared" ca="1" si="89"/>
        <v>27993.46</v>
      </c>
      <c r="DQ51" s="92">
        <f t="shared" ca="1" si="88"/>
        <v>408457.06</v>
      </c>
      <c r="DR51" s="92">
        <f t="shared" ca="1" si="88"/>
        <v>381410.11919999996</v>
      </c>
      <c r="DS51" s="92">
        <f t="shared" ca="1" si="88"/>
        <v>356053.61220000003</v>
      </c>
      <c r="DT51" s="92">
        <f t="shared" ca="1" si="88"/>
        <v>328837.62802</v>
      </c>
      <c r="DU51" s="92">
        <f t="shared" ca="1" si="88"/>
        <v>298578.86300000001</v>
      </c>
      <c r="DV51" s="92">
        <f t="shared" ca="1" si="88"/>
        <v>254120.45406000002</v>
      </c>
      <c r="DW51" s="92">
        <f t="shared" ca="1" si="88"/>
        <v>228756.21406000003</v>
      </c>
      <c r="DX51" s="92">
        <f t="shared" ca="1" si="88"/>
        <v>201536.05406000002</v>
      </c>
      <c r="DY51" s="92">
        <f t="shared" ca="1" si="88"/>
        <v>171222.69406000001</v>
      </c>
      <c r="DZ51" s="92">
        <f t="shared" ca="1" si="75"/>
        <v>126835.27406000001</v>
      </c>
      <c r="EA51" s="92">
        <f t="shared" ca="1" si="75"/>
        <v>98223.174060000019</v>
      </c>
      <c r="EB51" s="92">
        <f t="shared" ca="1" si="75"/>
        <v>51051.874060000016</v>
      </c>
      <c r="EC51" s="92">
        <f t="shared" ca="1" si="75"/>
        <v>10994.934060000018</v>
      </c>
      <c r="ED51" s="92">
        <f t="shared" ca="1" si="75"/>
        <v>0</v>
      </c>
      <c r="EE51" s="92">
        <f t="shared" ca="1" si="75"/>
        <v>0</v>
      </c>
      <c r="EF51" s="92">
        <f t="shared" ca="1" si="75"/>
        <v>0</v>
      </c>
      <c r="EG51" s="92">
        <f t="shared" ca="1" si="73"/>
        <v>0</v>
      </c>
      <c r="EH51" s="92">
        <f t="shared" ca="1" si="46"/>
        <v>0</v>
      </c>
      <c r="EI51" s="92">
        <f t="shared" ca="1" si="46"/>
        <v>0</v>
      </c>
      <c r="EL51" s="93">
        <f t="shared" ca="1" si="57"/>
        <v>494.6</v>
      </c>
      <c r="EM51" s="93">
        <f t="shared" ca="1" si="57"/>
        <v>-3.7095000000000002</v>
      </c>
      <c r="EN51" s="92">
        <f t="shared" ca="1" si="83"/>
        <v>0</v>
      </c>
      <c r="EO51" s="92">
        <f t="shared" ca="1" si="83"/>
        <v>38665</v>
      </c>
      <c r="EP51" s="92">
        <f t="shared" ca="1" si="83"/>
        <v>18087.641659999998</v>
      </c>
      <c r="EQ51" s="92">
        <f t="shared" ca="1" si="83"/>
        <v>28061.201079999999</v>
      </c>
      <c r="ER51" s="92">
        <f t="shared" ca="1" si="83"/>
        <v>38710.934020000001</v>
      </c>
      <c r="ES51" s="92">
        <f t="shared" ca="1" si="83"/>
        <v>14875.817439999999</v>
      </c>
      <c r="ET51" s="92">
        <f t="shared" ca="1" si="83"/>
        <v>20792.335739999999</v>
      </c>
      <c r="EU51" s="92">
        <f t="shared" ca="1" si="83"/>
        <v>27046.9408</v>
      </c>
      <c r="EV51" s="92">
        <f t="shared" ca="1" si="83"/>
        <v>25356.506999999998</v>
      </c>
      <c r="EW51" s="92">
        <f t="shared" ca="1" si="83"/>
        <v>27215.984180000003</v>
      </c>
      <c r="EX51" s="92">
        <f t="shared" ca="1" si="83"/>
        <v>30258.765019999999</v>
      </c>
      <c r="EY51" s="92">
        <f t="shared" ca="1" si="83"/>
        <v>44458.408940000001</v>
      </c>
      <c r="EZ51" s="92">
        <f t="shared" ca="1" si="83"/>
        <v>25364.239999999998</v>
      </c>
      <c r="FA51" s="92">
        <f t="shared" ca="1" si="83"/>
        <v>27220.16</v>
      </c>
      <c r="FB51" s="92">
        <f t="shared" ca="1" si="83"/>
        <v>30313.360000000001</v>
      </c>
      <c r="FC51" s="92">
        <f t="shared" ca="1" si="82"/>
        <v>44387.42</v>
      </c>
      <c r="FD51" s="92">
        <f t="shared" ca="1" si="58"/>
        <v>28612.1</v>
      </c>
      <c r="FE51" s="92">
        <f t="shared" ca="1" si="58"/>
        <v>47171.299999999996</v>
      </c>
      <c r="FF51" s="92">
        <f t="shared" ca="1" si="58"/>
        <v>40056.94</v>
      </c>
      <c r="FG51" s="92">
        <f t="shared" ca="1" si="58"/>
        <v>40056.94</v>
      </c>
      <c r="FH51" s="92">
        <f t="shared" ca="1" si="55"/>
        <v>0</v>
      </c>
      <c r="FI51" s="92">
        <f t="shared" ca="1" si="55"/>
        <v>0</v>
      </c>
      <c r="FJ51" s="92">
        <f t="shared" ca="1" si="55"/>
        <v>0</v>
      </c>
      <c r="FK51" s="92">
        <f t="shared" ca="1" si="55"/>
        <v>0</v>
      </c>
      <c r="FL51" s="92">
        <f t="shared" ca="1" si="55"/>
        <v>0</v>
      </c>
      <c r="FM51" s="92">
        <f t="shared" ca="1" si="55"/>
        <v>0</v>
      </c>
      <c r="FN51" s="94">
        <f t="shared" ca="1" si="93"/>
        <v>0</v>
      </c>
      <c r="FO51" s="94">
        <f t="shared" ca="1" si="94"/>
        <v>0</v>
      </c>
      <c r="FP51" s="95">
        <f t="shared" ca="1" si="59"/>
        <v>30</v>
      </c>
      <c r="FQ51" s="95">
        <f t="shared" ca="1" si="59"/>
        <v>0</v>
      </c>
      <c r="FR51" s="95">
        <f t="shared" ca="1" si="96"/>
        <v>0</v>
      </c>
      <c r="FS51" s="95">
        <f t="shared" ca="1" si="96"/>
        <v>0</v>
      </c>
      <c r="FT51" s="95">
        <f t="shared" ca="1" si="96"/>
        <v>113.89385298116306</v>
      </c>
      <c r="FU51" s="95">
        <f t="shared" ca="1" si="96"/>
        <v>31.415690208225399</v>
      </c>
      <c r="FV51" s="95">
        <f t="shared" ca="1" si="96"/>
        <v>44.227457780157174</v>
      </c>
      <c r="FW51" s="95">
        <f t="shared" ca="1" si="95"/>
        <v>45.537719371205192</v>
      </c>
      <c r="FX51" s="95">
        <f t="shared" ca="1" si="95"/>
        <v>40.390065382813027</v>
      </c>
      <c r="FY51" s="95">
        <f t="shared" ca="1" si="95"/>
        <v>453.05352241537054</v>
      </c>
      <c r="FZ51" s="95">
        <f t="shared" ca="1" si="95"/>
        <v>451.25709057639523</v>
      </c>
      <c r="GA51" s="95">
        <f t="shared" ca="1" si="95"/>
        <v>392.4755502264552</v>
      </c>
      <c r="GB51" s="95">
        <f t="shared" ca="1" si="95"/>
        <v>326.02549489642064</v>
      </c>
      <c r="GC51" s="95">
        <f t="shared" ca="1" si="95"/>
        <v>201.47742808539653</v>
      </c>
      <c r="GD51" s="95">
        <f t="shared" ca="1" si="95"/>
        <v>300.56542682926835</v>
      </c>
      <c r="GE51" s="95">
        <f t="shared" ca="1" si="95"/>
        <v>252.11778409090911</v>
      </c>
      <c r="GF51" s="95">
        <f t="shared" ca="1" si="95"/>
        <v>199.45270408163267</v>
      </c>
      <c r="GG51" s="95">
        <f t="shared" ca="1" si="90"/>
        <v>115.72379790940768</v>
      </c>
      <c r="GH51" s="95">
        <f t="shared" ca="1" si="90"/>
        <v>132.98772972972975</v>
      </c>
      <c r="GI51" s="95">
        <f t="shared" ca="1" si="97"/>
        <v>62.467967213114775</v>
      </c>
      <c r="GJ51" s="95">
        <f t="shared" ca="1" si="97"/>
        <v>38.234478764478773</v>
      </c>
      <c r="GK51" s="95">
        <f t="shared" ca="1" si="97"/>
        <v>8.2344787644787782</v>
      </c>
      <c r="GL51" s="95">
        <f t="shared" ca="1" si="97"/>
        <v>0</v>
      </c>
      <c r="GM51" s="95">
        <f t="shared" ca="1" si="97"/>
        <v>0</v>
      </c>
      <c r="GN51" s="95">
        <f t="shared" ca="1" si="97"/>
        <v>0</v>
      </c>
      <c r="GO51" s="95">
        <f t="shared" ca="1" si="97"/>
        <v>0</v>
      </c>
      <c r="GP51" s="95">
        <f t="shared" ca="1" si="97"/>
        <v>0</v>
      </c>
      <c r="GQ51" s="95">
        <f t="shared" ca="1" si="97"/>
        <v>0</v>
      </c>
      <c r="GS51" s="7">
        <v>453.4281402702332</v>
      </c>
      <c r="GT51" s="96">
        <f t="shared" ca="1" si="76"/>
        <v>53028.874432744044</v>
      </c>
      <c r="GU51" s="96">
        <f t="shared" ca="1" si="76"/>
        <v>82269.094914350571</v>
      </c>
      <c r="GV51" s="96">
        <f t="shared" ca="1" si="76"/>
        <v>113491.70322521856</v>
      </c>
      <c r="GW51" s="96">
        <f t="shared" ca="1" si="76"/>
        <v>43612.53224375211</v>
      </c>
      <c r="GX51" s="96">
        <f t="shared" ca="1" si="76"/>
        <v>60958.42574978988</v>
      </c>
      <c r="GY51" s="96">
        <f t="shared" ca="1" si="76"/>
        <v>79295.513170458376</v>
      </c>
      <c r="GZ51" s="96">
        <f t="shared" ca="1" si="76"/>
        <v>74339.543597304728</v>
      </c>
      <c r="HA51" s="96">
        <f t="shared" ca="1" si="76"/>
        <v>79791.110127773747</v>
      </c>
      <c r="HB51" s="96">
        <f t="shared" ca="1" si="76"/>
        <v>88711.855359450317</v>
      </c>
      <c r="HC51" s="96">
        <f t="shared" ca="1" si="76"/>
        <v>130341.99977394097</v>
      </c>
      <c r="HD51" s="96">
        <f t="shared" ca="1" si="76"/>
        <v>74362.215004318248</v>
      </c>
      <c r="HE51" s="96">
        <f t="shared" ca="1" si="76"/>
        <v>79803.352687561041</v>
      </c>
      <c r="HF51" s="96">
        <f t="shared" ca="1" si="76"/>
        <v>88871.915492965709</v>
      </c>
      <c r="HG51" s="96">
        <f t="shared" ca="1" si="76"/>
        <v>130133.87625755693</v>
      </c>
      <c r="HH51" s="96">
        <f t="shared" ca="1" si="76"/>
        <v>83884.205949993149</v>
      </c>
      <c r="HI51" s="96">
        <f t="shared" ca="1" si="74"/>
        <v>138295.58278242112</v>
      </c>
      <c r="HJ51" s="96">
        <f t="shared" ca="1" si="48"/>
        <v>117437.8883299904</v>
      </c>
      <c r="HK51" s="96">
        <f t="shared" ca="1" si="48"/>
        <v>117437.8883299904</v>
      </c>
      <c r="HL51" s="96">
        <f t="shared" ca="1" si="48"/>
        <v>0</v>
      </c>
      <c r="HM51" s="96">
        <f t="shared" ca="1" si="48"/>
        <v>0</v>
      </c>
      <c r="HN51" s="96">
        <f t="shared" ca="1" si="48"/>
        <v>0</v>
      </c>
      <c r="HO51" s="96">
        <f t="shared" ca="1" si="48"/>
        <v>0</v>
      </c>
      <c r="HP51" s="96">
        <f t="shared" ca="1" si="48"/>
        <v>0</v>
      </c>
      <c r="HQ51" s="96">
        <f t="shared" ref="HQ51:HQ52" ca="1" si="98">$GS51*CD51</f>
        <v>0</v>
      </c>
      <c r="HS51" s="97">
        <f t="shared" ca="1" si="21"/>
        <v>201322.09427998355</v>
      </c>
    </row>
    <row r="52" spans="1:227" ht="17.25" thickTop="1" thickBot="1" x14ac:dyDescent="0.3">
      <c r="A52" s="102" t="s">
        <v>77</v>
      </c>
      <c r="B52" s="103" t="s">
        <v>416</v>
      </c>
      <c r="C52" s="73" t="s">
        <v>417</v>
      </c>
      <c r="D52" s="74" t="s">
        <v>0</v>
      </c>
      <c r="E52" s="127" t="s">
        <v>349</v>
      </c>
      <c r="F52" s="86"/>
      <c r="G52" s="75">
        <f t="shared" ca="1" si="91"/>
        <v>133</v>
      </c>
      <c r="H52" s="75">
        <v>133</v>
      </c>
      <c r="I52" s="75">
        <f t="shared" ca="1" si="78"/>
        <v>266</v>
      </c>
      <c r="J52" s="76">
        <f ca="1">[1]Parameters!$C$3+G52</f>
        <v>45964</v>
      </c>
      <c r="K52" s="77">
        <f t="shared" ca="1" si="23"/>
        <v>11</v>
      </c>
      <c r="L52" s="77">
        <f t="shared" ca="1" si="24"/>
        <v>2025</v>
      </c>
      <c r="M52" s="76">
        <f ca="1">[1]Parameters!$C$3+I52</f>
        <v>46097</v>
      </c>
      <c r="N52" s="77">
        <f t="shared" ca="1" si="25"/>
        <v>3</v>
      </c>
      <c r="O52" s="77">
        <f t="shared" ca="1" si="26"/>
        <v>2026</v>
      </c>
      <c r="P52" s="78">
        <v>0.9</v>
      </c>
      <c r="Q52" s="79" t="str">
        <f ca="1">VLOOKUP(A52,[1]ABC!A:G,7,0)</f>
        <v>C</v>
      </c>
      <c r="R52" s="80">
        <f t="shared" ref="R52:R74" ca="1" si="99">IFERROR($AA52*$S52/(SUM(EM52:EO52)/90),0)</f>
        <v>47.748153069934801</v>
      </c>
      <c r="S52" s="81">
        <v>54.46</v>
      </c>
      <c r="T52" s="128">
        <f t="shared" ca="1" si="10"/>
        <v>800</v>
      </c>
      <c r="U52" s="83">
        <f ca="1">IF((ROUND(AVERAGE(BI52:BR52)/10,0)*10)&lt;T52,T52,ROUND(AVERAGE(BI52:BR52)/10,0)*10)</f>
        <v>800</v>
      </c>
      <c r="V52" s="80">
        <v>3000</v>
      </c>
      <c r="W52" s="80">
        <f t="shared" ca="1" si="27"/>
        <v>3000</v>
      </c>
      <c r="X52" s="80"/>
      <c r="Y52" s="84">
        <v>7.73</v>
      </c>
      <c r="Z52" s="85">
        <v>0</v>
      </c>
      <c r="AA52" s="85">
        <v>760</v>
      </c>
      <c r="AB52" s="85">
        <v>769</v>
      </c>
      <c r="AC52" s="85">
        <v>408</v>
      </c>
      <c r="AD52" s="85">
        <v>661</v>
      </c>
      <c r="AE52" s="85">
        <v>409</v>
      </c>
      <c r="AF52" s="85">
        <v>877</v>
      </c>
      <c r="AG52" s="85">
        <v>382</v>
      </c>
      <c r="AH52" s="85">
        <v>182</v>
      </c>
      <c r="AI52" s="75">
        <v>1550</v>
      </c>
      <c r="AJ52" s="75">
        <f t="shared" ca="1" si="79"/>
        <v>1394</v>
      </c>
      <c r="AK52" s="75">
        <f t="shared" ca="1" si="79"/>
        <v>421</v>
      </c>
      <c r="AL52" s="75">
        <f t="shared" ca="1" si="79"/>
        <v>232</v>
      </c>
      <c r="AM52" s="75">
        <f t="shared" ca="1" si="79"/>
        <v>135</v>
      </c>
      <c r="AN52" s="75">
        <f t="shared" ca="1" si="79"/>
        <v>2585</v>
      </c>
      <c r="AO52" s="75">
        <f t="shared" ca="1" si="79"/>
        <v>2218</v>
      </c>
      <c r="AP52" s="75">
        <f t="shared" ca="1" si="79"/>
        <v>1828</v>
      </c>
      <c r="AQ52" s="75">
        <f t="shared" ca="1" si="79"/>
        <v>1382</v>
      </c>
      <c r="AR52" s="75">
        <f t="shared" ca="1" si="79"/>
        <v>935</v>
      </c>
      <c r="AS52" s="75">
        <f t="shared" ca="1" si="79"/>
        <v>3502</v>
      </c>
      <c r="AT52" s="75">
        <f t="shared" ca="1" si="79"/>
        <v>3124</v>
      </c>
      <c r="AU52" s="75">
        <f t="shared" ca="1" si="79"/>
        <v>2705</v>
      </c>
      <c r="AV52" s="75">
        <f t="shared" ca="1" si="79"/>
        <v>2286</v>
      </c>
      <c r="AW52" s="75">
        <f t="shared" ca="1" si="79"/>
        <v>2286</v>
      </c>
      <c r="AX52" s="75">
        <f t="shared" ca="1" si="79"/>
        <v>2286</v>
      </c>
      <c r="AY52" s="75">
        <f t="shared" ca="1" si="54"/>
        <v>2286</v>
      </c>
      <c r="AZ52" s="75">
        <f t="shared" ca="1" si="12"/>
        <v>2286</v>
      </c>
      <c r="BA52" s="75">
        <f t="shared" ca="1" si="12"/>
        <v>2286</v>
      </c>
      <c r="BB52" s="166"/>
      <c r="BC52" s="86">
        <v>0</v>
      </c>
      <c r="BD52" s="86">
        <v>759.94</v>
      </c>
      <c r="BE52" s="86">
        <v>278.41666666666669</v>
      </c>
      <c r="BF52" s="86">
        <v>278.41666666666669</v>
      </c>
      <c r="BG52" s="86">
        <v>51</v>
      </c>
      <c r="BH52" s="86">
        <v>163</v>
      </c>
      <c r="BI52" s="86">
        <v>641</v>
      </c>
      <c r="BJ52" s="86">
        <v>379</v>
      </c>
      <c r="BK52" s="86">
        <v>113</v>
      </c>
      <c r="BL52" s="86">
        <v>156</v>
      </c>
      <c r="BM52" s="86">
        <v>973</v>
      </c>
      <c r="BN52" s="86">
        <v>189</v>
      </c>
      <c r="BO52" s="86">
        <v>97</v>
      </c>
      <c r="BP52" s="86">
        <v>550</v>
      </c>
      <c r="BQ52" s="86">
        <v>367</v>
      </c>
      <c r="BR52" s="86">
        <v>390</v>
      </c>
      <c r="BS52" s="86">
        <v>446</v>
      </c>
      <c r="BT52" s="86">
        <v>447</v>
      </c>
      <c r="BU52" s="86">
        <v>433</v>
      </c>
      <c r="BV52" s="86">
        <v>378</v>
      </c>
      <c r="BW52" s="86">
        <f ca="1">VLOOKUP(A52,[3]Export!$B:$Q,16,0)</f>
        <v>419</v>
      </c>
      <c r="BX52" s="86">
        <v>419</v>
      </c>
      <c r="BY52" s="86">
        <v>0</v>
      </c>
      <c r="BZ52" s="86">
        <v>0</v>
      </c>
      <c r="CA52" s="86">
        <v>0</v>
      </c>
      <c r="CB52" s="86">
        <v>0</v>
      </c>
      <c r="CC52" s="86">
        <v>0</v>
      </c>
      <c r="CD52" s="86">
        <v>0</v>
      </c>
      <c r="CE52" s="86">
        <f t="shared" ca="1" si="28"/>
        <v>214.90093125998837</v>
      </c>
      <c r="CF52" s="87"/>
      <c r="CG52" s="86">
        <v>0</v>
      </c>
      <c r="CH52" s="86">
        <v>0</v>
      </c>
      <c r="CI52" s="86">
        <v>0</v>
      </c>
      <c r="CJ52" s="86">
        <v>0</v>
      </c>
      <c r="CK52" s="86">
        <v>0</v>
      </c>
      <c r="CL52" s="86">
        <v>0</v>
      </c>
      <c r="CM52" s="86">
        <v>0</v>
      </c>
      <c r="CN52" s="86">
        <v>0</v>
      </c>
      <c r="CO52" s="86">
        <v>0</v>
      </c>
      <c r="CP52" s="86">
        <v>0</v>
      </c>
      <c r="CQ52" s="86">
        <v>0</v>
      </c>
      <c r="CR52" s="86">
        <v>0</v>
      </c>
      <c r="CS52" s="86">
        <v>3000</v>
      </c>
      <c r="CT52" s="86">
        <v>0</v>
      </c>
      <c r="CU52" s="90">
        <v>0</v>
      </c>
      <c r="CV52" s="90">
        <v>0</v>
      </c>
      <c r="CW52" s="86">
        <v>0</v>
      </c>
      <c r="CX52" s="90">
        <v>3000</v>
      </c>
      <c r="CY52" s="90">
        <v>0</v>
      </c>
      <c r="CZ52" s="90">
        <v>0</v>
      </c>
      <c r="DA52" s="90">
        <v>0</v>
      </c>
      <c r="DB52" s="90">
        <v>0</v>
      </c>
      <c r="DC52" s="90">
        <v>0</v>
      </c>
      <c r="DD52" s="90">
        <v>0</v>
      </c>
      <c r="DE52" s="90">
        <v>0</v>
      </c>
      <c r="DF52" s="90">
        <v>0</v>
      </c>
      <c r="DG52" s="86">
        <v>0</v>
      </c>
      <c r="DI52" s="91">
        <f ca="1">VLOOKUP(A52,'[2]2-Relatório'!$A:$J,9,0)</f>
        <v>65.78</v>
      </c>
      <c r="DJ52" s="92">
        <f t="shared" ca="1" si="89"/>
        <v>50584.82</v>
      </c>
      <c r="DK52" s="92">
        <f t="shared" ca="1" si="89"/>
        <v>26838.240000000002</v>
      </c>
      <c r="DL52" s="92">
        <f t="shared" ca="1" si="89"/>
        <v>43480.58</v>
      </c>
      <c r="DM52" s="92">
        <f t="shared" ca="1" si="89"/>
        <v>26904.02</v>
      </c>
      <c r="DN52" s="92">
        <f t="shared" ca="1" si="89"/>
        <v>57689.06</v>
      </c>
      <c r="DO52" s="92">
        <f t="shared" ca="1" si="89"/>
        <v>25127.96</v>
      </c>
      <c r="DP52" s="92">
        <f t="shared" ca="1" si="89"/>
        <v>11971.960000000001</v>
      </c>
      <c r="DQ52" s="92">
        <f t="shared" ca="1" si="88"/>
        <v>101959</v>
      </c>
      <c r="DR52" s="92">
        <f t="shared" ca="1" si="88"/>
        <v>91697.32</v>
      </c>
      <c r="DS52" s="92">
        <f t="shared" ca="1" si="88"/>
        <v>27693.38</v>
      </c>
      <c r="DT52" s="92">
        <f t="shared" ca="1" si="88"/>
        <v>15260.960000000001</v>
      </c>
      <c r="DU52" s="92">
        <f t="shared" ca="1" si="88"/>
        <v>8880.2999999999993</v>
      </c>
      <c r="DV52" s="92">
        <f t="shared" ca="1" si="88"/>
        <v>170041.30000000002</v>
      </c>
      <c r="DW52" s="92">
        <f t="shared" ca="1" si="88"/>
        <v>145900.04</v>
      </c>
      <c r="DX52" s="92">
        <f t="shared" ca="1" si="88"/>
        <v>120245.84</v>
      </c>
      <c r="DY52" s="92">
        <f t="shared" ca="1" si="88"/>
        <v>90907.96</v>
      </c>
      <c r="DZ52" s="92">
        <f t="shared" ca="1" si="75"/>
        <v>61504.3</v>
      </c>
      <c r="EA52" s="92">
        <f t="shared" ca="1" si="75"/>
        <v>230361.56</v>
      </c>
      <c r="EB52" s="92">
        <f t="shared" ca="1" si="75"/>
        <v>205496.72</v>
      </c>
      <c r="EC52" s="92">
        <f t="shared" ca="1" si="75"/>
        <v>177934.9</v>
      </c>
      <c r="ED52" s="92">
        <f t="shared" ca="1" si="75"/>
        <v>150373.08000000002</v>
      </c>
      <c r="EE52" s="92">
        <f t="shared" ca="1" si="75"/>
        <v>150373.08000000002</v>
      </c>
      <c r="EF52" s="92">
        <f t="shared" ca="1" si="75"/>
        <v>150373.08000000002</v>
      </c>
      <c r="EG52" s="92">
        <f t="shared" ca="1" si="73"/>
        <v>150373.08000000002</v>
      </c>
      <c r="EH52" s="92">
        <f t="shared" ca="1" si="73"/>
        <v>150373.08000000002</v>
      </c>
      <c r="EI52" s="92">
        <f t="shared" ca="1" si="73"/>
        <v>150373.08000000002</v>
      </c>
      <c r="EL52" s="93">
        <f t="shared" ca="1" si="57"/>
        <v>0</v>
      </c>
      <c r="EM52" s="93">
        <f t="shared" ca="1" si="57"/>
        <v>41386.332400000007</v>
      </c>
      <c r="EN52" s="92">
        <f t="shared" ca="1" si="83"/>
        <v>18314.248333333337</v>
      </c>
      <c r="EO52" s="92">
        <f t="shared" ca="1" si="83"/>
        <v>18314.248333333337</v>
      </c>
      <c r="EP52" s="92">
        <f t="shared" ca="1" si="83"/>
        <v>3354.78</v>
      </c>
      <c r="EQ52" s="92">
        <f t="shared" ca="1" si="83"/>
        <v>10722.14</v>
      </c>
      <c r="ER52" s="92">
        <f t="shared" ca="1" si="83"/>
        <v>42164.98</v>
      </c>
      <c r="ES52" s="92">
        <f t="shared" ca="1" si="83"/>
        <v>24930.62</v>
      </c>
      <c r="ET52" s="92">
        <f t="shared" ca="1" si="83"/>
        <v>7433.14</v>
      </c>
      <c r="EU52" s="92">
        <f t="shared" ca="1" si="83"/>
        <v>10261.68</v>
      </c>
      <c r="EV52" s="92">
        <f t="shared" ca="1" si="83"/>
        <v>64003.94</v>
      </c>
      <c r="EW52" s="92">
        <f t="shared" ca="1" si="83"/>
        <v>12432.42</v>
      </c>
      <c r="EX52" s="92">
        <f t="shared" ca="1" si="83"/>
        <v>6380.66</v>
      </c>
      <c r="EY52" s="92">
        <f t="shared" ca="1" si="83"/>
        <v>36179</v>
      </c>
      <c r="EZ52" s="92">
        <f t="shared" ca="1" si="83"/>
        <v>24141.260000000002</v>
      </c>
      <c r="FA52" s="92">
        <f t="shared" ca="1" si="83"/>
        <v>25654.2</v>
      </c>
      <c r="FB52" s="92">
        <f t="shared" ca="1" si="83"/>
        <v>29337.88</v>
      </c>
      <c r="FC52" s="92">
        <f t="shared" ca="1" si="82"/>
        <v>29403.66</v>
      </c>
      <c r="FD52" s="92">
        <f t="shared" ca="1" si="58"/>
        <v>28482.74</v>
      </c>
      <c r="FE52" s="92">
        <f t="shared" ca="1" si="58"/>
        <v>24864.84</v>
      </c>
      <c r="FF52" s="92">
        <f t="shared" ca="1" si="58"/>
        <v>27561.82</v>
      </c>
      <c r="FG52" s="92">
        <f t="shared" ca="1" si="58"/>
        <v>27561.82</v>
      </c>
      <c r="FH52" s="92">
        <f t="shared" ca="1" si="55"/>
        <v>0</v>
      </c>
      <c r="FI52" s="92">
        <f t="shared" ca="1" si="55"/>
        <v>0</v>
      </c>
      <c r="FJ52" s="92">
        <f t="shared" ca="1" si="55"/>
        <v>0</v>
      </c>
      <c r="FK52" s="92">
        <f t="shared" ca="1" si="55"/>
        <v>0</v>
      </c>
      <c r="FL52" s="92">
        <f t="shared" ca="1" si="55"/>
        <v>0</v>
      </c>
      <c r="FM52" s="92">
        <f t="shared" ca="1" si="55"/>
        <v>0</v>
      </c>
      <c r="FN52" s="94">
        <f t="shared" ca="1" si="93"/>
        <v>3000</v>
      </c>
      <c r="FO52" s="94">
        <f t="shared" ca="1" si="94"/>
        <v>3000</v>
      </c>
      <c r="FP52" s="95">
        <f t="shared" ca="1" si="59"/>
        <v>0</v>
      </c>
      <c r="FQ52" s="95">
        <f t="shared" ca="1" si="59"/>
        <v>30.002368608048005</v>
      </c>
      <c r="FR52" s="95">
        <f t="shared" ca="1" si="96"/>
        <v>82.861418736905108</v>
      </c>
      <c r="FS52" s="95">
        <f t="shared" ca="1" si="96"/>
        <v>43.962885363663574</v>
      </c>
      <c r="FT52" s="95">
        <f t="shared" ca="1" si="96"/>
        <v>388.8235294117647</v>
      </c>
      <c r="FU52" s="95">
        <f t="shared" ca="1" si="96"/>
        <v>75.276073619631902</v>
      </c>
      <c r="FV52" s="95">
        <f t="shared" ca="1" si="96"/>
        <v>41.045241809672383</v>
      </c>
      <c r="FW52" s="95">
        <f t="shared" ca="1" si="95"/>
        <v>30.237467018469658</v>
      </c>
      <c r="FX52" s="95">
        <f t="shared" ca="1" si="95"/>
        <v>48.318584070796462</v>
      </c>
      <c r="FY52" s="95">
        <f t="shared" ca="1" si="95"/>
        <v>298.07692307692309</v>
      </c>
      <c r="FZ52" s="95">
        <f t="shared" ca="1" si="95"/>
        <v>42.980472764645427</v>
      </c>
      <c r="GA52" s="95">
        <f t="shared" ca="1" si="95"/>
        <v>66.825396825396822</v>
      </c>
      <c r="GB52" s="95">
        <f t="shared" ca="1" si="95"/>
        <v>71.752577319587644</v>
      </c>
      <c r="GC52" s="95">
        <f t="shared" ca="1" si="95"/>
        <v>7.3636363636363624</v>
      </c>
      <c r="GD52" s="95">
        <f t="shared" ca="1" si="95"/>
        <v>211.30790190735695</v>
      </c>
      <c r="GE52" s="95">
        <f t="shared" ca="1" si="95"/>
        <v>170.61538461538461</v>
      </c>
      <c r="GF52" s="95">
        <f t="shared" ca="1" si="95"/>
        <v>122.95964125560538</v>
      </c>
      <c r="GG52" s="95">
        <f t="shared" ca="1" si="90"/>
        <v>92.75167785234899</v>
      </c>
      <c r="GH52" s="95">
        <f t="shared" ca="1" si="90"/>
        <v>64.780600461893755</v>
      </c>
      <c r="GI52" s="95">
        <f t="shared" ca="1" si="97"/>
        <v>277.93650793650795</v>
      </c>
      <c r="GJ52" s="95">
        <f t="shared" ca="1" si="97"/>
        <v>223.67541766109784</v>
      </c>
      <c r="GK52" s="95">
        <f t="shared" ca="1" si="97"/>
        <v>193.67541766109784</v>
      </c>
      <c r="GL52" s="95">
        <f t="shared" ca="1" si="97"/>
        <v>0</v>
      </c>
      <c r="GM52" s="95">
        <f t="shared" ca="1" si="97"/>
        <v>0</v>
      </c>
      <c r="GN52" s="95">
        <f t="shared" ca="1" si="97"/>
        <v>0</v>
      </c>
      <c r="GO52" s="95">
        <f t="shared" ca="1" si="97"/>
        <v>0</v>
      </c>
      <c r="GP52" s="95">
        <f t="shared" ca="1" si="97"/>
        <v>0</v>
      </c>
      <c r="GQ52" s="95">
        <f t="shared" ca="1" si="97"/>
        <v>0</v>
      </c>
      <c r="GS52" s="7">
        <v>285.24777460520005</v>
      </c>
      <c r="GT52" s="96">
        <f t="shared" ref="GT52:HH52" ca="1" si="100">$GS52*BG52</f>
        <v>14547.636504865202</v>
      </c>
      <c r="GU52" s="96">
        <f t="shared" ca="1" si="100"/>
        <v>46495.387260647607</v>
      </c>
      <c r="GV52" s="96">
        <f t="shared" ca="1" si="100"/>
        <v>182843.82352193323</v>
      </c>
      <c r="GW52" s="96">
        <f t="shared" ca="1" si="100"/>
        <v>108108.90657537081</v>
      </c>
      <c r="GX52" s="96">
        <f t="shared" ca="1" si="100"/>
        <v>32232.998530387606</v>
      </c>
      <c r="GY52" s="96">
        <f t="shared" ca="1" si="100"/>
        <v>44498.65283841121</v>
      </c>
      <c r="GZ52" s="96">
        <f t="shared" ca="1" si="100"/>
        <v>277546.08469085966</v>
      </c>
      <c r="HA52" s="96">
        <f t="shared" ca="1" si="100"/>
        <v>53911.829400382812</v>
      </c>
      <c r="HB52" s="96">
        <f t="shared" ca="1" si="100"/>
        <v>27669.034136704406</v>
      </c>
      <c r="HC52" s="96">
        <f t="shared" ca="1" si="100"/>
        <v>156886.27603286004</v>
      </c>
      <c r="HD52" s="96">
        <f t="shared" ca="1" si="100"/>
        <v>104685.93328010842</v>
      </c>
      <c r="HE52" s="96">
        <f t="shared" ca="1" si="100"/>
        <v>111246.63209602801</v>
      </c>
      <c r="HF52" s="96">
        <f t="shared" ca="1" si="100"/>
        <v>127220.50747391922</v>
      </c>
      <c r="HG52" s="96">
        <f t="shared" ca="1" si="100"/>
        <v>127505.75524852442</v>
      </c>
      <c r="HH52" s="96">
        <f t="shared" ca="1" si="100"/>
        <v>123512.28640405163</v>
      </c>
      <c r="HI52" s="96">
        <f t="shared" ca="1" si="74"/>
        <v>107823.65880076562</v>
      </c>
      <c r="HJ52" s="96">
        <f t="shared" ca="1" si="74"/>
        <v>119518.81755957882</v>
      </c>
      <c r="HK52" s="96">
        <f t="shared" ca="1" si="74"/>
        <v>119518.81755957882</v>
      </c>
      <c r="HL52" s="96">
        <f t="shared" ca="1" si="74"/>
        <v>0</v>
      </c>
      <c r="HM52" s="96">
        <f t="shared" ca="1" si="74"/>
        <v>0</v>
      </c>
      <c r="HN52" s="96">
        <f t="shared" ca="1" si="74"/>
        <v>0</v>
      </c>
      <c r="HO52" s="96">
        <f t="shared" ca="1" si="74"/>
        <v>0</v>
      </c>
      <c r="HP52" s="96">
        <f t="shared" ca="1" si="74"/>
        <v>0</v>
      </c>
      <c r="HQ52" s="96">
        <f t="shared" ca="1" si="98"/>
        <v>0</v>
      </c>
      <c r="HS52" s="97">
        <f t="shared" ca="1" si="21"/>
        <v>188548.77901403722</v>
      </c>
    </row>
    <row r="53" spans="1:227" s="29" customFormat="1" ht="17.25" thickTop="1" thickBot="1" x14ac:dyDescent="0.3">
      <c r="A53" s="129" t="s">
        <v>27</v>
      </c>
      <c r="B53" s="130" t="s">
        <v>418</v>
      </c>
      <c r="C53" s="130" t="s">
        <v>418</v>
      </c>
      <c r="D53" s="131" t="s">
        <v>1</v>
      </c>
      <c r="E53" s="131" t="s">
        <v>419</v>
      </c>
      <c r="F53" s="130"/>
      <c r="G53" s="132" t="s">
        <v>420</v>
      </c>
      <c r="H53" s="132" t="s">
        <v>420</v>
      </c>
      <c r="I53" s="132">
        <v>0</v>
      </c>
      <c r="J53" s="132"/>
      <c r="K53" s="132"/>
      <c r="L53" s="132"/>
      <c r="M53" s="133">
        <f ca="1">[1]Parameters!$C$3+I53</f>
        <v>45831</v>
      </c>
      <c r="N53" s="134">
        <f t="shared" ca="1" si="25"/>
        <v>6</v>
      </c>
      <c r="O53" s="134">
        <f t="shared" ca="1" si="26"/>
        <v>2025</v>
      </c>
      <c r="P53" s="135">
        <v>0.95</v>
      </c>
      <c r="Q53" s="136" t="str">
        <f ca="1">VLOOKUP(A53,[1]ABC!N:T,7,0)</f>
        <v>B</v>
      </c>
      <c r="R53" s="137">
        <f t="shared" ca="1" si="99"/>
        <v>0</v>
      </c>
      <c r="S53" s="138">
        <v>55.98</v>
      </c>
      <c r="T53" s="139">
        <f t="shared" ca="1" si="10"/>
        <v>0</v>
      </c>
      <c r="U53" s="140">
        <f ca="1">IF((ROUND(AVERAGE(BI53:BR53)*2/100,0)*100)&lt;T53,T53,ROUND(AVERAGE(BI53:BR53)*2/100,0)*100)</f>
        <v>2100</v>
      </c>
      <c r="V53" s="137">
        <v>137100</v>
      </c>
      <c r="W53" s="137">
        <f t="shared" ca="1" si="27"/>
        <v>137100</v>
      </c>
      <c r="X53" s="137"/>
      <c r="Y53" s="141">
        <v>0.26450000000000001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75">
        <v>0</v>
      </c>
      <c r="AJ53" s="75">
        <f t="shared" ca="1" si="79"/>
        <v>0</v>
      </c>
      <c r="AK53" s="75">
        <f t="shared" ca="1" si="79"/>
        <v>0</v>
      </c>
      <c r="AL53" s="75">
        <f t="shared" ca="1" si="79"/>
        <v>0</v>
      </c>
      <c r="AM53" s="75">
        <f t="shared" ca="1" si="79"/>
        <v>0</v>
      </c>
      <c r="AN53" s="75">
        <f t="shared" ca="1" si="79"/>
        <v>0</v>
      </c>
      <c r="AO53" s="75">
        <f t="shared" ca="1" si="79"/>
        <v>0</v>
      </c>
      <c r="AP53" s="75">
        <f t="shared" ca="1" si="79"/>
        <v>0</v>
      </c>
      <c r="AQ53" s="75">
        <f t="shared" ca="1" si="79"/>
        <v>0</v>
      </c>
      <c r="AR53" s="75">
        <f t="shared" ca="1" si="79"/>
        <v>0</v>
      </c>
      <c r="AS53" s="75">
        <f t="shared" ca="1" si="79"/>
        <v>0</v>
      </c>
      <c r="AT53" s="75">
        <f t="shared" ca="1" si="79"/>
        <v>0</v>
      </c>
      <c r="AU53" s="75">
        <f t="shared" ca="1" si="79"/>
        <v>0</v>
      </c>
      <c r="AV53" s="75">
        <f t="shared" ca="1" si="79"/>
        <v>0</v>
      </c>
      <c r="AW53" s="75">
        <f t="shared" ca="1" si="79"/>
        <v>0</v>
      </c>
      <c r="AX53" s="75">
        <f t="shared" ca="1" si="79"/>
        <v>0</v>
      </c>
      <c r="AY53" s="75">
        <f t="shared" ca="1" si="54"/>
        <v>0</v>
      </c>
      <c r="AZ53" s="75">
        <f t="shared" ca="1" si="12"/>
        <v>0</v>
      </c>
      <c r="BA53" s="75">
        <f t="shared" ca="1" si="12"/>
        <v>0</v>
      </c>
      <c r="BB53" s="166"/>
      <c r="BC53" s="86">
        <v>0</v>
      </c>
      <c r="BD53" s="86">
        <v>-2.84</v>
      </c>
      <c r="BE53" s="86">
        <v>0</v>
      </c>
      <c r="BF53" s="86">
        <v>0</v>
      </c>
      <c r="BG53" s="86">
        <v>683.26162499999998</v>
      </c>
      <c r="BH53" s="86">
        <v>1049.28</v>
      </c>
      <c r="BI53" s="86">
        <v>1414.3420000000001</v>
      </c>
      <c r="BJ53" s="86">
        <v>688.59</v>
      </c>
      <c r="BK53" s="142">
        <v>811.00599999999997</v>
      </c>
      <c r="BL53" s="142">
        <v>950.91</v>
      </c>
      <c r="BM53" s="142">
        <v>866.74900000000002</v>
      </c>
      <c r="BN53" s="142">
        <v>909.37599999999998</v>
      </c>
      <c r="BO53" s="142">
        <v>958.56100000000004</v>
      </c>
      <c r="BP53" s="142">
        <v>882.05100000000004</v>
      </c>
      <c r="BQ53" s="142">
        <v>972.77</v>
      </c>
      <c r="BR53" s="142">
        <v>1882.146</v>
      </c>
      <c r="BS53" s="142"/>
      <c r="BT53" s="142"/>
      <c r="BU53" s="142"/>
      <c r="BV53" s="142">
        <v>0</v>
      </c>
      <c r="BW53" s="142">
        <v>0</v>
      </c>
      <c r="BX53" s="86">
        <v>0</v>
      </c>
      <c r="BY53" s="142">
        <v>0</v>
      </c>
      <c r="BZ53" s="142">
        <v>0</v>
      </c>
      <c r="CA53" s="142">
        <v>0</v>
      </c>
      <c r="CB53" s="142">
        <v>0</v>
      </c>
      <c r="CC53" s="142">
        <v>0</v>
      </c>
      <c r="CD53" s="142">
        <v>0</v>
      </c>
      <c r="CE53" s="86">
        <f t="shared" ca="1" si="28"/>
        <v>592.41618376855661</v>
      </c>
      <c r="CF53" s="143"/>
      <c r="CG53" s="86">
        <v>0</v>
      </c>
      <c r="CH53" s="86">
        <v>0</v>
      </c>
      <c r="CI53" s="86">
        <v>0</v>
      </c>
      <c r="CJ53" s="86">
        <v>0</v>
      </c>
      <c r="CK53" s="86">
        <v>0</v>
      </c>
      <c r="CL53" s="86">
        <v>0</v>
      </c>
      <c r="CM53" s="86">
        <v>0</v>
      </c>
      <c r="CN53" s="86">
        <v>0</v>
      </c>
      <c r="CO53" s="142">
        <v>0</v>
      </c>
      <c r="CP53" s="142">
        <v>0</v>
      </c>
      <c r="CQ53" s="142">
        <v>0</v>
      </c>
      <c r="CR53" s="142">
        <v>0</v>
      </c>
      <c r="CS53" s="142">
        <v>0</v>
      </c>
      <c r="CT53" s="142">
        <v>0</v>
      </c>
      <c r="CU53" s="144">
        <v>0</v>
      </c>
      <c r="CV53" s="144">
        <v>0</v>
      </c>
      <c r="CW53" s="144">
        <v>0</v>
      </c>
      <c r="CX53" s="144">
        <v>0</v>
      </c>
      <c r="CY53" s="144">
        <v>0</v>
      </c>
      <c r="CZ53" s="144">
        <v>0</v>
      </c>
      <c r="DA53" s="144">
        <v>0</v>
      </c>
      <c r="DB53" s="144">
        <v>0</v>
      </c>
      <c r="DC53" s="144">
        <v>0</v>
      </c>
      <c r="DD53" s="144">
        <v>0</v>
      </c>
      <c r="DE53" s="144">
        <v>0</v>
      </c>
      <c r="DF53" s="144">
        <v>0</v>
      </c>
      <c r="DG53" s="142">
        <v>0</v>
      </c>
      <c r="DI53" s="91">
        <f ca="1">VLOOKUP(A53,'[2]2-Relatório'!$A:$J,9,0)</f>
        <v>55.98</v>
      </c>
      <c r="DJ53" s="145">
        <f t="shared" ca="1" si="89"/>
        <v>0</v>
      </c>
      <c r="DK53" s="145">
        <f t="shared" ca="1" si="89"/>
        <v>0</v>
      </c>
      <c r="DL53" s="145">
        <f t="shared" ca="1" si="89"/>
        <v>0</v>
      </c>
      <c r="DM53" s="145">
        <f t="shared" ca="1" si="89"/>
        <v>0</v>
      </c>
      <c r="DN53" s="145">
        <f t="shared" ca="1" si="89"/>
        <v>0</v>
      </c>
      <c r="DO53" s="145">
        <f t="shared" ca="1" si="89"/>
        <v>0</v>
      </c>
      <c r="DP53" s="145">
        <f t="shared" ca="1" si="89"/>
        <v>0</v>
      </c>
      <c r="DQ53" s="145">
        <f t="shared" ca="1" si="88"/>
        <v>0</v>
      </c>
      <c r="DR53" s="145">
        <f t="shared" ca="1" si="88"/>
        <v>0</v>
      </c>
      <c r="DS53" s="145">
        <f t="shared" ca="1" si="88"/>
        <v>0</v>
      </c>
      <c r="DT53" s="145">
        <f t="shared" ca="1" si="88"/>
        <v>0</v>
      </c>
      <c r="DU53" s="145">
        <f t="shared" ca="1" si="88"/>
        <v>0</v>
      </c>
      <c r="DV53" s="145">
        <f t="shared" ca="1" si="88"/>
        <v>0</v>
      </c>
      <c r="DW53" s="145">
        <f t="shared" ca="1" si="88"/>
        <v>0</v>
      </c>
      <c r="DX53" s="145">
        <f t="shared" ca="1" si="88"/>
        <v>0</v>
      </c>
      <c r="DY53" s="145">
        <f t="shared" ca="1" si="88"/>
        <v>0</v>
      </c>
      <c r="DZ53" s="145">
        <f t="shared" ca="1" si="75"/>
        <v>0</v>
      </c>
      <c r="EA53" s="145">
        <f t="shared" ca="1" si="75"/>
        <v>0</v>
      </c>
      <c r="EB53" s="145">
        <f t="shared" ca="1" si="75"/>
        <v>0</v>
      </c>
      <c r="EC53" s="145">
        <f t="shared" ca="1" si="75"/>
        <v>0</v>
      </c>
      <c r="ED53" s="145">
        <f t="shared" ca="1" si="75"/>
        <v>0</v>
      </c>
      <c r="EE53" s="145">
        <f t="shared" ca="1" si="75"/>
        <v>0</v>
      </c>
      <c r="EF53" s="145">
        <f t="shared" ca="1" si="75"/>
        <v>0</v>
      </c>
      <c r="EG53" s="145">
        <f t="shared" ca="1" si="73"/>
        <v>0</v>
      </c>
      <c r="EH53" s="145">
        <f t="shared" ca="1" si="73"/>
        <v>0</v>
      </c>
      <c r="EI53" s="145">
        <f t="shared" ca="1" si="73"/>
        <v>0</v>
      </c>
      <c r="EL53" s="146">
        <f t="shared" ca="1" si="57"/>
        <v>0</v>
      </c>
      <c r="EM53" s="146">
        <f t="shared" ca="1" si="57"/>
        <v>-158.98319999999998</v>
      </c>
      <c r="EN53" s="145">
        <f t="shared" ca="1" si="83"/>
        <v>0</v>
      </c>
      <c r="EO53" s="145">
        <f t="shared" ca="1" si="83"/>
        <v>0</v>
      </c>
      <c r="EP53" s="145">
        <f t="shared" ca="1" si="83"/>
        <v>38248.985767499995</v>
      </c>
      <c r="EQ53" s="145">
        <f t="shared" ca="1" si="83"/>
        <v>58738.694399999993</v>
      </c>
      <c r="ER53" s="145">
        <f t="shared" ca="1" si="83"/>
        <v>79174.865160000001</v>
      </c>
      <c r="ES53" s="145">
        <f t="shared" ca="1" si="83"/>
        <v>38547.268199999999</v>
      </c>
      <c r="ET53" s="145">
        <f t="shared" ca="1" si="83"/>
        <v>45400.115879999998</v>
      </c>
      <c r="EU53" s="145">
        <f t="shared" ca="1" si="83"/>
        <v>53231.941799999993</v>
      </c>
      <c r="EV53" s="145">
        <f t="shared" ca="1" si="83"/>
        <v>48520.609019999996</v>
      </c>
      <c r="EW53" s="145">
        <f t="shared" ca="1" si="83"/>
        <v>50906.868479999997</v>
      </c>
      <c r="EX53" s="145">
        <f t="shared" ca="1" si="83"/>
        <v>53660.244780000001</v>
      </c>
      <c r="EY53" s="145">
        <f t="shared" ca="1" si="83"/>
        <v>49377.214979999997</v>
      </c>
      <c r="EZ53" s="145">
        <f t="shared" ca="1" si="83"/>
        <v>54455.664599999996</v>
      </c>
      <c r="FA53" s="145">
        <f t="shared" ca="1" si="83"/>
        <v>105362.53307999999</v>
      </c>
      <c r="FB53" s="145">
        <f t="shared" ca="1" si="83"/>
        <v>0</v>
      </c>
      <c r="FC53" s="145">
        <f t="shared" ca="1" si="82"/>
        <v>0</v>
      </c>
      <c r="FD53" s="145">
        <f t="shared" ca="1" si="58"/>
        <v>0</v>
      </c>
      <c r="FE53" s="145">
        <f t="shared" ca="1" si="58"/>
        <v>0</v>
      </c>
      <c r="FF53" s="145">
        <f t="shared" ca="1" si="58"/>
        <v>0</v>
      </c>
      <c r="FG53" s="92">
        <f t="shared" ca="1" si="58"/>
        <v>0</v>
      </c>
      <c r="FH53" s="92">
        <f t="shared" ca="1" si="55"/>
        <v>0</v>
      </c>
      <c r="FI53" s="92">
        <f t="shared" ca="1" si="55"/>
        <v>0</v>
      </c>
      <c r="FJ53" s="92">
        <f t="shared" ca="1" si="55"/>
        <v>0</v>
      </c>
      <c r="FK53" s="92">
        <f t="shared" ca="1" si="55"/>
        <v>0</v>
      </c>
      <c r="FL53" s="92">
        <f t="shared" ca="1" si="55"/>
        <v>0</v>
      </c>
      <c r="FM53" s="92">
        <f t="shared" ca="1" si="55"/>
        <v>0</v>
      </c>
      <c r="FN53" s="94">
        <f t="shared" ca="1" si="39"/>
        <v>0</v>
      </c>
      <c r="FP53" s="147">
        <f t="shared" ca="1" si="59"/>
        <v>0</v>
      </c>
      <c r="FQ53" s="147">
        <f t="shared" ca="1" si="59"/>
        <v>0</v>
      </c>
      <c r="FR53" s="147">
        <f t="shared" ca="1" si="96"/>
        <v>0</v>
      </c>
      <c r="FS53" s="147">
        <f t="shared" ca="1" si="96"/>
        <v>0</v>
      </c>
      <c r="FT53" s="147">
        <f t="shared" ca="1" si="96"/>
        <v>0</v>
      </c>
      <c r="FU53" s="147">
        <f t="shared" ca="1" si="96"/>
        <v>0</v>
      </c>
      <c r="FV53" s="147">
        <f t="shared" ca="1" si="96"/>
        <v>0</v>
      </c>
      <c r="FW53" s="147">
        <f t="shared" ca="1" si="95"/>
        <v>0</v>
      </c>
      <c r="FX53" s="95">
        <f t="shared" ca="1" si="95"/>
        <v>0</v>
      </c>
      <c r="FY53" s="95">
        <f t="shared" ca="1" si="95"/>
        <v>0</v>
      </c>
      <c r="FZ53" s="95">
        <f t="shared" ca="1" si="95"/>
        <v>0</v>
      </c>
      <c r="GA53" s="95">
        <f t="shared" ca="1" si="95"/>
        <v>0</v>
      </c>
      <c r="GB53" s="95">
        <f t="shared" ca="1" si="95"/>
        <v>0</v>
      </c>
      <c r="GC53" s="95">
        <f t="shared" ca="1" si="95"/>
        <v>0</v>
      </c>
      <c r="GD53" s="95">
        <f t="shared" ca="1" si="95"/>
        <v>0</v>
      </c>
      <c r="GE53" s="95">
        <f t="shared" ca="1" si="95"/>
        <v>0</v>
      </c>
      <c r="GF53" s="95">
        <f t="shared" ca="1" si="95"/>
        <v>0</v>
      </c>
      <c r="GG53" s="95">
        <f t="shared" ca="1" si="90"/>
        <v>0</v>
      </c>
      <c r="GH53" s="95">
        <f t="shared" ca="1" si="90"/>
        <v>0</v>
      </c>
      <c r="GI53" s="95">
        <f t="shared" ca="1" si="97"/>
        <v>0</v>
      </c>
      <c r="GJ53" s="95">
        <f t="shared" ca="1" si="97"/>
        <v>0</v>
      </c>
      <c r="GK53" s="95">
        <f t="shared" ca="1" si="97"/>
        <v>0</v>
      </c>
      <c r="GL53" s="147">
        <f t="shared" ca="1" si="97"/>
        <v>0</v>
      </c>
      <c r="GM53" s="147">
        <f t="shared" ca="1" si="97"/>
        <v>0</v>
      </c>
      <c r="GN53" s="147">
        <f t="shared" ca="1" si="97"/>
        <v>0</v>
      </c>
      <c r="GO53" s="147">
        <f t="shared" ca="1" si="97"/>
        <v>0</v>
      </c>
      <c r="GP53" s="147">
        <f t="shared" ca="1" si="97"/>
        <v>0</v>
      </c>
      <c r="GQ53" s="147">
        <f t="shared" ca="1" si="97"/>
        <v>0</v>
      </c>
      <c r="GS53" s="148">
        <v>0</v>
      </c>
      <c r="GT53" s="148">
        <v>0</v>
      </c>
      <c r="GU53" s="148">
        <v>0</v>
      </c>
      <c r="GV53" s="148">
        <v>0</v>
      </c>
      <c r="GW53" s="148">
        <v>0</v>
      </c>
      <c r="GX53" s="148">
        <v>0</v>
      </c>
      <c r="GY53" s="148">
        <v>0</v>
      </c>
      <c r="GZ53" s="148">
        <v>0</v>
      </c>
      <c r="HA53" s="148">
        <v>0</v>
      </c>
      <c r="HB53" s="148">
        <v>0</v>
      </c>
      <c r="HC53" s="148">
        <v>0</v>
      </c>
      <c r="HD53" s="148">
        <v>0</v>
      </c>
      <c r="HE53" s="148">
        <v>0</v>
      </c>
      <c r="HF53" s="148">
        <v>0</v>
      </c>
      <c r="HG53" s="148">
        <v>0</v>
      </c>
      <c r="HH53" s="148">
        <v>0</v>
      </c>
      <c r="HI53" s="148">
        <v>0</v>
      </c>
      <c r="HJ53" s="148">
        <v>0</v>
      </c>
      <c r="HK53" s="148">
        <v>0</v>
      </c>
      <c r="HL53" s="148">
        <v>0</v>
      </c>
      <c r="HM53" s="148">
        <v>0</v>
      </c>
      <c r="HN53" s="148">
        <v>0</v>
      </c>
      <c r="HO53" s="148">
        <v>0</v>
      </c>
      <c r="HP53" s="148">
        <v>0</v>
      </c>
      <c r="HQ53" s="148">
        <v>0</v>
      </c>
      <c r="HS53" s="149">
        <f t="shared" ca="1" si="21"/>
        <v>0</v>
      </c>
    </row>
    <row r="54" spans="1:227" ht="17.25" thickTop="1" thickBot="1" x14ac:dyDescent="0.3">
      <c r="A54" s="16" t="s">
        <v>83</v>
      </c>
      <c r="B54" s="73" t="s">
        <v>421</v>
      </c>
      <c r="C54" s="73" t="s">
        <v>422</v>
      </c>
      <c r="D54" s="74" t="s">
        <v>0</v>
      </c>
      <c r="E54" s="74" t="s">
        <v>349</v>
      </c>
      <c r="F54" s="73"/>
      <c r="G54" s="75">
        <f t="shared" ref="G54:G56" ca="1" si="101">127+6</f>
        <v>133</v>
      </c>
      <c r="H54" s="75">
        <v>133</v>
      </c>
      <c r="I54" s="75">
        <f t="shared" ref="I54:I74" ca="1" si="102">G54+H54</f>
        <v>266</v>
      </c>
      <c r="J54" s="76">
        <f ca="1">[1]Parameters!$C$3+G54</f>
        <v>45964</v>
      </c>
      <c r="K54" s="77">
        <f t="shared" ref="K54:K74" ca="1" si="103">MONTH(J54)</f>
        <v>11</v>
      </c>
      <c r="L54" s="77">
        <f t="shared" ref="L54:L74" ca="1" si="104">YEAR(J54)</f>
        <v>2025</v>
      </c>
      <c r="M54" s="76">
        <f ca="1">[1]Parameters!$C$3+I54</f>
        <v>46097</v>
      </c>
      <c r="N54" s="77">
        <f t="shared" ca="1" si="25"/>
        <v>3</v>
      </c>
      <c r="O54" s="77">
        <f t="shared" ca="1" si="26"/>
        <v>2026</v>
      </c>
      <c r="P54" s="78">
        <v>0.9</v>
      </c>
      <c r="Q54" s="79" t="str">
        <f ca="1">VLOOKUP(A54,[1]ABC!A:G,7,0)</f>
        <v>C</v>
      </c>
      <c r="R54" s="80">
        <f t="shared" ca="1" si="99"/>
        <v>0</v>
      </c>
      <c r="S54" s="81">
        <v>53.25</v>
      </c>
      <c r="T54" s="122">
        <f t="shared" ca="1" si="10"/>
        <v>500</v>
      </c>
      <c r="U54" s="83">
        <f t="shared" ref="U54:U59" ca="1" si="105">IF((ROUND(AVERAGE(BI54:BR54)/10,0)*10)&lt;T54,T54,ROUND(AVERAGE(BI54:BR54)/10,0)*10)</f>
        <v>500</v>
      </c>
      <c r="V54" s="80">
        <v>2200</v>
      </c>
      <c r="W54" s="80">
        <f t="shared" ca="1" si="27"/>
        <v>2200</v>
      </c>
      <c r="X54" s="80"/>
      <c r="Y54" s="84">
        <v>7.83</v>
      </c>
      <c r="Z54" s="85">
        <v>0</v>
      </c>
      <c r="AA54" s="85">
        <v>0</v>
      </c>
      <c r="AB54" s="85">
        <v>0</v>
      </c>
      <c r="AC54" s="85">
        <v>632</v>
      </c>
      <c r="AD54" s="85">
        <v>291</v>
      </c>
      <c r="AE54" s="85">
        <v>221</v>
      </c>
      <c r="AF54" s="85">
        <v>622</v>
      </c>
      <c r="AG54" s="85">
        <v>158</v>
      </c>
      <c r="AH54" s="85">
        <v>322</v>
      </c>
      <c r="AI54" s="75">
        <v>726</v>
      </c>
      <c r="AJ54" s="75">
        <f t="shared" ca="1" si="79"/>
        <v>548.93399999999997</v>
      </c>
      <c r="AK54" s="75">
        <f t="shared" ca="1" si="79"/>
        <v>383.89099999999996</v>
      </c>
      <c r="AL54" s="75">
        <f t="shared" ca="1" si="79"/>
        <v>218.84799999999996</v>
      </c>
      <c r="AM54" s="75">
        <f t="shared" ca="1" si="79"/>
        <v>26.479999999999961</v>
      </c>
      <c r="AN54" s="75">
        <f t="shared" ca="1" si="79"/>
        <v>0</v>
      </c>
      <c r="AO54" s="75">
        <f t="shared" ca="1" si="79"/>
        <v>0</v>
      </c>
      <c r="AP54" s="75">
        <f t="shared" ca="1" si="79"/>
        <v>1413</v>
      </c>
      <c r="AQ54" s="75">
        <f t="shared" ca="1" si="79"/>
        <v>1221</v>
      </c>
      <c r="AR54" s="75">
        <f t="shared" ca="1" si="79"/>
        <v>1028</v>
      </c>
      <c r="AS54" s="75">
        <f t="shared" ca="1" si="79"/>
        <v>847</v>
      </c>
      <c r="AT54" s="75">
        <f t="shared" ca="1" si="79"/>
        <v>752</v>
      </c>
      <c r="AU54" s="75">
        <f t="shared" ca="1" si="79"/>
        <v>596</v>
      </c>
      <c r="AV54" s="75">
        <f t="shared" ca="1" si="79"/>
        <v>0</v>
      </c>
      <c r="AW54" s="75">
        <f t="shared" ca="1" si="79"/>
        <v>0</v>
      </c>
      <c r="AX54" s="75">
        <f t="shared" ca="1" si="79"/>
        <v>0</v>
      </c>
      <c r="AY54" s="75">
        <f t="shared" ca="1" si="54"/>
        <v>0</v>
      </c>
      <c r="AZ54" s="75">
        <f t="shared" ca="1" si="12"/>
        <v>0</v>
      </c>
      <c r="BA54" s="75">
        <f t="shared" ca="1" si="12"/>
        <v>0</v>
      </c>
      <c r="BB54" s="166"/>
      <c r="BC54" s="86">
        <v>-0.09</v>
      </c>
      <c r="BD54" s="86">
        <v>0</v>
      </c>
      <c r="BE54" s="86">
        <v>150.25</v>
      </c>
      <c r="BF54" s="86">
        <v>150.25</v>
      </c>
      <c r="BG54" s="86">
        <v>98.37</v>
      </c>
      <c r="BH54" s="86">
        <v>177.066</v>
      </c>
      <c r="BI54" s="86">
        <v>248.11099999999999</v>
      </c>
      <c r="BJ54" s="86">
        <v>62.301000000000002</v>
      </c>
      <c r="BK54" s="86">
        <v>131.16</v>
      </c>
      <c r="BL54" s="86">
        <v>177.066</v>
      </c>
      <c r="BM54" s="86">
        <v>165.04300000000001</v>
      </c>
      <c r="BN54" s="86">
        <v>165.04300000000001</v>
      </c>
      <c r="BO54" s="86">
        <v>192.36799999999999</v>
      </c>
      <c r="BP54" s="86">
        <v>193.46100000000001</v>
      </c>
      <c r="BQ54" s="86">
        <v>165</v>
      </c>
      <c r="BR54" s="86">
        <v>165</v>
      </c>
      <c r="BS54" s="86">
        <v>192</v>
      </c>
      <c r="BT54" s="86">
        <v>193</v>
      </c>
      <c r="BU54" s="86">
        <v>181</v>
      </c>
      <c r="BV54" s="86">
        <v>95</v>
      </c>
      <c r="BW54" s="86">
        <f ca="1">VLOOKUP(A54,[3]Export!$B:$Q,16,0)</f>
        <v>156</v>
      </c>
      <c r="BX54" s="86">
        <v>600</v>
      </c>
      <c r="BY54" s="86">
        <v>0</v>
      </c>
      <c r="BZ54" s="86">
        <v>0</v>
      </c>
      <c r="CA54" s="86">
        <v>0</v>
      </c>
      <c r="CB54" s="86">
        <v>0</v>
      </c>
      <c r="CC54" s="86">
        <v>0</v>
      </c>
      <c r="CD54" s="86">
        <v>0</v>
      </c>
      <c r="CE54" s="86">
        <f t="shared" ca="1" si="28"/>
        <v>122.07681938409071</v>
      </c>
      <c r="CF54" s="87"/>
      <c r="CG54" s="86">
        <v>0</v>
      </c>
      <c r="CH54" s="86">
        <v>0</v>
      </c>
      <c r="CI54" s="86">
        <v>0</v>
      </c>
      <c r="CJ54" s="86">
        <v>0</v>
      </c>
      <c r="CK54" s="86">
        <v>0</v>
      </c>
      <c r="CL54" s="86">
        <v>0</v>
      </c>
      <c r="CM54" s="86">
        <v>0</v>
      </c>
      <c r="CN54" s="86">
        <v>0</v>
      </c>
      <c r="CO54" s="86">
        <v>0</v>
      </c>
      <c r="CP54" s="86">
        <v>0</v>
      </c>
      <c r="CQ54" s="86">
        <v>0</v>
      </c>
      <c r="CR54" s="86">
        <v>0</v>
      </c>
      <c r="CS54" s="86">
        <v>0</v>
      </c>
      <c r="CT54" s="86">
        <v>0</v>
      </c>
      <c r="CU54" s="90">
        <v>1578</v>
      </c>
      <c r="CV54" s="90">
        <v>0</v>
      </c>
      <c r="CW54" s="86">
        <v>0</v>
      </c>
      <c r="CX54" s="90">
        <v>0</v>
      </c>
      <c r="CY54" s="90">
        <v>0</v>
      </c>
      <c r="CZ54" s="90">
        <v>0</v>
      </c>
      <c r="DA54" s="90">
        <v>0</v>
      </c>
      <c r="DB54" s="90">
        <v>0</v>
      </c>
      <c r="DC54" s="90">
        <v>0</v>
      </c>
      <c r="DD54" s="90">
        <v>0</v>
      </c>
      <c r="DE54" s="90">
        <v>0</v>
      </c>
      <c r="DF54" s="90">
        <v>0</v>
      </c>
      <c r="DG54" s="86">
        <v>0</v>
      </c>
      <c r="DI54" s="91">
        <f ca="1">VLOOKUP(A54,'[2]2-Relatório'!$A:$J,9,0)</f>
        <v>70.19</v>
      </c>
      <c r="DJ54" s="92">
        <f t="shared" ca="1" si="89"/>
        <v>0</v>
      </c>
      <c r="DK54" s="92">
        <f t="shared" ca="1" si="89"/>
        <v>44360.08</v>
      </c>
      <c r="DL54" s="92">
        <f t="shared" ca="1" si="89"/>
        <v>20425.29</v>
      </c>
      <c r="DM54" s="92">
        <f t="shared" ca="1" si="89"/>
        <v>15511.99</v>
      </c>
      <c r="DN54" s="92">
        <f t="shared" ca="1" si="89"/>
        <v>43658.18</v>
      </c>
      <c r="DO54" s="92">
        <f t="shared" ca="1" si="89"/>
        <v>11090.02</v>
      </c>
      <c r="DP54" s="92">
        <f t="shared" ca="1" si="89"/>
        <v>22601.18</v>
      </c>
      <c r="DQ54" s="92">
        <f t="shared" ca="1" si="88"/>
        <v>50957.939999999995</v>
      </c>
      <c r="DR54" s="92">
        <f t="shared" ca="1" si="88"/>
        <v>38529.677459999999</v>
      </c>
      <c r="DS54" s="92">
        <f t="shared" ca="1" si="88"/>
        <v>26945.309289999997</v>
      </c>
      <c r="DT54" s="92">
        <f t="shared" ca="1" si="88"/>
        <v>15360.941119999996</v>
      </c>
      <c r="DU54" s="92">
        <f t="shared" ca="1" si="88"/>
        <v>1858.6311999999973</v>
      </c>
      <c r="DV54" s="92">
        <f t="shared" ca="1" si="88"/>
        <v>0</v>
      </c>
      <c r="DW54" s="92">
        <f t="shared" ca="1" si="88"/>
        <v>0</v>
      </c>
      <c r="DX54" s="92">
        <f t="shared" ca="1" si="88"/>
        <v>99178.47</v>
      </c>
      <c r="DY54" s="92">
        <f t="shared" ca="1" si="88"/>
        <v>85701.989999999991</v>
      </c>
      <c r="DZ54" s="92">
        <f t="shared" ca="1" si="75"/>
        <v>72155.319999999992</v>
      </c>
      <c r="EA54" s="92">
        <f t="shared" ca="1" si="75"/>
        <v>59450.93</v>
      </c>
      <c r="EB54" s="92">
        <f t="shared" ca="1" si="75"/>
        <v>52782.879999999997</v>
      </c>
      <c r="EC54" s="92">
        <f t="shared" ca="1" si="75"/>
        <v>41833.24</v>
      </c>
      <c r="ED54" s="92">
        <f t="shared" ca="1" si="75"/>
        <v>0</v>
      </c>
      <c r="EE54" s="92">
        <f t="shared" ca="1" si="75"/>
        <v>0</v>
      </c>
      <c r="EF54" s="92">
        <f t="shared" ca="1" si="75"/>
        <v>0</v>
      </c>
      <c r="EG54" s="92">
        <f t="shared" ca="1" si="73"/>
        <v>0</v>
      </c>
      <c r="EH54" s="92">
        <f t="shared" ca="1" si="73"/>
        <v>0</v>
      </c>
      <c r="EI54" s="92">
        <f t="shared" ca="1" si="73"/>
        <v>0</v>
      </c>
      <c r="EL54" s="93">
        <f t="shared" ca="1" si="57"/>
        <v>-4.7924999999999995</v>
      </c>
      <c r="EM54" s="93">
        <f t="shared" ca="1" si="57"/>
        <v>0</v>
      </c>
      <c r="EN54" s="92">
        <f t="shared" ca="1" si="83"/>
        <v>10546.047499999999</v>
      </c>
      <c r="EO54" s="92">
        <f t="shared" ca="1" si="83"/>
        <v>10546.047499999999</v>
      </c>
      <c r="EP54" s="92">
        <f t="shared" ca="1" si="83"/>
        <v>6904.5902999999998</v>
      </c>
      <c r="EQ54" s="92">
        <f t="shared" ca="1" si="83"/>
        <v>12428.26254</v>
      </c>
      <c r="ER54" s="92">
        <f t="shared" ca="1" si="83"/>
        <v>17414.911089999998</v>
      </c>
      <c r="ES54" s="92">
        <f t="shared" ca="1" si="83"/>
        <v>4372.9071899999999</v>
      </c>
      <c r="ET54" s="92">
        <f t="shared" ca="1" si="83"/>
        <v>9206.1203999999998</v>
      </c>
      <c r="EU54" s="92">
        <f t="shared" ca="1" si="83"/>
        <v>12428.26254</v>
      </c>
      <c r="EV54" s="92">
        <f t="shared" ca="1" si="83"/>
        <v>11584.36817</v>
      </c>
      <c r="EW54" s="92">
        <f t="shared" ca="1" si="83"/>
        <v>11584.36817</v>
      </c>
      <c r="EX54" s="92">
        <f t="shared" ca="1" si="83"/>
        <v>13502.30992</v>
      </c>
      <c r="EY54" s="92">
        <f t="shared" ca="1" si="83"/>
        <v>13579.02759</v>
      </c>
      <c r="EZ54" s="92">
        <f t="shared" ca="1" si="83"/>
        <v>11581.35</v>
      </c>
      <c r="FA54" s="92">
        <f t="shared" ca="1" si="83"/>
        <v>11581.35</v>
      </c>
      <c r="FB54" s="92">
        <f t="shared" ca="1" si="83"/>
        <v>13476.48</v>
      </c>
      <c r="FC54" s="92">
        <f t="shared" ca="1" si="82"/>
        <v>13546.67</v>
      </c>
      <c r="FD54" s="92">
        <f t="shared" ca="1" si="58"/>
        <v>12704.39</v>
      </c>
      <c r="FE54" s="92">
        <f t="shared" ca="1" si="58"/>
        <v>6668.05</v>
      </c>
      <c r="FF54" s="92">
        <f t="shared" ca="1" si="58"/>
        <v>10949.64</v>
      </c>
      <c r="FG54" s="92">
        <f t="shared" ca="1" si="58"/>
        <v>42114</v>
      </c>
      <c r="FH54" s="92">
        <f t="shared" ca="1" si="55"/>
        <v>0</v>
      </c>
      <c r="FI54" s="92">
        <f t="shared" ca="1" si="55"/>
        <v>0</v>
      </c>
      <c r="FJ54" s="92">
        <f t="shared" ca="1" si="55"/>
        <v>0</v>
      </c>
      <c r="FK54" s="92">
        <f t="shared" ca="1" si="55"/>
        <v>0</v>
      </c>
      <c r="FL54" s="92">
        <f t="shared" ca="1" si="55"/>
        <v>0</v>
      </c>
      <c r="FM54" s="92">
        <f t="shared" ca="1" si="55"/>
        <v>0</v>
      </c>
      <c r="FN54" s="94">
        <f t="shared" ref="FN54:FN56" ca="1" si="106">SUM(CO54:CU54)</f>
        <v>1578</v>
      </c>
      <c r="FO54" s="94">
        <f t="shared" ref="FO54:FO56" ca="1" si="107">SUM(CV54:DA54)</f>
        <v>0</v>
      </c>
      <c r="FP54" s="95">
        <f t="shared" ca="1" si="59"/>
        <v>0</v>
      </c>
      <c r="FQ54" s="95">
        <f t="shared" ca="1" si="59"/>
        <v>0</v>
      </c>
      <c r="FR54" s="95">
        <f t="shared" ca="1" si="96"/>
        <v>0</v>
      </c>
      <c r="FS54" s="95">
        <f t="shared" ca="1" si="96"/>
        <v>126.18968386023296</v>
      </c>
      <c r="FT54" s="95">
        <f t="shared" ca="1" si="96"/>
        <v>88.746569075937785</v>
      </c>
      <c r="FU54" s="95">
        <f t="shared" ca="1" si="96"/>
        <v>37.443665074040183</v>
      </c>
      <c r="FV54" s="95">
        <f t="shared" ca="1" si="96"/>
        <v>75.208273716199614</v>
      </c>
      <c r="FW54" s="95">
        <f t="shared" ca="1" si="95"/>
        <v>76.082245870852802</v>
      </c>
      <c r="FX54" s="95">
        <f t="shared" ca="1" si="95"/>
        <v>73.650503202195793</v>
      </c>
      <c r="FY54" s="95">
        <f t="shared" ca="1" si="95"/>
        <v>123.00498119345328</v>
      </c>
      <c r="FZ54" s="95">
        <f t="shared" ca="1" si="95"/>
        <v>99.78017849893665</v>
      </c>
      <c r="GA54" s="95">
        <f t="shared" ca="1" si="95"/>
        <v>69.780178498936635</v>
      </c>
      <c r="GB54" s="95">
        <f t="shared" ca="1" si="95"/>
        <v>34.12958496215586</v>
      </c>
      <c r="GC54" s="95">
        <f t="shared" ca="1" si="95"/>
        <v>4.1062539736691059</v>
      </c>
      <c r="GD54" s="95">
        <f t="shared" ca="1" si="95"/>
        <v>0</v>
      </c>
      <c r="GE54" s="95">
        <f t="shared" ca="1" si="95"/>
        <v>0</v>
      </c>
      <c r="GF54" s="95">
        <f t="shared" ca="1" si="95"/>
        <v>220.78125</v>
      </c>
      <c r="GG54" s="95">
        <f t="shared" ca="1" si="90"/>
        <v>189.79274611398961</v>
      </c>
      <c r="GH54" s="95">
        <f t="shared" ca="1" si="90"/>
        <v>170.38674033149169</v>
      </c>
      <c r="GI54" s="95">
        <f t="shared" ca="1" si="97"/>
        <v>267.4736842105263</v>
      </c>
      <c r="GJ54" s="95">
        <f t="shared" ca="1" si="97"/>
        <v>144.61538461538461</v>
      </c>
      <c r="GK54" s="95">
        <f t="shared" ca="1" si="97"/>
        <v>29.799999999999997</v>
      </c>
      <c r="GL54" s="95">
        <f t="shared" ca="1" si="97"/>
        <v>0</v>
      </c>
      <c r="GM54" s="95">
        <f t="shared" ca="1" si="97"/>
        <v>0</v>
      </c>
      <c r="GN54" s="95">
        <f t="shared" ca="1" si="97"/>
        <v>0</v>
      </c>
      <c r="GO54" s="95">
        <f t="shared" ca="1" si="97"/>
        <v>0</v>
      </c>
      <c r="GP54" s="95">
        <f t="shared" ca="1" si="97"/>
        <v>0</v>
      </c>
      <c r="GQ54" s="95">
        <f t="shared" ca="1" si="97"/>
        <v>0</v>
      </c>
      <c r="GS54" s="7">
        <v>200.89394669959998</v>
      </c>
      <c r="GT54" s="96">
        <f t="shared" ref="GT54:HI61" ca="1" si="108">$GS54*BG54</f>
        <v>19761.93753683965</v>
      </c>
      <c r="GU54" s="96">
        <f t="shared" ca="1" si="108"/>
        <v>35571.487566311371</v>
      </c>
      <c r="GV54" s="96">
        <f t="shared" ca="1" si="108"/>
        <v>49843.998009584451</v>
      </c>
      <c r="GW54" s="96">
        <f t="shared" ca="1" si="108"/>
        <v>12515.893773331778</v>
      </c>
      <c r="GX54" s="96">
        <f t="shared" ca="1" si="108"/>
        <v>26349.250049119531</v>
      </c>
      <c r="GY54" s="96">
        <f t="shared" ca="1" si="108"/>
        <v>35571.487566311371</v>
      </c>
      <c r="GZ54" s="96">
        <f t="shared" ca="1" si="108"/>
        <v>33156.139645142081</v>
      </c>
      <c r="HA54" s="96">
        <f t="shared" ca="1" si="108"/>
        <v>33156.139645142081</v>
      </c>
      <c r="HB54" s="96">
        <f t="shared" ca="1" si="108"/>
        <v>38645.566738708651</v>
      </c>
      <c r="HC54" s="96">
        <f t="shared" ca="1" si="108"/>
        <v>38865.143822451311</v>
      </c>
      <c r="HD54" s="96">
        <f t="shared" ca="1" si="108"/>
        <v>33147.501205433997</v>
      </c>
      <c r="HE54" s="96">
        <f t="shared" ca="1" si="108"/>
        <v>33147.501205433997</v>
      </c>
      <c r="HF54" s="96">
        <f t="shared" ca="1" si="108"/>
        <v>38571.637766323198</v>
      </c>
      <c r="HG54" s="96">
        <f t="shared" ca="1" si="108"/>
        <v>38772.5317130228</v>
      </c>
      <c r="HH54" s="96">
        <f t="shared" ca="1" si="108"/>
        <v>36361.804352627594</v>
      </c>
      <c r="HI54" s="96">
        <f t="shared" ca="1" si="108"/>
        <v>19084.924936461997</v>
      </c>
      <c r="HJ54" s="96">
        <f t="shared" ref="HD54:HQ61" ca="1" si="109">$GS54*BW54</f>
        <v>31339.455685137596</v>
      </c>
      <c r="HK54" s="96">
        <f t="shared" ca="1" si="109"/>
        <v>120536.36801975999</v>
      </c>
      <c r="HL54" s="96">
        <f t="shared" ca="1" si="109"/>
        <v>0</v>
      </c>
      <c r="HM54" s="96">
        <f t="shared" ca="1" si="109"/>
        <v>0</v>
      </c>
      <c r="HN54" s="96">
        <f t="shared" ca="1" si="109"/>
        <v>0</v>
      </c>
      <c r="HO54" s="96">
        <f t="shared" ca="1" si="109"/>
        <v>0</v>
      </c>
      <c r="HP54" s="96">
        <f t="shared" ca="1" si="109"/>
        <v>0</v>
      </c>
      <c r="HQ54" s="96">
        <f t="shared" ca="1" si="109"/>
        <v>0</v>
      </c>
      <c r="HS54" s="97">
        <f t="shared" ca="1" si="21"/>
        <v>58460.138489583594</v>
      </c>
    </row>
    <row r="55" spans="1:227" ht="17.25" thickTop="1" thickBot="1" x14ac:dyDescent="0.3">
      <c r="A55" s="150" t="s">
        <v>60</v>
      </c>
      <c r="B55" s="73" t="s">
        <v>423</v>
      </c>
      <c r="C55" s="73" t="s">
        <v>424</v>
      </c>
      <c r="D55" s="74" t="s">
        <v>0</v>
      </c>
      <c r="E55" s="74" t="s">
        <v>349</v>
      </c>
      <c r="F55" s="73"/>
      <c r="G55" s="75">
        <f t="shared" ca="1" si="101"/>
        <v>133</v>
      </c>
      <c r="H55" s="75">
        <v>133</v>
      </c>
      <c r="I55" s="75">
        <f t="shared" ca="1" si="102"/>
        <v>266</v>
      </c>
      <c r="J55" s="76">
        <f ca="1">[1]Parameters!$C$3+G55</f>
        <v>45964</v>
      </c>
      <c r="K55" s="77">
        <f t="shared" ca="1" si="103"/>
        <v>11</v>
      </c>
      <c r="L55" s="77">
        <f t="shared" ca="1" si="104"/>
        <v>2025</v>
      </c>
      <c r="M55" s="76">
        <f ca="1">[1]Parameters!$C$3+I55</f>
        <v>46097</v>
      </c>
      <c r="N55" s="77">
        <f t="shared" ca="1" si="25"/>
        <v>3</v>
      </c>
      <c r="O55" s="77">
        <f t="shared" ca="1" si="26"/>
        <v>2026</v>
      </c>
      <c r="P55" s="78">
        <v>0.9</v>
      </c>
      <c r="Q55" s="79" t="str">
        <f ca="1">VLOOKUP(A55,[1]ABC!A:G,7,0)</f>
        <v>B</v>
      </c>
      <c r="R55" s="80">
        <f t="shared" ca="1" si="99"/>
        <v>0</v>
      </c>
      <c r="S55" s="81">
        <v>34.17</v>
      </c>
      <c r="T55" s="82">
        <f t="shared" ca="1" si="10"/>
        <v>2600</v>
      </c>
      <c r="U55" s="83">
        <f t="shared" ca="1" si="105"/>
        <v>2600</v>
      </c>
      <c r="V55" s="80">
        <v>3000</v>
      </c>
      <c r="W55" s="80">
        <f t="shared" ca="1" si="27"/>
        <v>3000</v>
      </c>
      <c r="X55" s="80"/>
      <c r="Y55" s="84">
        <v>5.46</v>
      </c>
      <c r="Z55" s="85">
        <v>0</v>
      </c>
      <c r="AA55" s="85">
        <v>0</v>
      </c>
      <c r="AB55" s="85">
        <v>0</v>
      </c>
      <c r="AC55" s="85">
        <v>2898</v>
      </c>
      <c r="AD55" s="85">
        <v>488</v>
      </c>
      <c r="AE55" s="85">
        <v>2663</v>
      </c>
      <c r="AF55" s="85">
        <v>0</v>
      </c>
      <c r="AG55" s="85">
        <v>1560</v>
      </c>
      <c r="AH55" s="85">
        <v>764</v>
      </c>
      <c r="AI55" s="75">
        <v>3626</v>
      </c>
      <c r="AJ55" s="75">
        <f t="shared" ref="AJ55:AX71" ca="1" si="110">IF(AI55+CO55-BL55&lt;0,0,AI55+CO55-BL55)</f>
        <v>2384.3519999999999</v>
      </c>
      <c r="AK55" s="75">
        <f t="shared" ca="1" si="110"/>
        <v>1868.4559999999999</v>
      </c>
      <c r="AL55" s="75">
        <f t="shared" ca="1" si="110"/>
        <v>4207.1909999999998</v>
      </c>
      <c r="AM55" s="75">
        <f t="shared" ca="1" si="110"/>
        <v>2883.5679999999998</v>
      </c>
      <c r="AN55" s="75">
        <f t="shared" ca="1" si="110"/>
        <v>12933.567999999999</v>
      </c>
      <c r="AO55" s="75">
        <f t="shared" ca="1" si="110"/>
        <v>13633.567999999999</v>
      </c>
      <c r="AP55" s="75">
        <f t="shared" ca="1" si="110"/>
        <v>14333.567999999999</v>
      </c>
      <c r="AQ55" s="75">
        <f t="shared" ca="1" si="110"/>
        <v>12033.567999999999</v>
      </c>
      <c r="AR55" s="75">
        <f t="shared" ca="1" si="110"/>
        <v>9733.5679999999993</v>
      </c>
      <c r="AS55" s="75">
        <f t="shared" ca="1" si="110"/>
        <v>10433.567999999999</v>
      </c>
      <c r="AT55" s="75">
        <f t="shared" ca="1" si="110"/>
        <v>8133.5679999999993</v>
      </c>
      <c r="AU55" s="75">
        <f t="shared" ca="1" si="110"/>
        <v>5833.5679999999993</v>
      </c>
      <c r="AV55" s="75">
        <f t="shared" ca="1" si="110"/>
        <v>3533.5679999999993</v>
      </c>
      <c r="AW55" s="75">
        <f t="shared" ca="1" si="110"/>
        <v>3533.5679999999993</v>
      </c>
      <c r="AX55" s="75">
        <f t="shared" ca="1" si="110"/>
        <v>3533.5679999999993</v>
      </c>
      <c r="AY55" s="75">
        <f t="shared" ca="1" si="54"/>
        <v>3533.5679999999993</v>
      </c>
      <c r="AZ55" s="75">
        <f t="shared" ca="1" si="12"/>
        <v>3533.5679999999993</v>
      </c>
      <c r="BA55" s="75">
        <f t="shared" ca="1" si="12"/>
        <v>3533.5679999999993</v>
      </c>
      <c r="BB55" s="166"/>
      <c r="BC55" s="86">
        <v>0</v>
      </c>
      <c r="BD55" s="86">
        <v>0</v>
      </c>
      <c r="BE55" s="86">
        <v>219</v>
      </c>
      <c r="BF55" s="86">
        <v>0</v>
      </c>
      <c r="BG55" s="86">
        <v>432.82799999999997</v>
      </c>
      <c r="BH55" s="86">
        <v>1120.325</v>
      </c>
      <c r="BI55" s="86">
        <v>1813.287</v>
      </c>
      <c r="BJ55" s="86">
        <v>639.40499999999997</v>
      </c>
      <c r="BK55" s="86">
        <v>714.822</v>
      </c>
      <c r="BL55" s="86">
        <v>1241.6479999999999</v>
      </c>
      <c r="BM55" s="86">
        <v>515.89599999999996</v>
      </c>
      <c r="BN55" s="86">
        <v>661.26499999999999</v>
      </c>
      <c r="BO55" s="86">
        <v>1323.623</v>
      </c>
      <c r="BP55" s="86">
        <v>1950</v>
      </c>
      <c r="BQ55" s="86">
        <v>2300</v>
      </c>
      <c r="BR55" s="86">
        <v>2300</v>
      </c>
      <c r="BS55" s="86">
        <v>2300</v>
      </c>
      <c r="BT55" s="86">
        <v>2300</v>
      </c>
      <c r="BU55" s="86">
        <v>2300</v>
      </c>
      <c r="BV55" s="86">
        <v>2300</v>
      </c>
      <c r="BW55" s="86">
        <v>2300</v>
      </c>
      <c r="BX55" s="86">
        <v>2300</v>
      </c>
      <c r="BY55" s="86">
        <v>0</v>
      </c>
      <c r="BZ55" s="86">
        <v>0</v>
      </c>
      <c r="CA55" s="86">
        <v>0</v>
      </c>
      <c r="CB55" s="86">
        <v>0</v>
      </c>
      <c r="CC55" s="86">
        <v>0</v>
      </c>
      <c r="CD55" s="86">
        <v>0</v>
      </c>
      <c r="CE55" s="86">
        <f t="shared" ca="1" si="28"/>
        <v>675.15126620052069</v>
      </c>
      <c r="CF55" s="87"/>
      <c r="CG55" s="86">
        <v>0</v>
      </c>
      <c r="CH55" s="86">
        <v>0</v>
      </c>
      <c r="CI55" s="86">
        <v>0</v>
      </c>
      <c r="CJ55" s="86">
        <v>0</v>
      </c>
      <c r="CK55" s="86">
        <v>0</v>
      </c>
      <c r="CL55" s="86">
        <v>0</v>
      </c>
      <c r="CM55" s="86">
        <v>0</v>
      </c>
      <c r="CN55" s="86">
        <v>0</v>
      </c>
      <c r="CO55" s="86">
        <v>0</v>
      </c>
      <c r="CP55" s="86">
        <v>0</v>
      </c>
      <c r="CQ55" s="86">
        <v>3000</v>
      </c>
      <c r="CR55" s="89">
        <v>0</v>
      </c>
      <c r="CS55" s="86">
        <v>12000</v>
      </c>
      <c r="CT55" s="86">
        <v>3000</v>
      </c>
      <c r="CU55" s="90">
        <v>3000</v>
      </c>
      <c r="CV55" s="90">
        <v>0</v>
      </c>
      <c r="CW55" s="86">
        <v>0</v>
      </c>
      <c r="CX55" s="90">
        <v>3000</v>
      </c>
      <c r="CY55" s="90">
        <v>0</v>
      </c>
      <c r="CZ55" s="90">
        <v>0</v>
      </c>
      <c r="DA55" s="90">
        <v>0</v>
      </c>
      <c r="DB55" s="90">
        <v>0</v>
      </c>
      <c r="DC55" s="90">
        <v>0</v>
      </c>
      <c r="DD55" s="90">
        <v>0</v>
      </c>
      <c r="DE55" s="90">
        <v>0</v>
      </c>
      <c r="DF55" s="90">
        <v>0</v>
      </c>
      <c r="DG55" s="86">
        <v>0</v>
      </c>
      <c r="DH55" s="121"/>
      <c r="DI55" s="91">
        <f ca="1">VLOOKUP(A55,'[2]2-Relatório'!$A:$J,9,0)</f>
        <v>38.869999999999997</v>
      </c>
      <c r="DJ55" s="92">
        <f t="shared" ca="1" si="89"/>
        <v>0</v>
      </c>
      <c r="DK55" s="92">
        <f t="shared" ca="1" si="89"/>
        <v>112645.26</v>
      </c>
      <c r="DL55" s="92">
        <f t="shared" ca="1" si="89"/>
        <v>18968.559999999998</v>
      </c>
      <c r="DM55" s="92">
        <f t="shared" ca="1" si="89"/>
        <v>103510.81</v>
      </c>
      <c r="DN55" s="92">
        <f t="shared" ca="1" si="89"/>
        <v>0</v>
      </c>
      <c r="DO55" s="92">
        <f t="shared" ca="1" si="89"/>
        <v>60637.2</v>
      </c>
      <c r="DP55" s="92">
        <f t="shared" ca="1" si="89"/>
        <v>29696.679999999997</v>
      </c>
      <c r="DQ55" s="92">
        <f t="shared" ca="1" si="88"/>
        <v>140942.62</v>
      </c>
      <c r="DR55" s="92">
        <f t="shared" ca="1" si="88"/>
        <v>92679.762239999982</v>
      </c>
      <c r="DS55" s="92">
        <f t="shared" ca="1" si="88"/>
        <v>72626.884719999987</v>
      </c>
      <c r="DT55" s="92">
        <f t="shared" ca="1" si="88"/>
        <v>163533.51416999998</v>
      </c>
      <c r="DU55" s="92">
        <f t="shared" ca="1" si="88"/>
        <v>112084.28815999998</v>
      </c>
      <c r="DV55" s="92">
        <f t="shared" ca="1" si="88"/>
        <v>502727.78815999994</v>
      </c>
      <c r="DW55" s="92">
        <f t="shared" ca="1" si="88"/>
        <v>529936.78815999988</v>
      </c>
      <c r="DX55" s="92">
        <f t="shared" ca="1" si="88"/>
        <v>557145.78815999988</v>
      </c>
      <c r="DY55" s="92">
        <f t="shared" ca="1" si="88"/>
        <v>467744.78815999994</v>
      </c>
      <c r="DZ55" s="92">
        <f t="shared" ca="1" si="75"/>
        <v>378343.78815999994</v>
      </c>
      <c r="EA55" s="92">
        <f t="shared" ca="1" si="75"/>
        <v>405552.78815999994</v>
      </c>
      <c r="EB55" s="92">
        <f t="shared" ca="1" si="75"/>
        <v>316151.78815999994</v>
      </c>
      <c r="EC55" s="92">
        <f t="shared" ca="1" si="75"/>
        <v>226750.78815999997</v>
      </c>
      <c r="ED55" s="92">
        <f t="shared" ca="1" si="75"/>
        <v>137349.78815999997</v>
      </c>
      <c r="EE55" s="92">
        <f t="shared" ca="1" si="75"/>
        <v>137349.78815999997</v>
      </c>
      <c r="EF55" s="92">
        <f t="shared" ca="1" si="75"/>
        <v>137349.78815999997</v>
      </c>
      <c r="EG55" s="92">
        <f t="shared" ca="1" si="73"/>
        <v>137349.78815999997</v>
      </c>
      <c r="EH55" s="92">
        <f t="shared" ca="1" si="73"/>
        <v>137349.78815999997</v>
      </c>
      <c r="EI55" s="92">
        <f t="shared" ca="1" si="73"/>
        <v>137349.78815999997</v>
      </c>
      <c r="EL55" s="93">
        <f t="shared" ca="1" si="57"/>
        <v>0</v>
      </c>
      <c r="EM55" s="93">
        <f t="shared" ca="1" si="57"/>
        <v>0</v>
      </c>
      <c r="EN55" s="92">
        <f t="shared" ca="1" si="83"/>
        <v>8512.5299999999988</v>
      </c>
      <c r="EO55" s="92">
        <f t="shared" ca="1" si="83"/>
        <v>0</v>
      </c>
      <c r="EP55" s="92">
        <f t="shared" ca="1" si="83"/>
        <v>16824.024359999999</v>
      </c>
      <c r="EQ55" s="92">
        <f t="shared" ca="1" si="83"/>
        <v>43547.032749999998</v>
      </c>
      <c r="ER55" s="92">
        <f t="shared" ca="1" si="83"/>
        <v>70482.465689999997</v>
      </c>
      <c r="ES55" s="92">
        <f t="shared" ca="1" si="83"/>
        <v>24853.672349999997</v>
      </c>
      <c r="ET55" s="92">
        <f t="shared" ca="1" si="83"/>
        <v>27785.131139999998</v>
      </c>
      <c r="EU55" s="92">
        <f t="shared" ca="1" si="83"/>
        <v>48262.857759999992</v>
      </c>
      <c r="EV55" s="92">
        <f t="shared" ca="1" si="83"/>
        <v>20052.877519999998</v>
      </c>
      <c r="EW55" s="92">
        <f t="shared" ca="1" si="83"/>
        <v>25703.370549999996</v>
      </c>
      <c r="EX55" s="92">
        <f t="shared" ca="1" si="83"/>
        <v>51449.226009999998</v>
      </c>
      <c r="EY55" s="92">
        <f t="shared" ca="1" si="83"/>
        <v>75796.5</v>
      </c>
      <c r="EZ55" s="92">
        <f t="shared" ca="1" si="83"/>
        <v>89401</v>
      </c>
      <c r="FA55" s="92">
        <f t="shared" ca="1" si="83"/>
        <v>89401</v>
      </c>
      <c r="FB55" s="92">
        <f t="shared" ca="1" si="83"/>
        <v>89401</v>
      </c>
      <c r="FC55" s="92">
        <f t="shared" ca="1" si="82"/>
        <v>89401</v>
      </c>
      <c r="FD55" s="92">
        <f t="shared" ca="1" si="58"/>
        <v>89401</v>
      </c>
      <c r="FE55" s="92">
        <f t="shared" ca="1" si="58"/>
        <v>89401</v>
      </c>
      <c r="FF55" s="92">
        <f t="shared" ca="1" si="58"/>
        <v>89401</v>
      </c>
      <c r="FG55" s="92">
        <f t="shared" ca="1" si="58"/>
        <v>89401</v>
      </c>
      <c r="FH55" s="92">
        <f t="shared" ca="1" si="55"/>
        <v>0</v>
      </c>
      <c r="FI55" s="92">
        <f t="shared" ca="1" si="55"/>
        <v>0</v>
      </c>
      <c r="FJ55" s="92">
        <f t="shared" ca="1" si="55"/>
        <v>0</v>
      </c>
      <c r="FK55" s="92">
        <f t="shared" ca="1" si="55"/>
        <v>0</v>
      </c>
      <c r="FL55" s="92">
        <f t="shared" ca="1" si="55"/>
        <v>0</v>
      </c>
      <c r="FM55" s="92">
        <f t="shared" ca="1" si="55"/>
        <v>0</v>
      </c>
      <c r="FN55" s="94">
        <f t="shared" ca="1" si="106"/>
        <v>21000</v>
      </c>
      <c r="FO55" s="94">
        <f t="shared" ca="1" si="107"/>
        <v>3000</v>
      </c>
      <c r="FP55" s="95">
        <f t="shared" ca="1" si="59"/>
        <v>0</v>
      </c>
      <c r="FQ55" s="95">
        <f t="shared" ca="1" si="59"/>
        <v>0</v>
      </c>
      <c r="FR55" s="95">
        <f t="shared" ca="1" si="96"/>
        <v>0</v>
      </c>
      <c r="FS55" s="95">
        <f t="shared" ca="1" si="96"/>
        <v>0</v>
      </c>
      <c r="FT55" s="95">
        <f t="shared" ca="1" si="96"/>
        <v>33.824059441625764</v>
      </c>
      <c r="FU55" s="95">
        <f t="shared" ca="1" si="96"/>
        <v>71.309664606252639</v>
      </c>
      <c r="FV55" s="95">
        <f t="shared" ca="1" si="96"/>
        <v>0</v>
      </c>
      <c r="FW55" s="95">
        <f t="shared" ca="1" si="95"/>
        <v>73.193046660567262</v>
      </c>
      <c r="FX55" s="95">
        <f t="shared" ca="1" si="95"/>
        <v>32.063926404055834</v>
      </c>
      <c r="FY55" s="95">
        <f t="shared" ca="1" si="95"/>
        <v>87.60937077174853</v>
      </c>
      <c r="FZ55" s="95">
        <f t="shared" ca="1" si="95"/>
        <v>138.65306185742861</v>
      </c>
      <c r="GA55" s="95">
        <f t="shared" ca="1" si="95"/>
        <v>84.767347432572421</v>
      </c>
      <c r="GB55" s="95">
        <f t="shared" ca="1" si="95"/>
        <v>95.356253253381055</v>
      </c>
      <c r="GC55" s="95">
        <f t="shared" ca="1" si="95"/>
        <v>44.362584615384606</v>
      </c>
      <c r="GD55" s="95">
        <f t="shared" ca="1" si="95"/>
        <v>168.69871304347825</v>
      </c>
      <c r="GE55" s="95">
        <f t="shared" ca="1" si="95"/>
        <v>177.82914782608691</v>
      </c>
      <c r="GF55" s="95">
        <f t="shared" ca="1" si="95"/>
        <v>186.9595826086956</v>
      </c>
      <c r="GG55" s="95">
        <f t="shared" ca="1" si="90"/>
        <v>156.95958260869563</v>
      </c>
      <c r="GH55" s="95">
        <f t="shared" ca="1" si="90"/>
        <v>126.95958260869563</v>
      </c>
      <c r="GI55" s="95">
        <f t="shared" ca="1" si="97"/>
        <v>136.09001739130431</v>
      </c>
      <c r="GJ55" s="95">
        <f t="shared" ca="1" si="97"/>
        <v>106.09001739130433</v>
      </c>
      <c r="GK55" s="95">
        <f t="shared" ca="1" si="97"/>
        <v>76.090017391304343</v>
      </c>
      <c r="GL55" s="95">
        <f t="shared" ca="1" si="97"/>
        <v>0</v>
      </c>
      <c r="GM55" s="95">
        <f t="shared" ca="1" si="97"/>
        <v>0</v>
      </c>
      <c r="GN55" s="95">
        <f t="shared" ca="1" si="97"/>
        <v>0</v>
      </c>
      <c r="GO55" s="95">
        <f t="shared" ca="1" si="97"/>
        <v>0</v>
      </c>
      <c r="GP55" s="95">
        <f t="shared" ca="1" si="97"/>
        <v>0</v>
      </c>
      <c r="GQ55" s="95">
        <f t="shared" ca="1" si="97"/>
        <v>0</v>
      </c>
      <c r="GS55" s="7">
        <v>45.319404488000011</v>
      </c>
      <c r="GT55" s="96">
        <f t="shared" ca="1" si="108"/>
        <v>19615.507205732069</v>
      </c>
      <c r="GU55" s="96">
        <f t="shared" ca="1" si="108"/>
        <v>50772.461833018613</v>
      </c>
      <c r="GV55" s="96">
        <f t="shared" ca="1" si="108"/>
        <v>82177.087005832072</v>
      </c>
      <c r="GW55" s="96">
        <f t="shared" ca="1" si="108"/>
        <v>28977.453826649646</v>
      </c>
      <c r="GX55" s="96">
        <f t="shared" ca="1" si="108"/>
        <v>32395.307354921144</v>
      </c>
      <c r="GY55" s="96">
        <f t="shared" ca="1" si="108"/>
        <v>56270.747943716233</v>
      </c>
      <c r="GZ55" s="96">
        <f t="shared" ca="1" si="108"/>
        <v>23380.099497741252</v>
      </c>
      <c r="HA55" s="96">
        <f t="shared" ca="1" si="108"/>
        <v>29968.136008757327</v>
      </c>
      <c r="HB55" s="96">
        <f t="shared" ca="1" si="108"/>
        <v>59985.806126620038</v>
      </c>
      <c r="HC55" s="96">
        <f t="shared" ca="1" si="108"/>
        <v>88372.838751600022</v>
      </c>
      <c r="HD55" s="96">
        <f t="shared" ca="1" si="109"/>
        <v>104234.63032240003</v>
      </c>
      <c r="HE55" s="96">
        <f t="shared" ca="1" si="109"/>
        <v>104234.63032240003</v>
      </c>
      <c r="HF55" s="96">
        <f t="shared" ca="1" si="109"/>
        <v>104234.63032240003</v>
      </c>
      <c r="HG55" s="96">
        <f t="shared" ca="1" si="109"/>
        <v>104234.63032240003</v>
      </c>
      <c r="HH55" s="96">
        <f t="shared" ca="1" si="109"/>
        <v>104234.63032240003</v>
      </c>
      <c r="HI55" s="96">
        <f t="shared" ca="1" si="109"/>
        <v>104234.63032240003</v>
      </c>
      <c r="HJ55" s="96">
        <f t="shared" ca="1" si="109"/>
        <v>104234.63032240003</v>
      </c>
      <c r="HK55" s="96">
        <f t="shared" ca="1" si="109"/>
        <v>104234.63032240003</v>
      </c>
      <c r="HL55" s="96">
        <f t="shared" ca="1" si="109"/>
        <v>0</v>
      </c>
      <c r="HM55" s="96">
        <f t="shared" ca="1" si="109"/>
        <v>0</v>
      </c>
      <c r="HN55" s="96">
        <f t="shared" ca="1" si="109"/>
        <v>0</v>
      </c>
      <c r="HO55" s="96">
        <f t="shared" ca="1" si="109"/>
        <v>0</v>
      </c>
      <c r="HP55" s="96">
        <f t="shared" ca="1" si="109"/>
        <v>0</v>
      </c>
      <c r="HQ55" s="96">
        <f t="shared" ca="1" si="109"/>
        <v>0</v>
      </c>
      <c r="HS55" s="97">
        <f t="shared" ca="1" si="21"/>
        <v>22115.869390144006</v>
      </c>
    </row>
    <row r="56" spans="1:227" ht="17.25" thickTop="1" thickBot="1" x14ac:dyDescent="0.3">
      <c r="A56" s="150" t="s">
        <v>72</v>
      </c>
      <c r="B56" s="73" t="s">
        <v>425</v>
      </c>
      <c r="C56" s="73" t="s">
        <v>426</v>
      </c>
      <c r="D56" s="74" t="s">
        <v>0</v>
      </c>
      <c r="E56" s="74" t="s">
        <v>349</v>
      </c>
      <c r="F56" s="73"/>
      <c r="G56" s="75">
        <f t="shared" ca="1" si="101"/>
        <v>133</v>
      </c>
      <c r="H56" s="75">
        <v>133</v>
      </c>
      <c r="I56" s="75">
        <f t="shared" ca="1" si="102"/>
        <v>266</v>
      </c>
      <c r="J56" s="76">
        <f ca="1">[1]Parameters!$C$3+G56</f>
        <v>45964</v>
      </c>
      <c r="K56" s="77">
        <f t="shared" ca="1" si="103"/>
        <v>11</v>
      </c>
      <c r="L56" s="77">
        <f t="shared" ca="1" si="104"/>
        <v>2025</v>
      </c>
      <c r="M56" s="76">
        <f ca="1">[1]Parameters!$C$3+I56</f>
        <v>46097</v>
      </c>
      <c r="N56" s="77">
        <f t="shared" ca="1" si="25"/>
        <v>3</v>
      </c>
      <c r="O56" s="77">
        <f t="shared" ca="1" si="26"/>
        <v>2026</v>
      </c>
      <c r="P56" s="78">
        <v>0.9</v>
      </c>
      <c r="Q56" s="79" t="str">
        <f ca="1">VLOOKUP(A56,[1]ABC!A:G,7,0)</f>
        <v>C</v>
      </c>
      <c r="R56" s="80">
        <f t="shared" ca="1" si="99"/>
        <v>0</v>
      </c>
      <c r="S56" s="81">
        <v>33.26</v>
      </c>
      <c r="T56" s="82">
        <f t="shared" ca="1" si="10"/>
        <v>1000</v>
      </c>
      <c r="U56" s="83">
        <f t="shared" ca="1" si="105"/>
        <v>1000</v>
      </c>
      <c r="V56" s="80">
        <v>3000</v>
      </c>
      <c r="W56" s="80">
        <f t="shared" ca="1" si="27"/>
        <v>3000</v>
      </c>
      <c r="X56" s="80"/>
      <c r="Y56" s="84">
        <v>5.61</v>
      </c>
      <c r="Z56" s="85">
        <v>0</v>
      </c>
      <c r="AA56" s="85">
        <v>0</v>
      </c>
      <c r="AB56" s="85">
        <v>1986</v>
      </c>
      <c r="AC56" s="85">
        <v>976</v>
      </c>
      <c r="AD56" s="85">
        <v>246</v>
      </c>
      <c r="AE56" s="85">
        <v>682</v>
      </c>
      <c r="AF56" s="85">
        <v>1571</v>
      </c>
      <c r="AG56" s="85">
        <v>515</v>
      </c>
      <c r="AH56" s="85">
        <v>6</v>
      </c>
      <c r="AI56" s="75">
        <v>0</v>
      </c>
      <c r="AJ56" s="75">
        <f t="shared" ca="1" si="110"/>
        <v>0</v>
      </c>
      <c r="AK56" s="75">
        <f t="shared" ca="1" si="110"/>
        <v>2574</v>
      </c>
      <c r="AL56" s="75">
        <f t="shared" ca="1" si="110"/>
        <v>4966</v>
      </c>
      <c r="AM56" s="75">
        <f t="shared" ca="1" si="110"/>
        <v>4488</v>
      </c>
      <c r="AN56" s="75">
        <f t="shared" ca="1" si="110"/>
        <v>6588</v>
      </c>
      <c r="AO56" s="75">
        <f t="shared" ca="1" si="110"/>
        <v>8588</v>
      </c>
      <c r="AP56" s="75">
        <f t="shared" ca="1" si="110"/>
        <v>7588</v>
      </c>
      <c r="AQ56" s="75">
        <f t="shared" ca="1" si="110"/>
        <v>6588</v>
      </c>
      <c r="AR56" s="75">
        <f t="shared" ca="1" si="110"/>
        <v>5588</v>
      </c>
      <c r="AS56" s="75">
        <f t="shared" ca="1" si="110"/>
        <v>4288</v>
      </c>
      <c r="AT56" s="75">
        <f t="shared" ca="1" si="110"/>
        <v>3588</v>
      </c>
      <c r="AU56" s="75">
        <f t="shared" ca="1" si="110"/>
        <v>2588</v>
      </c>
      <c r="AV56" s="75">
        <f t="shared" ca="1" si="110"/>
        <v>1588</v>
      </c>
      <c r="AW56" s="75">
        <f t="shared" ca="1" si="110"/>
        <v>1588</v>
      </c>
      <c r="AX56" s="75">
        <f t="shared" ca="1" si="110"/>
        <v>1588</v>
      </c>
      <c r="AY56" s="75">
        <f t="shared" ca="1" si="54"/>
        <v>1588</v>
      </c>
      <c r="AZ56" s="75">
        <f t="shared" ca="1" si="12"/>
        <v>1588</v>
      </c>
      <c r="BA56" s="75">
        <f t="shared" ca="1" si="12"/>
        <v>1588</v>
      </c>
      <c r="BB56" s="166"/>
      <c r="BC56" s="86">
        <v>0</v>
      </c>
      <c r="BD56" s="86">
        <v>0</v>
      </c>
      <c r="BE56" s="86">
        <v>663</v>
      </c>
      <c r="BF56" s="86">
        <v>348</v>
      </c>
      <c r="BG56" s="86">
        <v>473</v>
      </c>
      <c r="BH56" s="86">
        <v>908</v>
      </c>
      <c r="BI56" s="86">
        <v>1428</v>
      </c>
      <c r="BJ56" s="86">
        <v>1368</v>
      </c>
      <c r="BK56" s="86">
        <v>828</v>
      </c>
      <c r="BL56" s="86">
        <v>1133</v>
      </c>
      <c r="BM56" s="86">
        <v>426</v>
      </c>
      <c r="BN56" s="86">
        <v>608</v>
      </c>
      <c r="BO56" s="86">
        <v>478</v>
      </c>
      <c r="BP56" s="86">
        <v>900</v>
      </c>
      <c r="BQ56" s="86">
        <v>1000</v>
      </c>
      <c r="BR56" s="86">
        <v>1000</v>
      </c>
      <c r="BS56" s="86">
        <v>1000</v>
      </c>
      <c r="BT56" s="86">
        <v>1000</v>
      </c>
      <c r="BU56" s="86">
        <v>1300</v>
      </c>
      <c r="BV56" s="86">
        <v>700</v>
      </c>
      <c r="BW56" s="86">
        <v>1000</v>
      </c>
      <c r="BX56" s="86">
        <v>1000</v>
      </c>
      <c r="BY56" s="86">
        <v>0</v>
      </c>
      <c r="BZ56" s="86">
        <v>0</v>
      </c>
      <c r="CA56" s="86">
        <v>0</v>
      </c>
      <c r="CB56" s="86">
        <v>0</v>
      </c>
      <c r="CC56" s="86">
        <v>0</v>
      </c>
      <c r="CD56" s="86">
        <v>0</v>
      </c>
      <c r="CE56" s="86">
        <f t="shared" ca="1" si="28"/>
        <v>258.27390548874723</v>
      </c>
      <c r="CF56" s="87"/>
      <c r="CG56" s="86">
        <v>0</v>
      </c>
      <c r="CH56" s="86">
        <v>0</v>
      </c>
      <c r="CI56" s="86">
        <v>0</v>
      </c>
      <c r="CJ56" s="86">
        <v>0</v>
      </c>
      <c r="CK56" s="86">
        <v>0</v>
      </c>
      <c r="CL56" s="86">
        <v>0</v>
      </c>
      <c r="CM56" s="86">
        <v>0</v>
      </c>
      <c r="CN56" s="86">
        <v>0</v>
      </c>
      <c r="CO56" s="89">
        <v>0</v>
      </c>
      <c r="CP56" s="89">
        <v>3000</v>
      </c>
      <c r="CQ56" s="86">
        <v>3000</v>
      </c>
      <c r="CR56" s="86">
        <v>0</v>
      </c>
      <c r="CS56" s="89">
        <v>3000</v>
      </c>
      <c r="CT56" s="86">
        <v>3000</v>
      </c>
      <c r="CU56" s="90">
        <v>0</v>
      </c>
      <c r="CV56" s="90">
        <v>0</v>
      </c>
      <c r="CW56" s="86">
        <v>0</v>
      </c>
      <c r="CX56" s="90">
        <v>0</v>
      </c>
      <c r="CY56" s="90">
        <v>0</v>
      </c>
      <c r="CZ56" s="90">
        <v>0</v>
      </c>
      <c r="DA56" s="90">
        <v>0</v>
      </c>
      <c r="DB56" s="90">
        <v>0</v>
      </c>
      <c r="DC56" s="90">
        <v>0</v>
      </c>
      <c r="DD56" s="90">
        <v>0</v>
      </c>
      <c r="DE56" s="90">
        <v>0</v>
      </c>
      <c r="DF56" s="90">
        <v>0</v>
      </c>
      <c r="DG56" s="86">
        <v>0</v>
      </c>
      <c r="DH56" s="121"/>
      <c r="DI56" s="91">
        <f ca="1">VLOOKUP(A56,'[2]2-Relatório'!$A:$J,9,0)</f>
        <v>42.32</v>
      </c>
      <c r="DJ56" s="92">
        <f t="shared" ca="1" si="89"/>
        <v>84047.52</v>
      </c>
      <c r="DK56" s="92">
        <f t="shared" ca="1" si="89"/>
        <v>41304.32</v>
      </c>
      <c r="DL56" s="92">
        <f t="shared" ca="1" si="89"/>
        <v>10410.719999999999</v>
      </c>
      <c r="DM56" s="92">
        <f t="shared" ca="1" si="89"/>
        <v>28862.240000000002</v>
      </c>
      <c r="DN56" s="92">
        <f t="shared" ca="1" si="89"/>
        <v>66484.72</v>
      </c>
      <c r="DO56" s="92">
        <f t="shared" ca="1" si="89"/>
        <v>21794.799999999999</v>
      </c>
      <c r="DP56" s="92">
        <f t="shared" ca="1" si="89"/>
        <v>253.92000000000002</v>
      </c>
      <c r="DQ56" s="92">
        <f t="shared" ca="1" si="88"/>
        <v>0</v>
      </c>
      <c r="DR56" s="92">
        <f t="shared" ca="1" si="88"/>
        <v>0</v>
      </c>
      <c r="DS56" s="92">
        <f t="shared" ca="1" si="88"/>
        <v>108931.68000000001</v>
      </c>
      <c r="DT56" s="92">
        <f t="shared" ca="1" si="88"/>
        <v>210161.12</v>
      </c>
      <c r="DU56" s="92">
        <f t="shared" ca="1" si="88"/>
        <v>189932.16</v>
      </c>
      <c r="DV56" s="92">
        <f t="shared" ca="1" si="88"/>
        <v>278804.15999999997</v>
      </c>
      <c r="DW56" s="92">
        <f t="shared" ca="1" si="88"/>
        <v>363444.16</v>
      </c>
      <c r="DX56" s="92">
        <f t="shared" ca="1" si="88"/>
        <v>321124.15999999997</v>
      </c>
      <c r="DY56" s="92">
        <f t="shared" ca="1" si="88"/>
        <v>278804.15999999997</v>
      </c>
      <c r="DZ56" s="92">
        <f t="shared" ca="1" si="75"/>
        <v>236484.16</v>
      </c>
      <c r="EA56" s="92">
        <f t="shared" ca="1" si="75"/>
        <v>181468.16</v>
      </c>
      <c r="EB56" s="92">
        <f t="shared" ca="1" si="75"/>
        <v>151844.16</v>
      </c>
      <c r="EC56" s="92">
        <f t="shared" ca="1" si="75"/>
        <v>109524.16</v>
      </c>
      <c r="ED56" s="92">
        <f t="shared" ca="1" si="75"/>
        <v>67204.160000000003</v>
      </c>
      <c r="EE56" s="92">
        <f t="shared" ca="1" si="75"/>
        <v>67204.160000000003</v>
      </c>
      <c r="EF56" s="92">
        <f t="shared" ca="1" si="75"/>
        <v>67204.160000000003</v>
      </c>
      <c r="EG56" s="92">
        <f t="shared" ca="1" si="73"/>
        <v>67204.160000000003</v>
      </c>
      <c r="EH56" s="92">
        <f t="shared" ca="1" si="73"/>
        <v>67204.160000000003</v>
      </c>
      <c r="EI56" s="92">
        <f t="shared" ca="1" si="73"/>
        <v>67204.160000000003</v>
      </c>
      <c r="EL56" s="93">
        <f t="shared" ref="EL56:EM74" ca="1" si="111">$S56*BC56</f>
        <v>0</v>
      </c>
      <c r="EM56" s="93">
        <f t="shared" ca="1" si="111"/>
        <v>0</v>
      </c>
      <c r="EN56" s="92">
        <f t="shared" ca="1" si="83"/>
        <v>28058.16</v>
      </c>
      <c r="EO56" s="92">
        <f t="shared" ca="1" si="83"/>
        <v>14727.36</v>
      </c>
      <c r="EP56" s="92">
        <f t="shared" ca="1" si="83"/>
        <v>20017.36</v>
      </c>
      <c r="EQ56" s="92">
        <f t="shared" ca="1" si="83"/>
        <v>38426.559999999998</v>
      </c>
      <c r="ER56" s="92">
        <f t="shared" ca="1" si="83"/>
        <v>60432.959999999999</v>
      </c>
      <c r="ES56" s="92">
        <f t="shared" ca="1" si="83"/>
        <v>57893.760000000002</v>
      </c>
      <c r="ET56" s="92">
        <f t="shared" ca="1" si="83"/>
        <v>35040.959999999999</v>
      </c>
      <c r="EU56" s="92">
        <f t="shared" ca="1" si="83"/>
        <v>47948.56</v>
      </c>
      <c r="EV56" s="92">
        <f t="shared" ca="1" si="83"/>
        <v>18028.32</v>
      </c>
      <c r="EW56" s="92">
        <f t="shared" ca="1" si="83"/>
        <v>25730.560000000001</v>
      </c>
      <c r="EX56" s="92">
        <f t="shared" ca="1" si="83"/>
        <v>20228.96</v>
      </c>
      <c r="EY56" s="92">
        <f t="shared" ca="1" si="83"/>
        <v>38088</v>
      </c>
      <c r="EZ56" s="92">
        <f t="shared" ca="1" si="83"/>
        <v>42320</v>
      </c>
      <c r="FA56" s="92">
        <f t="shared" ca="1" si="83"/>
        <v>42320</v>
      </c>
      <c r="FB56" s="92">
        <f t="shared" ca="1" si="83"/>
        <v>42320</v>
      </c>
      <c r="FC56" s="92">
        <f t="shared" ca="1" si="82"/>
        <v>42320</v>
      </c>
      <c r="FD56" s="92">
        <f t="shared" ca="1" si="82"/>
        <v>55016</v>
      </c>
      <c r="FE56" s="92">
        <f t="shared" ca="1" si="82"/>
        <v>29624</v>
      </c>
      <c r="FF56" s="92">
        <f t="shared" ca="1" si="82"/>
        <v>42320</v>
      </c>
      <c r="FG56" s="92">
        <f t="shared" ca="1" si="82"/>
        <v>42320</v>
      </c>
      <c r="FH56" s="92">
        <f t="shared" ca="1" si="55"/>
        <v>0</v>
      </c>
      <c r="FI56" s="92">
        <f t="shared" ca="1" si="55"/>
        <v>0</v>
      </c>
      <c r="FJ56" s="92">
        <f t="shared" ca="1" si="55"/>
        <v>0</v>
      </c>
      <c r="FK56" s="92">
        <f t="shared" ca="1" si="55"/>
        <v>0</v>
      </c>
      <c r="FL56" s="92">
        <f t="shared" ca="1" si="55"/>
        <v>0</v>
      </c>
      <c r="FM56" s="92">
        <f t="shared" ca="1" si="55"/>
        <v>0</v>
      </c>
      <c r="FN56" s="94">
        <f t="shared" ca="1" si="106"/>
        <v>12000</v>
      </c>
      <c r="FO56" s="94">
        <f t="shared" ca="1" si="107"/>
        <v>0</v>
      </c>
      <c r="FP56" s="95">
        <f t="shared" ref="FP56:FQ74" ca="1" si="112">IFERROR(Z56/BC56*30,0)</f>
        <v>0</v>
      </c>
      <c r="FQ56" s="95">
        <f t="shared" ca="1" si="112"/>
        <v>0</v>
      </c>
      <c r="FR56" s="95">
        <f t="shared" ca="1" si="96"/>
        <v>89.864253393665166</v>
      </c>
      <c r="FS56" s="95">
        <f t="shared" ca="1" si="96"/>
        <v>84.137931034482747</v>
      </c>
      <c r="FT56" s="95">
        <f t="shared" ca="1" si="96"/>
        <v>15.602536997885835</v>
      </c>
      <c r="FU56" s="95">
        <f t="shared" ca="1" si="96"/>
        <v>22.533039647577095</v>
      </c>
      <c r="FV56" s="95">
        <f t="shared" ca="1" si="96"/>
        <v>33.004201680672274</v>
      </c>
      <c r="FW56" s="95">
        <f t="shared" ca="1" si="95"/>
        <v>11.293859649122806</v>
      </c>
      <c r="FX56" s="95">
        <f t="shared" ca="1" si="95"/>
        <v>0.21739130434782611</v>
      </c>
      <c r="FY56" s="95">
        <f t="shared" ca="1" si="95"/>
        <v>0</v>
      </c>
      <c r="FZ56" s="95">
        <f t="shared" ca="1" si="95"/>
        <v>0</v>
      </c>
      <c r="GA56" s="95">
        <f t="shared" ca="1" si="95"/>
        <v>127.00657894736844</v>
      </c>
      <c r="GB56" s="95">
        <f t="shared" ca="1" si="95"/>
        <v>311.673640167364</v>
      </c>
      <c r="GC56" s="95">
        <f t="shared" ca="1" si="95"/>
        <v>149.6</v>
      </c>
      <c r="GD56" s="95">
        <f t="shared" ca="1" si="95"/>
        <v>197.64</v>
      </c>
      <c r="GE56" s="95">
        <f t="shared" ca="1" si="95"/>
        <v>257.64</v>
      </c>
      <c r="GF56" s="95">
        <f t="shared" ca="1" si="95"/>
        <v>227.64</v>
      </c>
      <c r="GG56" s="95">
        <f t="shared" ca="1" si="90"/>
        <v>197.64</v>
      </c>
      <c r="GH56" s="95">
        <f t="shared" ca="1" si="90"/>
        <v>128.95384615384614</v>
      </c>
      <c r="GI56" s="95">
        <f t="shared" ca="1" si="97"/>
        <v>183.77142857142857</v>
      </c>
      <c r="GJ56" s="95">
        <f t="shared" ca="1" si="97"/>
        <v>107.64</v>
      </c>
      <c r="GK56" s="95">
        <f t="shared" ca="1" si="97"/>
        <v>77.64</v>
      </c>
      <c r="GL56" s="95">
        <f t="shared" ca="1" si="97"/>
        <v>0</v>
      </c>
      <c r="GM56" s="95">
        <f t="shared" ca="1" si="97"/>
        <v>0</v>
      </c>
      <c r="GN56" s="95">
        <f t="shared" ca="1" si="97"/>
        <v>0</v>
      </c>
      <c r="GO56" s="95">
        <f t="shared" ca="1" si="97"/>
        <v>0</v>
      </c>
      <c r="GP56" s="95">
        <f t="shared" ca="1" si="97"/>
        <v>0</v>
      </c>
      <c r="GQ56" s="95">
        <f t="shared" ca="1" si="97"/>
        <v>0</v>
      </c>
      <c r="GS56" s="7">
        <v>45.482329384000018</v>
      </c>
      <c r="GT56" s="96">
        <f t="shared" ca="1" si="108"/>
        <v>21513.141798632008</v>
      </c>
      <c r="GU56" s="96">
        <f t="shared" ca="1" si="108"/>
        <v>41297.955080672014</v>
      </c>
      <c r="GV56" s="96">
        <f t="shared" ca="1" si="108"/>
        <v>64948.766360352027</v>
      </c>
      <c r="GW56" s="96">
        <f t="shared" ca="1" si="108"/>
        <v>62219.826597312021</v>
      </c>
      <c r="GX56" s="96">
        <f t="shared" ca="1" si="108"/>
        <v>37659.368729952017</v>
      </c>
      <c r="GY56" s="96">
        <f t="shared" ca="1" si="108"/>
        <v>51531.479192072016</v>
      </c>
      <c r="GZ56" s="96">
        <f t="shared" ca="1" si="108"/>
        <v>19375.472317584008</v>
      </c>
      <c r="HA56" s="96">
        <f t="shared" ca="1" si="108"/>
        <v>27653.25626547201</v>
      </c>
      <c r="HB56" s="96">
        <f t="shared" ca="1" si="108"/>
        <v>21740.55344555201</v>
      </c>
      <c r="HC56" s="96">
        <f t="shared" ca="1" si="108"/>
        <v>40934.096445600015</v>
      </c>
      <c r="HD56" s="96">
        <f t="shared" ca="1" si="109"/>
        <v>45482.329384000019</v>
      </c>
      <c r="HE56" s="96">
        <f t="shared" ca="1" si="109"/>
        <v>45482.329384000019</v>
      </c>
      <c r="HF56" s="96">
        <f t="shared" ca="1" si="109"/>
        <v>45482.329384000019</v>
      </c>
      <c r="HG56" s="96">
        <f t="shared" ca="1" si="109"/>
        <v>45482.329384000019</v>
      </c>
      <c r="HH56" s="96">
        <f t="shared" ca="1" si="109"/>
        <v>59127.028199200024</v>
      </c>
      <c r="HI56" s="96">
        <f t="shared" ca="1" si="109"/>
        <v>31837.630568800014</v>
      </c>
      <c r="HJ56" s="96">
        <f t="shared" ca="1" si="109"/>
        <v>45482.329384000019</v>
      </c>
      <c r="HK56" s="96">
        <f t="shared" ca="1" si="109"/>
        <v>45482.329384000019</v>
      </c>
      <c r="HL56" s="96">
        <f t="shared" ca="1" si="109"/>
        <v>0</v>
      </c>
      <c r="HM56" s="96">
        <f t="shared" ca="1" si="109"/>
        <v>0</v>
      </c>
      <c r="HN56" s="96">
        <f t="shared" ca="1" si="109"/>
        <v>0</v>
      </c>
      <c r="HO56" s="96">
        <f t="shared" ca="1" si="109"/>
        <v>0</v>
      </c>
      <c r="HP56" s="96">
        <f t="shared" ca="1" si="109"/>
        <v>0</v>
      </c>
      <c r="HQ56" s="96">
        <f t="shared" ca="1" si="109"/>
        <v>0</v>
      </c>
      <c r="HS56" s="97">
        <f t="shared" ca="1" si="21"/>
        <v>11188.653028464005</v>
      </c>
    </row>
    <row r="57" spans="1:227" ht="17.25" thickTop="1" thickBot="1" x14ac:dyDescent="0.3">
      <c r="A57" s="102" t="s">
        <v>78</v>
      </c>
      <c r="B57" s="103" t="s">
        <v>427</v>
      </c>
      <c r="C57" s="73" t="s">
        <v>427</v>
      </c>
      <c r="D57" s="74" t="s">
        <v>0</v>
      </c>
      <c r="E57" s="74" t="s">
        <v>360</v>
      </c>
      <c r="F57" s="73"/>
      <c r="G57" s="75">
        <f ca="1">80+16</f>
        <v>96</v>
      </c>
      <c r="H57" s="75">
        <v>137</v>
      </c>
      <c r="I57" s="75">
        <f t="shared" ca="1" si="102"/>
        <v>233</v>
      </c>
      <c r="J57" s="76">
        <f ca="1">[1]Parameters!$C$3+G57</f>
        <v>45927</v>
      </c>
      <c r="K57" s="77">
        <f t="shared" ca="1" si="103"/>
        <v>9</v>
      </c>
      <c r="L57" s="77">
        <f t="shared" ca="1" si="104"/>
        <v>2025</v>
      </c>
      <c r="M57" s="76">
        <f ca="1">[1]Parameters!$C$3+I57</f>
        <v>46064</v>
      </c>
      <c r="N57" s="77">
        <f t="shared" ca="1" si="25"/>
        <v>2</v>
      </c>
      <c r="O57" s="77">
        <f t="shared" ca="1" si="26"/>
        <v>2026</v>
      </c>
      <c r="P57" s="78">
        <v>0.9</v>
      </c>
      <c r="Q57" s="79" t="str">
        <f ca="1">VLOOKUP(A57,[1]ABC!A:G,7,0)</f>
        <v>C</v>
      </c>
      <c r="R57" s="80">
        <f t="shared" ca="1" si="99"/>
        <v>60.397696783984358</v>
      </c>
      <c r="S57" s="81">
        <v>82.76</v>
      </c>
      <c r="T57" s="82">
        <f t="shared" ca="1" si="10"/>
        <v>800</v>
      </c>
      <c r="U57" s="83">
        <f t="shared" ca="1" si="105"/>
        <v>800</v>
      </c>
      <c r="V57" s="80">
        <v>3400</v>
      </c>
      <c r="W57" s="80">
        <f t="shared" ca="1" si="27"/>
        <v>3400</v>
      </c>
      <c r="X57" s="101" t="s">
        <v>390</v>
      </c>
      <c r="Y57" s="84">
        <v>6.55</v>
      </c>
      <c r="Z57" s="85">
        <v>481</v>
      </c>
      <c r="AA57" s="85">
        <v>772</v>
      </c>
      <c r="AB57" s="85">
        <v>418</v>
      </c>
      <c r="AC57" s="85">
        <v>72</v>
      </c>
      <c r="AD57" s="85">
        <v>1</v>
      </c>
      <c r="AE57" s="85">
        <v>711</v>
      </c>
      <c r="AF57" s="85">
        <v>417</v>
      </c>
      <c r="AG57" s="85">
        <v>283</v>
      </c>
      <c r="AH57" s="85">
        <v>364</v>
      </c>
      <c r="AI57" s="75">
        <v>4211</v>
      </c>
      <c r="AJ57" s="75">
        <f t="shared" ca="1" si="110"/>
        <v>3922</v>
      </c>
      <c r="AK57" s="75">
        <f t="shared" ca="1" si="110"/>
        <v>3621</v>
      </c>
      <c r="AL57" s="75">
        <f t="shared" ca="1" si="110"/>
        <v>3209</v>
      </c>
      <c r="AM57" s="75">
        <f t="shared" ca="1" si="110"/>
        <v>2977</v>
      </c>
      <c r="AN57" s="75">
        <f t="shared" ca="1" si="110"/>
        <v>2627</v>
      </c>
      <c r="AO57" s="75">
        <f t="shared" ca="1" si="110"/>
        <v>2015</v>
      </c>
      <c r="AP57" s="75">
        <f t="shared" ca="1" si="110"/>
        <v>4740</v>
      </c>
      <c r="AQ57" s="75">
        <f t="shared" ca="1" si="110"/>
        <v>4026</v>
      </c>
      <c r="AR57" s="75">
        <f t="shared" ca="1" si="110"/>
        <v>3253</v>
      </c>
      <c r="AS57" s="75">
        <f t="shared" ca="1" si="110"/>
        <v>2502</v>
      </c>
      <c r="AT57" s="75">
        <f t="shared" ca="1" si="110"/>
        <v>2442</v>
      </c>
      <c r="AU57" s="75">
        <f t="shared" ca="1" si="110"/>
        <v>1914</v>
      </c>
      <c r="AV57" s="75">
        <f t="shared" ca="1" si="110"/>
        <v>1386</v>
      </c>
      <c r="AW57" s="75">
        <f t="shared" ca="1" si="110"/>
        <v>1386</v>
      </c>
      <c r="AX57" s="75">
        <f t="shared" ca="1" si="110"/>
        <v>1386</v>
      </c>
      <c r="AY57" s="75">
        <f t="shared" ca="1" si="54"/>
        <v>1386</v>
      </c>
      <c r="AZ57" s="75">
        <f t="shared" ca="1" si="12"/>
        <v>1386</v>
      </c>
      <c r="BA57" s="75">
        <f t="shared" ca="1" si="12"/>
        <v>1386</v>
      </c>
      <c r="BB57" s="166"/>
      <c r="BC57" s="86">
        <v>478.92</v>
      </c>
      <c r="BD57" s="86">
        <v>762.94</v>
      </c>
      <c r="BE57" s="86">
        <v>297</v>
      </c>
      <c r="BF57" s="86">
        <v>297</v>
      </c>
      <c r="BG57" s="86">
        <v>78</v>
      </c>
      <c r="BH57" s="86">
        <v>53</v>
      </c>
      <c r="BI57" s="86">
        <v>413</v>
      </c>
      <c r="BJ57" s="86">
        <v>60</v>
      </c>
      <c r="BK57" s="86">
        <v>235</v>
      </c>
      <c r="BL57" s="86">
        <v>289</v>
      </c>
      <c r="BM57" s="86">
        <v>301</v>
      </c>
      <c r="BN57" s="86">
        <v>412</v>
      </c>
      <c r="BO57" s="86">
        <v>232</v>
      </c>
      <c r="BP57" s="86">
        <v>350</v>
      </c>
      <c r="BQ57" s="86">
        <v>612</v>
      </c>
      <c r="BR57" s="86">
        <v>675</v>
      </c>
      <c r="BS57" s="86">
        <v>714</v>
      </c>
      <c r="BT57" s="86">
        <v>773</v>
      </c>
      <c r="BU57" s="86">
        <v>751</v>
      </c>
      <c r="BV57" s="86">
        <v>60</v>
      </c>
      <c r="BW57" s="86">
        <f ca="1">VLOOKUP(A57,[3]Export!$B:$Q,16,0)</f>
        <v>528</v>
      </c>
      <c r="BX57" s="86">
        <v>528</v>
      </c>
      <c r="BY57" s="86">
        <v>0</v>
      </c>
      <c r="BZ57" s="86">
        <v>0</v>
      </c>
      <c r="CA57" s="86">
        <v>0</v>
      </c>
      <c r="CB57" s="86">
        <v>0</v>
      </c>
      <c r="CC57" s="86">
        <v>0</v>
      </c>
      <c r="CD57" s="86">
        <v>0</v>
      </c>
      <c r="CE57" s="86">
        <f t="shared" ca="1" si="28"/>
        <v>223.98580541105957</v>
      </c>
      <c r="CF57" s="87"/>
      <c r="CG57" s="86">
        <v>0</v>
      </c>
      <c r="CH57" s="86">
        <v>0</v>
      </c>
      <c r="CI57" s="86">
        <v>0</v>
      </c>
      <c r="CJ57" s="86">
        <v>0</v>
      </c>
      <c r="CK57" s="86">
        <v>0</v>
      </c>
      <c r="CL57" s="86">
        <v>0</v>
      </c>
      <c r="CM57" s="86">
        <v>0</v>
      </c>
      <c r="CN57" s="86">
        <v>0</v>
      </c>
      <c r="CO57" s="104">
        <v>0</v>
      </c>
      <c r="CP57" s="104">
        <v>0</v>
      </c>
      <c r="CQ57" s="105">
        <v>0</v>
      </c>
      <c r="CR57" s="99">
        <v>0</v>
      </c>
      <c r="CS57" s="99">
        <v>0</v>
      </c>
      <c r="CT57" s="99">
        <v>0</v>
      </c>
      <c r="CU57" s="86">
        <v>3400</v>
      </c>
      <c r="CV57" s="86">
        <v>0</v>
      </c>
      <c r="CW57" s="86">
        <v>0</v>
      </c>
      <c r="CX57" s="86">
        <v>0</v>
      </c>
      <c r="CY57" s="86">
        <v>0</v>
      </c>
      <c r="CZ57" s="86">
        <v>0</v>
      </c>
      <c r="DA57" s="86">
        <v>0</v>
      </c>
      <c r="DB57" s="86">
        <v>0</v>
      </c>
      <c r="DC57" s="86">
        <v>0</v>
      </c>
      <c r="DD57" s="86">
        <v>0</v>
      </c>
      <c r="DE57" s="86">
        <v>0</v>
      </c>
      <c r="DF57" s="86">
        <v>0</v>
      </c>
      <c r="DG57" s="86">
        <v>0</v>
      </c>
      <c r="DI57" s="91">
        <f ca="1">VLOOKUP(A57,'[2]2-Relatório'!$A:$J,9,0)</f>
        <v>53.98</v>
      </c>
      <c r="DJ57" s="92">
        <f t="shared" ca="1" si="89"/>
        <v>22563.64</v>
      </c>
      <c r="DK57" s="92">
        <f t="shared" ca="1" si="89"/>
        <v>3886.56</v>
      </c>
      <c r="DL57" s="92">
        <f t="shared" ca="1" si="89"/>
        <v>53.98</v>
      </c>
      <c r="DM57" s="92">
        <f t="shared" ca="1" si="89"/>
        <v>38379.78</v>
      </c>
      <c r="DN57" s="92">
        <f t="shared" ca="1" si="89"/>
        <v>22509.66</v>
      </c>
      <c r="DO57" s="92">
        <f t="shared" ca="1" si="89"/>
        <v>15276.339999999998</v>
      </c>
      <c r="DP57" s="92">
        <f t="shared" ca="1" si="89"/>
        <v>19648.719999999998</v>
      </c>
      <c r="DQ57" s="92">
        <f t="shared" ca="1" si="88"/>
        <v>227309.78</v>
      </c>
      <c r="DR57" s="92">
        <f t="shared" ca="1" si="88"/>
        <v>211709.56</v>
      </c>
      <c r="DS57" s="92">
        <f t="shared" ca="1" si="88"/>
        <v>195461.58</v>
      </c>
      <c r="DT57" s="92">
        <f t="shared" ca="1" si="88"/>
        <v>173221.81999999998</v>
      </c>
      <c r="DU57" s="92">
        <f t="shared" ca="1" si="88"/>
        <v>160698.46</v>
      </c>
      <c r="DV57" s="92">
        <f t="shared" ca="1" si="88"/>
        <v>141805.46</v>
      </c>
      <c r="DW57" s="92">
        <f t="shared" ca="1" si="88"/>
        <v>108769.7</v>
      </c>
      <c r="DX57" s="92">
        <f t="shared" ca="1" si="88"/>
        <v>255865.19999999998</v>
      </c>
      <c r="DY57" s="92">
        <f t="shared" ca="1" si="88"/>
        <v>217323.47999999998</v>
      </c>
      <c r="DZ57" s="92">
        <f t="shared" ca="1" si="75"/>
        <v>175596.94</v>
      </c>
      <c r="EA57" s="92">
        <f t="shared" ca="1" si="75"/>
        <v>135057.96</v>
      </c>
      <c r="EB57" s="92">
        <f t="shared" ca="1" si="75"/>
        <v>131819.16</v>
      </c>
      <c r="EC57" s="92">
        <f t="shared" ca="1" si="75"/>
        <v>103317.72</v>
      </c>
      <c r="ED57" s="92">
        <f t="shared" ca="1" si="75"/>
        <v>74816.28</v>
      </c>
      <c r="EE57" s="92">
        <f t="shared" ca="1" si="75"/>
        <v>74816.28</v>
      </c>
      <c r="EF57" s="92">
        <f t="shared" ca="1" si="75"/>
        <v>74816.28</v>
      </c>
      <c r="EG57" s="92">
        <f t="shared" ca="1" si="73"/>
        <v>74816.28</v>
      </c>
      <c r="EH57" s="92">
        <f t="shared" ca="1" si="73"/>
        <v>74816.28</v>
      </c>
      <c r="EI57" s="92">
        <f t="shared" ca="1" si="73"/>
        <v>74816.28</v>
      </c>
      <c r="EL57" s="93">
        <f t="shared" ca="1" si="111"/>
        <v>39635.419200000004</v>
      </c>
      <c r="EM57" s="93">
        <f t="shared" ca="1" si="111"/>
        <v>63140.914400000009</v>
      </c>
      <c r="EN57" s="92">
        <f t="shared" ref="EN57:FB73" ca="1" si="113">$DI57*BE57</f>
        <v>16032.06</v>
      </c>
      <c r="EO57" s="92">
        <f t="shared" ca="1" si="113"/>
        <v>16032.06</v>
      </c>
      <c r="EP57" s="92">
        <f t="shared" ca="1" si="113"/>
        <v>4210.4399999999996</v>
      </c>
      <c r="EQ57" s="92">
        <f t="shared" ca="1" si="113"/>
        <v>2860.94</v>
      </c>
      <c r="ER57" s="92">
        <f t="shared" ca="1" si="113"/>
        <v>22293.739999999998</v>
      </c>
      <c r="ES57" s="92">
        <f t="shared" ca="1" si="113"/>
        <v>3238.7999999999997</v>
      </c>
      <c r="ET57" s="92">
        <f t="shared" ca="1" si="113"/>
        <v>12685.3</v>
      </c>
      <c r="EU57" s="92">
        <f t="shared" ca="1" si="113"/>
        <v>15600.22</v>
      </c>
      <c r="EV57" s="92">
        <f t="shared" ca="1" si="113"/>
        <v>16247.98</v>
      </c>
      <c r="EW57" s="92">
        <f t="shared" ca="1" si="113"/>
        <v>22239.759999999998</v>
      </c>
      <c r="EX57" s="92">
        <f t="shared" ca="1" si="113"/>
        <v>12523.359999999999</v>
      </c>
      <c r="EY57" s="92">
        <f t="shared" ca="1" si="113"/>
        <v>18893</v>
      </c>
      <c r="EZ57" s="92">
        <f t="shared" ca="1" si="113"/>
        <v>33035.759999999995</v>
      </c>
      <c r="FA57" s="92">
        <f t="shared" ca="1" si="113"/>
        <v>36436.5</v>
      </c>
      <c r="FB57" s="92">
        <f t="shared" ca="1" si="113"/>
        <v>38541.72</v>
      </c>
      <c r="FC57" s="92">
        <f t="shared" ca="1" si="82"/>
        <v>41726.54</v>
      </c>
      <c r="FD57" s="92">
        <f t="shared" ca="1" si="82"/>
        <v>40538.979999999996</v>
      </c>
      <c r="FE57" s="92">
        <f t="shared" ca="1" si="82"/>
        <v>3238.7999999999997</v>
      </c>
      <c r="FF57" s="92">
        <f t="shared" ca="1" si="82"/>
        <v>28501.439999999999</v>
      </c>
      <c r="FG57" s="92">
        <f t="shared" ca="1" si="82"/>
        <v>28501.439999999999</v>
      </c>
      <c r="FH57" s="92">
        <f t="shared" ca="1" si="55"/>
        <v>0</v>
      </c>
      <c r="FI57" s="92">
        <f t="shared" ca="1" si="55"/>
        <v>0</v>
      </c>
      <c r="FJ57" s="92">
        <f t="shared" ca="1" si="55"/>
        <v>0</v>
      </c>
      <c r="FK57" s="92">
        <f t="shared" ca="1" si="55"/>
        <v>0</v>
      </c>
      <c r="FL57" s="92">
        <f t="shared" ca="1" si="55"/>
        <v>0</v>
      </c>
      <c r="FM57" s="92">
        <f t="shared" ca="1" si="55"/>
        <v>0</v>
      </c>
      <c r="FN57" s="94">
        <f ca="1">SUM(CN57:CS57)</f>
        <v>0</v>
      </c>
      <c r="FO57" s="94">
        <f ca="1">SUM(CT57:CZ57)</f>
        <v>3400</v>
      </c>
      <c r="FP57" s="95">
        <f t="shared" ca="1" si="112"/>
        <v>30.130293159609121</v>
      </c>
      <c r="FQ57" s="95">
        <f t="shared" ca="1" si="112"/>
        <v>30.356253440637531</v>
      </c>
      <c r="FR57" s="95">
        <f t="shared" ca="1" si="96"/>
        <v>42.222222222222221</v>
      </c>
      <c r="FS57" s="95">
        <f t="shared" ca="1" si="96"/>
        <v>7.2727272727272734</v>
      </c>
      <c r="FT57" s="95">
        <f t="shared" ca="1" si="96"/>
        <v>0.38461538461538464</v>
      </c>
      <c r="FU57" s="95">
        <f t="shared" ca="1" si="96"/>
        <v>402.45283018867923</v>
      </c>
      <c r="FV57" s="95">
        <f t="shared" ca="1" si="96"/>
        <v>30.290556900726394</v>
      </c>
      <c r="FW57" s="95">
        <f t="shared" ca="1" si="95"/>
        <v>141.5</v>
      </c>
      <c r="FX57" s="95">
        <f t="shared" ca="1" si="95"/>
        <v>46.468085106382972</v>
      </c>
      <c r="FY57" s="95">
        <f t="shared" ca="1" si="95"/>
        <v>437.12802768166097</v>
      </c>
      <c r="FZ57" s="95">
        <f t="shared" ca="1" si="95"/>
        <v>390.89700996677743</v>
      </c>
      <c r="GA57" s="95">
        <f t="shared" ca="1" si="95"/>
        <v>263.6650485436893</v>
      </c>
      <c r="GB57" s="95">
        <f t="shared" ca="1" si="95"/>
        <v>414.95689655172413</v>
      </c>
      <c r="GC57" s="95">
        <f t="shared" ca="1" si="95"/>
        <v>255.17142857142855</v>
      </c>
      <c r="GD57" s="95">
        <f t="shared" ca="1" si="95"/>
        <v>128.7745098039216</v>
      </c>
      <c r="GE57" s="95">
        <f t="shared" ca="1" si="95"/>
        <v>89.555555555555543</v>
      </c>
      <c r="GF57" s="95">
        <f t="shared" ca="1" si="95"/>
        <v>199.15966386554621</v>
      </c>
      <c r="GG57" s="95">
        <f t="shared" ca="1" si="90"/>
        <v>156.24838292367397</v>
      </c>
      <c r="GH57" s="95">
        <f t="shared" ca="1" si="90"/>
        <v>129.94673768308922</v>
      </c>
      <c r="GI57" s="95">
        <f t="shared" ca="1" si="97"/>
        <v>1251</v>
      </c>
      <c r="GJ57" s="95">
        <f t="shared" ca="1" si="97"/>
        <v>138.75</v>
      </c>
      <c r="GK57" s="95">
        <f t="shared" ca="1" si="97"/>
        <v>108.75</v>
      </c>
      <c r="GL57" s="95">
        <f t="shared" ca="1" si="97"/>
        <v>0</v>
      </c>
      <c r="GM57" s="95">
        <f t="shared" ca="1" si="97"/>
        <v>0</v>
      </c>
      <c r="GN57" s="95">
        <f t="shared" ca="1" si="97"/>
        <v>0</v>
      </c>
      <c r="GO57" s="95">
        <f t="shared" ca="1" si="97"/>
        <v>0</v>
      </c>
      <c r="GP57" s="95">
        <f t="shared" ca="1" si="97"/>
        <v>0</v>
      </c>
      <c r="GQ57" s="95">
        <f t="shared" ca="1" si="97"/>
        <v>0</v>
      </c>
      <c r="GS57" s="7">
        <v>211.72722140679994</v>
      </c>
      <c r="GT57" s="96">
        <f t="shared" ca="1" si="108"/>
        <v>16514.723269730395</v>
      </c>
      <c r="GU57" s="96">
        <f t="shared" ca="1" si="108"/>
        <v>11221.542734560397</v>
      </c>
      <c r="GV57" s="96">
        <f t="shared" ca="1" si="108"/>
        <v>87443.342441008383</v>
      </c>
      <c r="GW57" s="96">
        <f t="shared" ca="1" si="108"/>
        <v>12703.633284407997</v>
      </c>
      <c r="GX57" s="96">
        <f t="shared" ca="1" si="108"/>
        <v>49755.897030597989</v>
      </c>
      <c r="GY57" s="96">
        <f t="shared" ca="1" si="108"/>
        <v>61189.166986565186</v>
      </c>
      <c r="GZ57" s="96">
        <f t="shared" ca="1" si="108"/>
        <v>63729.893643446783</v>
      </c>
      <c r="HA57" s="96">
        <f t="shared" ca="1" si="108"/>
        <v>87231.615219601576</v>
      </c>
      <c r="HB57" s="96">
        <f t="shared" ca="1" si="108"/>
        <v>49120.71536637759</v>
      </c>
      <c r="HC57" s="96">
        <f t="shared" ca="1" si="108"/>
        <v>74104.527492379973</v>
      </c>
      <c r="HD57" s="96">
        <f t="shared" ca="1" si="109"/>
        <v>129577.05950096156</v>
      </c>
      <c r="HE57" s="96">
        <f t="shared" ca="1" si="109"/>
        <v>142915.87444958996</v>
      </c>
      <c r="HF57" s="96">
        <f t="shared" ca="1" si="109"/>
        <v>151173.23608445516</v>
      </c>
      <c r="HG57" s="96">
        <f t="shared" ca="1" si="109"/>
        <v>163665.14214745635</v>
      </c>
      <c r="HH57" s="96">
        <f t="shared" ca="1" si="109"/>
        <v>159007.14327650674</v>
      </c>
      <c r="HI57" s="96">
        <f t="shared" ca="1" si="109"/>
        <v>12703.633284407997</v>
      </c>
      <c r="HJ57" s="96">
        <f t="shared" ca="1" si="109"/>
        <v>111791.97290279037</v>
      </c>
      <c r="HK57" s="96">
        <f t="shared" ca="1" si="109"/>
        <v>111791.97290279037</v>
      </c>
      <c r="HL57" s="96">
        <f t="shared" ca="1" si="109"/>
        <v>0</v>
      </c>
      <c r="HM57" s="96">
        <f t="shared" ca="1" si="109"/>
        <v>0</v>
      </c>
      <c r="HN57" s="96">
        <f t="shared" ca="1" si="109"/>
        <v>0</v>
      </c>
      <c r="HO57" s="96">
        <f t="shared" ca="1" si="109"/>
        <v>0</v>
      </c>
      <c r="HP57" s="96">
        <f t="shared" ca="1" si="109"/>
        <v>0</v>
      </c>
      <c r="HQ57" s="96">
        <f t="shared" ca="1" si="109"/>
        <v>0</v>
      </c>
      <c r="HS57" s="97">
        <f t="shared" ca="1" si="21"/>
        <v>211.72722140679994</v>
      </c>
    </row>
    <row r="58" spans="1:227" ht="17.25" thickTop="1" thickBot="1" x14ac:dyDescent="0.3">
      <c r="A58" s="150" t="s">
        <v>54</v>
      </c>
      <c r="B58" s="73" t="s">
        <v>428</v>
      </c>
      <c r="C58" s="73" t="s">
        <v>429</v>
      </c>
      <c r="D58" s="74" t="s">
        <v>0</v>
      </c>
      <c r="E58" s="74" t="s">
        <v>349</v>
      </c>
      <c r="F58" s="73"/>
      <c r="G58" s="75">
        <f ca="1">127+6</f>
        <v>133</v>
      </c>
      <c r="H58" s="75">
        <v>133</v>
      </c>
      <c r="I58" s="75">
        <f t="shared" ca="1" si="102"/>
        <v>266</v>
      </c>
      <c r="J58" s="76">
        <f ca="1">[1]Parameters!$C$3+G58</f>
        <v>45964</v>
      </c>
      <c r="K58" s="77">
        <f t="shared" ca="1" si="103"/>
        <v>11</v>
      </c>
      <c r="L58" s="77">
        <f t="shared" ca="1" si="104"/>
        <v>2025</v>
      </c>
      <c r="M58" s="76">
        <f ca="1">[1]Parameters!$C$3+I58</f>
        <v>46097</v>
      </c>
      <c r="N58" s="77">
        <f t="shared" ca="1" si="25"/>
        <v>3</v>
      </c>
      <c r="O58" s="77">
        <f t="shared" ca="1" si="26"/>
        <v>2026</v>
      </c>
      <c r="P58" s="78">
        <v>0.9</v>
      </c>
      <c r="Q58" s="79" t="str">
        <f ca="1">VLOOKUP(A58,[1]ABC!A:G,7,0)</f>
        <v>B</v>
      </c>
      <c r="R58" s="80">
        <f t="shared" ca="1" si="99"/>
        <v>0</v>
      </c>
      <c r="S58" s="81">
        <v>34.590000000000003</v>
      </c>
      <c r="T58" s="82">
        <f t="shared" ca="1" si="10"/>
        <v>4000</v>
      </c>
      <c r="U58" s="83">
        <f t="shared" ca="1" si="105"/>
        <v>4000</v>
      </c>
      <c r="V58" s="80">
        <v>3000</v>
      </c>
      <c r="W58" s="80">
        <f t="shared" ca="1" si="27"/>
        <v>3000</v>
      </c>
      <c r="X58" s="80"/>
      <c r="Y58" s="84">
        <v>5.61</v>
      </c>
      <c r="Z58" s="85">
        <v>0</v>
      </c>
      <c r="AA58" s="85">
        <v>0</v>
      </c>
      <c r="AB58" s="85">
        <v>0</v>
      </c>
      <c r="AC58" s="85">
        <v>3753</v>
      </c>
      <c r="AD58" s="85">
        <v>379</v>
      </c>
      <c r="AE58" s="85">
        <v>1166</v>
      </c>
      <c r="AF58" s="85">
        <v>1726</v>
      </c>
      <c r="AG58" s="85">
        <v>958</v>
      </c>
      <c r="AH58" s="85">
        <v>717</v>
      </c>
      <c r="AI58" s="75">
        <v>234</v>
      </c>
      <c r="AJ58" s="75">
        <f t="shared" ca="1" si="110"/>
        <v>0</v>
      </c>
      <c r="AK58" s="75">
        <f t="shared" ca="1" si="110"/>
        <v>0</v>
      </c>
      <c r="AL58" s="75">
        <f t="shared" ca="1" si="110"/>
        <v>5291.7359999999999</v>
      </c>
      <c r="AM58" s="75">
        <f t="shared" ca="1" si="110"/>
        <v>4082.8779999999997</v>
      </c>
      <c r="AN58" s="75">
        <f t="shared" ca="1" si="110"/>
        <v>7832.8780000000006</v>
      </c>
      <c r="AO58" s="75">
        <f t="shared" ca="1" si="110"/>
        <v>13832.878000000001</v>
      </c>
      <c r="AP58" s="75">
        <f t="shared" ca="1" si="110"/>
        <v>13832.878000000001</v>
      </c>
      <c r="AQ58" s="75">
        <f t="shared" ca="1" si="110"/>
        <v>13832.878000000001</v>
      </c>
      <c r="AR58" s="75">
        <f t="shared" ca="1" si="110"/>
        <v>13832.878000000001</v>
      </c>
      <c r="AS58" s="75">
        <f t="shared" ca="1" si="110"/>
        <v>12932.878000000001</v>
      </c>
      <c r="AT58" s="75">
        <f t="shared" ca="1" si="110"/>
        <v>10832.878000000001</v>
      </c>
      <c r="AU58" s="75">
        <f t="shared" ca="1" si="110"/>
        <v>7832.8780000000006</v>
      </c>
      <c r="AV58" s="75">
        <f t="shared" ca="1" si="110"/>
        <v>4832.8780000000006</v>
      </c>
      <c r="AW58" s="75">
        <f t="shared" ca="1" si="110"/>
        <v>4832.8780000000006</v>
      </c>
      <c r="AX58" s="75">
        <f t="shared" ca="1" si="110"/>
        <v>4832.8780000000006</v>
      </c>
      <c r="AY58" s="75">
        <f t="shared" ca="1" si="54"/>
        <v>4832.8780000000006</v>
      </c>
      <c r="AZ58" s="75">
        <f t="shared" ca="1" si="12"/>
        <v>4832.8780000000006</v>
      </c>
      <c r="BA58" s="75">
        <f t="shared" ca="1" si="12"/>
        <v>4832.8780000000006</v>
      </c>
      <c r="BB58" s="166"/>
      <c r="BC58" s="86">
        <v>0</v>
      </c>
      <c r="BD58" s="86">
        <v>0</v>
      </c>
      <c r="BE58" s="86">
        <v>853.16666666666663</v>
      </c>
      <c r="BF58" s="86">
        <v>853.16666666666663</v>
      </c>
      <c r="BG58" s="86">
        <v>506.05899999999997</v>
      </c>
      <c r="BH58" s="86">
        <v>908.28300000000002</v>
      </c>
      <c r="BI58" s="86">
        <v>1428.5509999999999</v>
      </c>
      <c r="BJ58" s="86">
        <v>631.75400000000002</v>
      </c>
      <c r="BK58" s="86">
        <v>722.47299999999996</v>
      </c>
      <c r="BL58" s="86">
        <v>1118.1389999999999</v>
      </c>
      <c r="BM58" s="86">
        <v>643.77700000000004</v>
      </c>
      <c r="BN58" s="86">
        <v>708.26400000000001</v>
      </c>
      <c r="BO58" s="86">
        <v>1208.8579999999999</v>
      </c>
      <c r="BP58" s="86">
        <v>2250</v>
      </c>
      <c r="BQ58" s="86">
        <v>3000</v>
      </c>
      <c r="BR58" s="86">
        <v>3000</v>
      </c>
      <c r="BS58" s="86">
        <v>3000</v>
      </c>
      <c r="BT58" s="86">
        <v>3000</v>
      </c>
      <c r="BU58" s="86">
        <v>3900</v>
      </c>
      <c r="BV58" s="86">
        <v>2100</v>
      </c>
      <c r="BW58" s="86">
        <v>3000</v>
      </c>
      <c r="BX58" s="86">
        <v>3000</v>
      </c>
      <c r="BY58" s="86">
        <v>0</v>
      </c>
      <c r="BZ58" s="86">
        <v>0</v>
      </c>
      <c r="CA58" s="86">
        <v>0</v>
      </c>
      <c r="CB58" s="86">
        <v>0</v>
      </c>
      <c r="CC58" s="86">
        <v>0</v>
      </c>
      <c r="CD58" s="86">
        <v>0</v>
      </c>
      <c r="CE58" s="86">
        <f t="shared" ca="1" si="28"/>
        <v>1056.9815334618656</v>
      </c>
      <c r="CF58" s="87"/>
      <c r="CG58" s="86">
        <v>0</v>
      </c>
      <c r="CH58" s="86">
        <v>0</v>
      </c>
      <c r="CI58" s="86">
        <v>0</v>
      </c>
      <c r="CJ58" s="86">
        <v>0</v>
      </c>
      <c r="CK58" s="86">
        <v>0</v>
      </c>
      <c r="CL58" s="86">
        <v>0</v>
      </c>
      <c r="CM58" s="86">
        <v>0</v>
      </c>
      <c r="CN58" s="86">
        <v>0</v>
      </c>
      <c r="CO58" s="86">
        <v>0</v>
      </c>
      <c r="CP58" s="86">
        <v>0</v>
      </c>
      <c r="CQ58" s="89">
        <v>6000</v>
      </c>
      <c r="CR58" s="86">
        <v>0</v>
      </c>
      <c r="CS58" s="89">
        <f ca="1">3000*2</f>
        <v>6000</v>
      </c>
      <c r="CT58" s="86">
        <f ca="1">3000*3</f>
        <v>9000</v>
      </c>
      <c r="CU58" s="90">
        <v>3000</v>
      </c>
      <c r="CV58" s="90">
        <v>3000</v>
      </c>
      <c r="CW58" s="90">
        <v>3000</v>
      </c>
      <c r="CX58" s="90">
        <v>3000</v>
      </c>
      <c r="CY58" s="90">
        <v>0</v>
      </c>
      <c r="CZ58" s="90">
        <v>0</v>
      </c>
      <c r="DA58" s="90">
        <v>0</v>
      </c>
      <c r="DB58" s="90">
        <v>0</v>
      </c>
      <c r="DC58" s="90">
        <v>0</v>
      </c>
      <c r="DD58" s="90">
        <v>0</v>
      </c>
      <c r="DE58" s="90">
        <v>0</v>
      </c>
      <c r="DF58" s="90">
        <v>0</v>
      </c>
      <c r="DG58" s="86">
        <v>0</v>
      </c>
      <c r="DH58" s="121"/>
      <c r="DI58" s="91">
        <f ca="1">VLOOKUP(A58,'[2]2-Relatório'!$A:$J,9,0)</f>
        <v>41.49</v>
      </c>
      <c r="DJ58" s="92">
        <f t="shared" ca="1" si="89"/>
        <v>0</v>
      </c>
      <c r="DK58" s="92">
        <f t="shared" ca="1" si="89"/>
        <v>155711.97</v>
      </c>
      <c r="DL58" s="92">
        <f t="shared" ca="1" si="89"/>
        <v>15724.710000000001</v>
      </c>
      <c r="DM58" s="92">
        <f t="shared" ca="1" si="89"/>
        <v>48377.340000000004</v>
      </c>
      <c r="DN58" s="92">
        <f t="shared" ca="1" si="89"/>
        <v>71611.740000000005</v>
      </c>
      <c r="DO58" s="92">
        <f t="shared" ca="1" si="89"/>
        <v>39747.420000000006</v>
      </c>
      <c r="DP58" s="92">
        <f t="shared" ca="1" si="89"/>
        <v>29748.33</v>
      </c>
      <c r="DQ58" s="92">
        <f t="shared" ca="1" si="88"/>
        <v>9708.66</v>
      </c>
      <c r="DR58" s="92">
        <f t="shared" ca="1" si="88"/>
        <v>0</v>
      </c>
      <c r="DS58" s="92">
        <f t="shared" ca="1" si="88"/>
        <v>0</v>
      </c>
      <c r="DT58" s="92">
        <f t="shared" ca="1" si="88"/>
        <v>219554.12664</v>
      </c>
      <c r="DU58" s="92">
        <f t="shared" ca="1" si="88"/>
        <v>169398.60821999999</v>
      </c>
      <c r="DV58" s="92">
        <f t="shared" ca="1" si="88"/>
        <v>324986.10822000005</v>
      </c>
      <c r="DW58" s="92">
        <f t="shared" ca="1" si="88"/>
        <v>573926.10822000005</v>
      </c>
      <c r="DX58" s="92">
        <f t="shared" ca="1" si="88"/>
        <v>573926.10822000005</v>
      </c>
      <c r="DY58" s="92">
        <f t="shared" ca="1" si="88"/>
        <v>573926.10822000005</v>
      </c>
      <c r="DZ58" s="92">
        <f t="shared" ca="1" si="75"/>
        <v>573926.10822000005</v>
      </c>
      <c r="EA58" s="92">
        <f t="shared" ca="1" si="75"/>
        <v>536585.10822000005</v>
      </c>
      <c r="EB58" s="92">
        <f t="shared" ca="1" si="75"/>
        <v>449456.10822000005</v>
      </c>
      <c r="EC58" s="92">
        <f t="shared" ca="1" si="75"/>
        <v>324986.10822000005</v>
      </c>
      <c r="ED58" s="92">
        <f t="shared" ca="1" si="75"/>
        <v>200516.10822000002</v>
      </c>
      <c r="EE58" s="92">
        <f t="shared" ca="1" si="75"/>
        <v>200516.10822000002</v>
      </c>
      <c r="EF58" s="92">
        <f t="shared" ca="1" si="75"/>
        <v>200516.10822000002</v>
      </c>
      <c r="EG58" s="92">
        <f t="shared" ca="1" si="73"/>
        <v>200516.10822000002</v>
      </c>
      <c r="EH58" s="92">
        <f t="shared" ca="1" si="73"/>
        <v>200516.10822000002</v>
      </c>
      <c r="EI58" s="92">
        <f t="shared" ca="1" si="73"/>
        <v>200516.10822000002</v>
      </c>
      <c r="EL58" s="93">
        <f t="shared" ca="1" si="111"/>
        <v>0</v>
      </c>
      <c r="EM58" s="93">
        <f t="shared" ca="1" si="111"/>
        <v>0</v>
      </c>
      <c r="EN58" s="92">
        <f t="shared" ca="1" si="113"/>
        <v>35397.885000000002</v>
      </c>
      <c r="EO58" s="92">
        <f t="shared" ca="1" si="113"/>
        <v>35397.885000000002</v>
      </c>
      <c r="EP58" s="92">
        <f t="shared" ca="1" si="113"/>
        <v>20996.387910000001</v>
      </c>
      <c r="EQ58" s="92">
        <f t="shared" ca="1" si="113"/>
        <v>37684.661670000001</v>
      </c>
      <c r="ER58" s="92">
        <f t="shared" ca="1" si="113"/>
        <v>59270.580990000002</v>
      </c>
      <c r="ES58" s="92">
        <f t="shared" ca="1" si="113"/>
        <v>26211.473460000001</v>
      </c>
      <c r="ET58" s="92">
        <f t="shared" ca="1" si="113"/>
        <v>29975.404770000001</v>
      </c>
      <c r="EU58" s="92">
        <f t="shared" ca="1" si="113"/>
        <v>46391.58711</v>
      </c>
      <c r="EV58" s="92">
        <f t="shared" ca="1" si="113"/>
        <v>26710.307730000004</v>
      </c>
      <c r="EW58" s="92">
        <f t="shared" ca="1" si="113"/>
        <v>29385.873360000001</v>
      </c>
      <c r="EX58" s="92">
        <f t="shared" ca="1" si="113"/>
        <v>50155.51842</v>
      </c>
      <c r="EY58" s="92">
        <f t="shared" ca="1" si="113"/>
        <v>93352.5</v>
      </c>
      <c r="EZ58" s="92">
        <f t="shared" ca="1" si="113"/>
        <v>124470</v>
      </c>
      <c r="FA58" s="92">
        <f t="shared" ca="1" si="113"/>
        <v>124470</v>
      </c>
      <c r="FB58" s="92">
        <f t="shared" ca="1" si="113"/>
        <v>124470</v>
      </c>
      <c r="FC58" s="92">
        <f t="shared" ca="1" si="82"/>
        <v>124470</v>
      </c>
      <c r="FD58" s="92">
        <f t="shared" ca="1" si="82"/>
        <v>161811</v>
      </c>
      <c r="FE58" s="92">
        <f t="shared" ca="1" si="82"/>
        <v>87129</v>
      </c>
      <c r="FF58" s="92">
        <f t="shared" ca="1" si="82"/>
        <v>124470</v>
      </c>
      <c r="FG58" s="92">
        <f t="shared" ca="1" si="82"/>
        <v>124470</v>
      </c>
      <c r="FH58" s="92">
        <f t="shared" ca="1" si="55"/>
        <v>0</v>
      </c>
      <c r="FI58" s="92">
        <f t="shared" ca="1" si="55"/>
        <v>0</v>
      </c>
      <c r="FJ58" s="92">
        <f t="shared" ca="1" si="55"/>
        <v>0</v>
      </c>
      <c r="FK58" s="92">
        <f t="shared" ca="1" si="55"/>
        <v>0</v>
      </c>
      <c r="FL58" s="92">
        <f t="shared" ca="1" si="55"/>
        <v>0</v>
      </c>
      <c r="FM58" s="92">
        <f t="shared" ca="1" si="55"/>
        <v>0</v>
      </c>
      <c r="FN58" s="94">
        <f ca="1">SUM(CO58:CU58)</f>
        <v>24000</v>
      </c>
      <c r="FO58" s="94">
        <f ca="1">SUM(CV58:DA58)</f>
        <v>9000</v>
      </c>
      <c r="FP58" s="95">
        <f t="shared" ca="1" si="112"/>
        <v>0</v>
      </c>
      <c r="FQ58" s="95">
        <f t="shared" ca="1" si="112"/>
        <v>0</v>
      </c>
      <c r="FR58" s="95">
        <f t="shared" ca="1" si="96"/>
        <v>0</v>
      </c>
      <c r="FS58" s="95">
        <f t="shared" ca="1" si="96"/>
        <v>131.96718109005664</v>
      </c>
      <c r="FT58" s="95">
        <f t="shared" ca="1" si="96"/>
        <v>22.467735975449504</v>
      </c>
      <c r="FU58" s="95">
        <f t="shared" ca="1" si="96"/>
        <v>38.512225815081862</v>
      </c>
      <c r="FV58" s="95">
        <f t="shared" ca="1" si="96"/>
        <v>36.246518325212051</v>
      </c>
      <c r="FW58" s="95">
        <f t="shared" ca="1" si="95"/>
        <v>45.492391025620734</v>
      </c>
      <c r="FX58" s="95">
        <f t="shared" ca="1" si="95"/>
        <v>29.772738912042389</v>
      </c>
      <c r="FY58" s="95">
        <f t="shared" ca="1" si="95"/>
        <v>6.2782891930251958</v>
      </c>
      <c r="FZ58" s="95">
        <f t="shared" ca="1" si="95"/>
        <v>0</v>
      </c>
      <c r="GA58" s="95">
        <f t="shared" ca="1" si="95"/>
        <v>0</v>
      </c>
      <c r="GB58" s="95">
        <f t="shared" ca="1" si="95"/>
        <v>131.32400993334204</v>
      </c>
      <c r="GC58" s="95">
        <f t="shared" ca="1" si="95"/>
        <v>54.438373333333331</v>
      </c>
      <c r="GD58" s="95">
        <f t="shared" ca="1" si="95"/>
        <v>78.328780000000009</v>
      </c>
      <c r="GE58" s="95">
        <f t="shared" ca="1" si="95"/>
        <v>138.32877999999999</v>
      </c>
      <c r="GF58" s="95">
        <f t="shared" ca="1" si="95"/>
        <v>138.32877999999999</v>
      </c>
      <c r="GG58" s="95">
        <f t="shared" ca="1" si="90"/>
        <v>138.32877999999999</v>
      </c>
      <c r="GH58" s="95">
        <f t="shared" ca="1" si="90"/>
        <v>106.40675384615385</v>
      </c>
      <c r="GI58" s="95">
        <f t="shared" ca="1" si="97"/>
        <v>184.75540000000001</v>
      </c>
      <c r="GJ58" s="95">
        <f t="shared" ca="1" si="97"/>
        <v>108.32878000000001</v>
      </c>
      <c r="GK58" s="95">
        <f t="shared" ca="1" si="97"/>
        <v>78.328780000000009</v>
      </c>
      <c r="GL58" s="95">
        <f t="shared" ca="1" si="97"/>
        <v>0</v>
      </c>
      <c r="GM58" s="95">
        <f t="shared" ca="1" si="97"/>
        <v>0</v>
      </c>
      <c r="GN58" s="95">
        <f t="shared" ca="1" si="97"/>
        <v>0</v>
      </c>
      <c r="GO58" s="95">
        <f t="shared" ca="1" si="97"/>
        <v>0</v>
      </c>
      <c r="GP58" s="95">
        <f t="shared" ca="1" si="97"/>
        <v>0</v>
      </c>
      <c r="GQ58" s="95">
        <f t="shared" ca="1" si="97"/>
        <v>0</v>
      </c>
      <c r="GS58" s="7">
        <v>47.173348760000003</v>
      </c>
      <c r="GT58" s="96">
        <f t="shared" ca="1" si="108"/>
        <v>23872.497700136839</v>
      </c>
      <c r="GU58" s="96">
        <f t="shared" ca="1" si="108"/>
        <v>42846.750731779081</v>
      </c>
      <c r="GV58" s="96">
        <f t="shared" ca="1" si="108"/>
        <v>67389.534544446768</v>
      </c>
      <c r="GW58" s="96">
        <f t="shared" ca="1" si="108"/>
        <v>29801.951772525044</v>
      </c>
      <c r="GX58" s="96">
        <f t="shared" ca="1" si="108"/>
        <v>34081.470798683484</v>
      </c>
      <c r="GY58" s="96">
        <f t="shared" ca="1" si="108"/>
        <v>52746.361009157641</v>
      </c>
      <c r="GZ58" s="96">
        <f t="shared" ca="1" si="108"/>
        <v>30369.116944666523</v>
      </c>
      <c r="HA58" s="96">
        <f t="shared" ca="1" si="108"/>
        <v>33411.184686152643</v>
      </c>
      <c r="HB58" s="96">
        <f t="shared" ca="1" si="108"/>
        <v>57025.880035316084</v>
      </c>
      <c r="HC58" s="96">
        <f t="shared" ca="1" si="108"/>
        <v>106140.03471000001</v>
      </c>
      <c r="HD58" s="96">
        <f t="shared" ca="1" si="109"/>
        <v>141520.04628000001</v>
      </c>
      <c r="HE58" s="96">
        <f t="shared" ca="1" si="109"/>
        <v>141520.04628000001</v>
      </c>
      <c r="HF58" s="96">
        <f t="shared" ca="1" si="109"/>
        <v>141520.04628000001</v>
      </c>
      <c r="HG58" s="96">
        <f t="shared" ca="1" si="109"/>
        <v>141520.04628000001</v>
      </c>
      <c r="HH58" s="96">
        <f t="shared" ca="1" si="109"/>
        <v>183976.06016400002</v>
      </c>
      <c r="HI58" s="96">
        <f t="shared" ca="1" si="109"/>
        <v>99064.03239600001</v>
      </c>
      <c r="HJ58" s="96">
        <f t="shared" ca="1" si="109"/>
        <v>141520.04628000001</v>
      </c>
      <c r="HK58" s="96">
        <f t="shared" ca="1" si="109"/>
        <v>141520.04628000001</v>
      </c>
      <c r="HL58" s="96">
        <f t="shared" ca="1" si="109"/>
        <v>0</v>
      </c>
      <c r="HM58" s="96">
        <f t="shared" ca="1" si="109"/>
        <v>0</v>
      </c>
      <c r="HN58" s="96">
        <f t="shared" ca="1" si="109"/>
        <v>0</v>
      </c>
      <c r="HO58" s="96">
        <f t="shared" ca="1" si="109"/>
        <v>0</v>
      </c>
      <c r="HP58" s="96">
        <f t="shared" ca="1" si="109"/>
        <v>0</v>
      </c>
      <c r="HQ58" s="96">
        <f t="shared" ca="1" si="109"/>
        <v>0</v>
      </c>
      <c r="HS58" s="97">
        <f t="shared" ca="1" si="21"/>
        <v>17878.699180040003</v>
      </c>
    </row>
    <row r="59" spans="1:227" ht="17.25" thickTop="1" thickBot="1" x14ac:dyDescent="0.3">
      <c r="A59" s="102" t="s">
        <v>80</v>
      </c>
      <c r="B59" s="103" t="s">
        <v>430</v>
      </c>
      <c r="C59" s="73" t="s">
        <v>430</v>
      </c>
      <c r="D59" s="74" t="s">
        <v>0</v>
      </c>
      <c r="E59" s="74" t="s">
        <v>360</v>
      </c>
      <c r="F59" s="73"/>
      <c r="G59" s="75">
        <f ca="1">80+16</f>
        <v>96</v>
      </c>
      <c r="H59" s="75">
        <v>137</v>
      </c>
      <c r="I59" s="75">
        <f t="shared" ca="1" si="102"/>
        <v>233</v>
      </c>
      <c r="J59" s="76">
        <f ca="1">[1]Parameters!$C$3+G59</f>
        <v>45927</v>
      </c>
      <c r="K59" s="77">
        <f t="shared" ca="1" si="103"/>
        <v>9</v>
      </c>
      <c r="L59" s="77">
        <f t="shared" ca="1" si="104"/>
        <v>2025</v>
      </c>
      <c r="M59" s="76">
        <f ca="1">[1]Parameters!$C$3+I59</f>
        <v>46064</v>
      </c>
      <c r="N59" s="77">
        <f t="shared" ca="1" si="25"/>
        <v>2</v>
      </c>
      <c r="O59" s="77">
        <f t="shared" ca="1" si="26"/>
        <v>2026</v>
      </c>
      <c r="P59" s="78">
        <v>0.9</v>
      </c>
      <c r="Q59" s="79" t="str">
        <f ca="1">VLOOKUP(A59,[1]ABC!A:G,7,0)</f>
        <v>C</v>
      </c>
      <c r="R59" s="80">
        <f t="shared" ca="1" si="99"/>
        <v>48.366927392043536</v>
      </c>
      <c r="S59" s="81">
        <v>81.62</v>
      </c>
      <c r="T59" s="82">
        <f t="shared" ca="1" si="10"/>
        <v>100</v>
      </c>
      <c r="U59" s="83">
        <f t="shared" ca="1" si="105"/>
        <v>380</v>
      </c>
      <c r="V59" s="80">
        <v>3400</v>
      </c>
      <c r="W59" s="80">
        <f t="shared" ca="1" si="27"/>
        <v>3400</v>
      </c>
      <c r="X59" s="101" t="s">
        <v>390</v>
      </c>
      <c r="Y59" s="84">
        <v>7.3</v>
      </c>
      <c r="Z59" s="85">
        <v>541</v>
      </c>
      <c r="AA59" s="85">
        <v>481</v>
      </c>
      <c r="AB59" s="85">
        <v>217</v>
      </c>
      <c r="AC59" s="85">
        <v>277</v>
      </c>
      <c r="AD59" s="85">
        <v>305</v>
      </c>
      <c r="AE59" s="85">
        <v>204</v>
      </c>
      <c r="AF59" s="85">
        <v>236</v>
      </c>
      <c r="AG59" s="85">
        <v>160</v>
      </c>
      <c r="AH59" s="85">
        <v>181</v>
      </c>
      <c r="AI59" s="75">
        <v>5519</v>
      </c>
      <c r="AJ59" s="75">
        <f t="shared" ca="1" si="110"/>
        <v>5093.8230000000003</v>
      </c>
      <c r="AK59" s="75">
        <f t="shared" ca="1" si="110"/>
        <v>4773.5740000000005</v>
      </c>
      <c r="AL59" s="75">
        <f t="shared" ca="1" si="110"/>
        <v>4423.8140000000003</v>
      </c>
      <c r="AM59" s="75">
        <f t="shared" ca="1" si="110"/>
        <v>4059.8450000000003</v>
      </c>
      <c r="AN59" s="75">
        <f t="shared" ca="1" si="110"/>
        <v>3653.2490000000003</v>
      </c>
      <c r="AO59" s="75">
        <f t="shared" ca="1" si="110"/>
        <v>3333.2490000000003</v>
      </c>
      <c r="AP59" s="75">
        <f t="shared" ca="1" si="110"/>
        <v>2983.2490000000003</v>
      </c>
      <c r="AQ59" s="75">
        <f t="shared" ca="1" si="110"/>
        <v>2619.2490000000003</v>
      </c>
      <c r="AR59" s="75">
        <f t="shared" ca="1" si="110"/>
        <v>2212.2490000000003</v>
      </c>
      <c r="AS59" s="75">
        <f t="shared" ca="1" si="110"/>
        <v>1875.2490000000003</v>
      </c>
      <c r="AT59" s="75">
        <f t="shared" ca="1" si="110"/>
        <v>1444.2490000000003</v>
      </c>
      <c r="AU59" s="75">
        <f t="shared" ca="1" si="110"/>
        <v>1052.2490000000003</v>
      </c>
      <c r="AV59" s="75">
        <f t="shared" ca="1" si="110"/>
        <v>660.24900000000025</v>
      </c>
      <c r="AW59" s="75">
        <f t="shared" ca="1" si="110"/>
        <v>660.24900000000025</v>
      </c>
      <c r="AX59" s="75">
        <f t="shared" ca="1" si="110"/>
        <v>660.24900000000025</v>
      </c>
      <c r="AY59" s="75">
        <f t="shared" ca="1" si="54"/>
        <v>660.24900000000025</v>
      </c>
      <c r="AZ59" s="75">
        <f t="shared" ca="1" si="12"/>
        <v>660.24900000000025</v>
      </c>
      <c r="BA59" s="75">
        <f t="shared" ca="1" si="12"/>
        <v>660.24900000000025</v>
      </c>
      <c r="BB59" s="166"/>
      <c r="BC59" s="86">
        <v>528.91</v>
      </c>
      <c r="BD59" s="86">
        <v>480</v>
      </c>
      <c r="BE59" s="86">
        <v>271</v>
      </c>
      <c r="BF59" s="86">
        <v>271</v>
      </c>
      <c r="BG59" s="86">
        <v>256.85500000000002</v>
      </c>
      <c r="BH59" s="86">
        <v>358.50400000000002</v>
      </c>
      <c r="BI59" s="86">
        <v>618.63800000000003</v>
      </c>
      <c r="BJ59" s="86">
        <v>281.99400000000003</v>
      </c>
      <c r="BK59" s="86">
        <v>325.714</v>
      </c>
      <c r="BL59" s="86">
        <v>425.17700000000002</v>
      </c>
      <c r="BM59" s="86">
        <v>320.24900000000002</v>
      </c>
      <c r="BN59" s="86">
        <v>349.76</v>
      </c>
      <c r="BO59" s="86">
        <v>363.96899999999999</v>
      </c>
      <c r="BP59" s="86">
        <v>406.596</v>
      </c>
      <c r="BQ59" s="86">
        <v>320</v>
      </c>
      <c r="BR59" s="86">
        <v>350</v>
      </c>
      <c r="BS59" s="86">
        <v>364</v>
      </c>
      <c r="BT59" s="86">
        <v>407</v>
      </c>
      <c r="BU59" s="86">
        <v>337</v>
      </c>
      <c r="BV59" s="86">
        <v>431</v>
      </c>
      <c r="BW59" s="86">
        <f ca="1">VLOOKUP(A59,[3]Export!$B:$Q,16,0)</f>
        <v>392</v>
      </c>
      <c r="BX59" s="86">
        <v>392</v>
      </c>
      <c r="BY59" s="86">
        <v>0</v>
      </c>
      <c r="BZ59" s="86">
        <v>0</v>
      </c>
      <c r="CA59" s="86">
        <v>0</v>
      </c>
      <c r="CB59" s="86">
        <v>0</v>
      </c>
      <c r="CC59" s="86">
        <v>0</v>
      </c>
      <c r="CD59" s="86">
        <v>0</v>
      </c>
      <c r="CE59" s="86">
        <f t="shared" ca="1" si="28"/>
        <v>37.865046664572546</v>
      </c>
      <c r="CF59" s="87"/>
      <c r="CG59" s="86">
        <v>0</v>
      </c>
      <c r="CH59" s="86">
        <v>0</v>
      </c>
      <c r="CI59" s="86">
        <v>0</v>
      </c>
      <c r="CJ59" s="86">
        <v>0</v>
      </c>
      <c r="CK59" s="86">
        <v>0</v>
      </c>
      <c r="CL59" s="86">
        <v>0</v>
      </c>
      <c r="CM59" s="86">
        <v>0</v>
      </c>
      <c r="CN59" s="86">
        <v>0</v>
      </c>
      <c r="CO59" s="104">
        <v>0</v>
      </c>
      <c r="CP59" s="104">
        <v>0</v>
      </c>
      <c r="CQ59" s="105">
        <v>0</v>
      </c>
      <c r="CR59" s="99">
        <v>0</v>
      </c>
      <c r="CS59" s="99">
        <v>0</v>
      </c>
      <c r="CT59" s="99">
        <v>0</v>
      </c>
      <c r="CU59" s="86">
        <v>0</v>
      </c>
      <c r="CV59" s="86">
        <v>0</v>
      </c>
      <c r="CW59" s="86">
        <v>0</v>
      </c>
      <c r="CX59" s="86">
        <v>0</v>
      </c>
      <c r="CY59" s="86">
        <v>0</v>
      </c>
      <c r="CZ59" s="86">
        <v>0</v>
      </c>
      <c r="DA59" s="86">
        <v>0</v>
      </c>
      <c r="DB59" s="86">
        <v>0</v>
      </c>
      <c r="DC59" s="86">
        <v>0</v>
      </c>
      <c r="DD59" s="86">
        <v>0</v>
      </c>
      <c r="DE59" s="86">
        <v>0</v>
      </c>
      <c r="DF59" s="86">
        <v>0</v>
      </c>
      <c r="DG59" s="86">
        <v>0</v>
      </c>
      <c r="DI59" s="91">
        <f ca="1">VLOOKUP(A59,'[2]2-Relatório'!$A:$J,9,0)</f>
        <v>62.5</v>
      </c>
      <c r="DJ59" s="92">
        <f t="shared" ca="1" si="89"/>
        <v>13562.5</v>
      </c>
      <c r="DK59" s="92">
        <f t="shared" ca="1" si="89"/>
        <v>17312.5</v>
      </c>
      <c r="DL59" s="92">
        <f t="shared" ca="1" si="89"/>
        <v>19062.5</v>
      </c>
      <c r="DM59" s="92">
        <f t="shared" ca="1" si="89"/>
        <v>12750</v>
      </c>
      <c r="DN59" s="92">
        <f t="shared" ca="1" si="89"/>
        <v>14750</v>
      </c>
      <c r="DO59" s="92">
        <f t="shared" ca="1" si="89"/>
        <v>10000</v>
      </c>
      <c r="DP59" s="92">
        <f t="shared" ca="1" si="89"/>
        <v>11312.5</v>
      </c>
      <c r="DQ59" s="92">
        <f t="shared" ca="1" si="88"/>
        <v>344937.5</v>
      </c>
      <c r="DR59" s="92">
        <f t="shared" ca="1" si="88"/>
        <v>318363.9375</v>
      </c>
      <c r="DS59" s="92">
        <f t="shared" ca="1" si="88"/>
        <v>298348.37500000006</v>
      </c>
      <c r="DT59" s="92">
        <f t="shared" ca="1" si="88"/>
        <v>276488.375</v>
      </c>
      <c r="DU59" s="92">
        <f t="shared" ca="1" si="88"/>
        <v>253740.31250000003</v>
      </c>
      <c r="DV59" s="92">
        <f t="shared" ca="1" si="88"/>
        <v>228328.06250000003</v>
      </c>
      <c r="DW59" s="92">
        <f t="shared" ca="1" si="88"/>
        <v>208328.06250000003</v>
      </c>
      <c r="DX59" s="92">
        <f t="shared" ca="1" si="88"/>
        <v>186453.06250000003</v>
      </c>
      <c r="DY59" s="92">
        <f t="shared" ca="1" si="88"/>
        <v>163703.06250000003</v>
      </c>
      <c r="DZ59" s="92">
        <f t="shared" ca="1" si="75"/>
        <v>138265.56250000003</v>
      </c>
      <c r="EA59" s="92">
        <f t="shared" ca="1" si="75"/>
        <v>117203.06250000001</v>
      </c>
      <c r="EB59" s="92">
        <f t="shared" ca="1" si="75"/>
        <v>90265.562500000015</v>
      </c>
      <c r="EC59" s="92">
        <f t="shared" ca="1" si="75"/>
        <v>65765.562500000015</v>
      </c>
      <c r="ED59" s="92">
        <f t="shared" ca="1" si="75"/>
        <v>41265.562500000015</v>
      </c>
      <c r="EE59" s="92">
        <f t="shared" ca="1" si="75"/>
        <v>41265.562500000015</v>
      </c>
      <c r="EF59" s="92">
        <f t="shared" ca="1" si="75"/>
        <v>41265.562500000015</v>
      </c>
      <c r="EG59" s="92">
        <f t="shared" ca="1" si="73"/>
        <v>41265.562500000015</v>
      </c>
      <c r="EH59" s="92">
        <f t="shared" ca="1" si="73"/>
        <v>41265.562500000015</v>
      </c>
      <c r="EI59" s="92">
        <f t="shared" ca="1" si="73"/>
        <v>41265.562500000015</v>
      </c>
      <c r="EL59" s="93">
        <f t="shared" ca="1" si="111"/>
        <v>43169.6342</v>
      </c>
      <c r="EM59" s="93">
        <f t="shared" ca="1" si="111"/>
        <v>39177.600000000006</v>
      </c>
      <c r="EN59" s="92">
        <f t="shared" ca="1" si="113"/>
        <v>16937.5</v>
      </c>
      <c r="EO59" s="92">
        <f t="shared" ca="1" si="113"/>
        <v>16937.5</v>
      </c>
      <c r="EP59" s="92">
        <f t="shared" ca="1" si="113"/>
        <v>16053.437500000002</v>
      </c>
      <c r="EQ59" s="92">
        <f t="shared" ca="1" si="113"/>
        <v>22406.5</v>
      </c>
      <c r="ER59" s="92">
        <f t="shared" ca="1" si="113"/>
        <v>38664.875</v>
      </c>
      <c r="ES59" s="92">
        <f t="shared" ca="1" si="113"/>
        <v>17624.625</v>
      </c>
      <c r="ET59" s="92">
        <f t="shared" ca="1" si="113"/>
        <v>20357.125</v>
      </c>
      <c r="EU59" s="92">
        <f t="shared" ca="1" si="113"/>
        <v>26573.5625</v>
      </c>
      <c r="EV59" s="92">
        <f t="shared" ca="1" si="113"/>
        <v>20015.5625</v>
      </c>
      <c r="EW59" s="92">
        <f t="shared" ca="1" si="113"/>
        <v>21860</v>
      </c>
      <c r="EX59" s="92">
        <f t="shared" ca="1" si="113"/>
        <v>22748.0625</v>
      </c>
      <c r="EY59" s="92">
        <f t="shared" ca="1" si="113"/>
        <v>25412.25</v>
      </c>
      <c r="EZ59" s="92">
        <f t="shared" ca="1" si="113"/>
        <v>20000</v>
      </c>
      <c r="FA59" s="92">
        <f t="shared" ca="1" si="113"/>
        <v>21875</v>
      </c>
      <c r="FB59" s="92">
        <f t="shared" ca="1" si="113"/>
        <v>22750</v>
      </c>
      <c r="FC59" s="92">
        <f t="shared" ca="1" si="82"/>
        <v>25437.5</v>
      </c>
      <c r="FD59" s="92">
        <f t="shared" ca="1" si="82"/>
        <v>21062.5</v>
      </c>
      <c r="FE59" s="92">
        <f t="shared" ca="1" si="82"/>
        <v>26937.5</v>
      </c>
      <c r="FF59" s="92">
        <f t="shared" ca="1" si="82"/>
        <v>24500</v>
      </c>
      <c r="FG59" s="92">
        <f t="shared" ca="1" si="82"/>
        <v>24500</v>
      </c>
      <c r="FH59" s="92">
        <f t="shared" ca="1" si="55"/>
        <v>0</v>
      </c>
      <c r="FI59" s="92">
        <f t="shared" ca="1" si="55"/>
        <v>0</v>
      </c>
      <c r="FJ59" s="92">
        <f t="shared" ca="1" si="55"/>
        <v>0</v>
      </c>
      <c r="FK59" s="92">
        <f t="shared" ca="1" si="55"/>
        <v>0</v>
      </c>
      <c r="FL59" s="92">
        <f t="shared" ca="1" si="55"/>
        <v>0</v>
      </c>
      <c r="FM59" s="92">
        <f t="shared" ca="1" si="55"/>
        <v>0</v>
      </c>
      <c r="FN59" s="94">
        <f ca="1">SUM(CN59:CS59)</f>
        <v>0</v>
      </c>
      <c r="FO59" s="94">
        <f ca="1">SUM(CT59:CZ59)</f>
        <v>0</v>
      </c>
      <c r="FP59" s="95">
        <f t="shared" ca="1" si="112"/>
        <v>30.685749938552874</v>
      </c>
      <c r="FQ59" s="95">
        <f t="shared" ca="1" si="112"/>
        <v>30.062500000000004</v>
      </c>
      <c r="FR59" s="95">
        <f t="shared" ca="1" si="96"/>
        <v>24.022140221402214</v>
      </c>
      <c r="FS59" s="95">
        <f t="shared" ca="1" si="96"/>
        <v>30.664206642066418</v>
      </c>
      <c r="FT59" s="95">
        <f t="shared" ca="1" si="96"/>
        <v>35.623211539584588</v>
      </c>
      <c r="FU59" s="95">
        <f t="shared" ca="1" si="96"/>
        <v>17.070939236382301</v>
      </c>
      <c r="FV59" s="95">
        <f t="shared" ca="1" si="96"/>
        <v>11.44449581176714</v>
      </c>
      <c r="FW59" s="95">
        <f t="shared" ca="1" si="95"/>
        <v>17.021638758271454</v>
      </c>
      <c r="FX59" s="95">
        <f t="shared" ca="1" si="95"/>
        <v>16.671067255322153</v>
      </c>
      <c r="FY59" s="95">
        <f t="shared" ca="1" si="95"/>
        <v>389.41429098939972</v>
      </c>
      <c r="FZ59" s="95">
        <f t="shared" ca="1" si="95"/>
        <v>477.1746047606706</v>
      </c>
      <c r="GA59" s="95">
        <f t="shared" ca="1" si="95"/>
        <v>409.4442474839891</v>
      </c>
      <c r="GB59" s="95">
        <f t="shared" ca="1" si="95"/>
        <v>364.63110869332274</v>
      </c>
      <c r="GC59" s="95">
        <f t="shared" ca="1" si="95"/>
        <v>299.54881503999059</v>
      </c>
      <c r="GD59" s="95">
        <f t="shared" ca="1" si="95"/>
        <v>342.49209375000009</v>
      </c>
      <c r="GE59" s="95">
        <f t="shared" ca="1" si="95"/>
        <v>285.7070571428572</v>
      </c>
      <c r="GF59" s="95">
        <f t="shared" ca="1" si="95"/>
        <v>245.87217032967035</v>
      </c>
      <c r="GG59" s="95">
        <f t="shared" ca="1" si="90"/>
        <v>193.06503685503691</v>
      </c>
      <c r="GH59" s="95">
        <f t="shared" ca="1" si="90"/>
        <v>196.93611275964398</v>
      </c>
      <c r="GI59" s="95">
        <f t="shared" ca="1" si="97"/>
        <v>130.52777262180976</v>
      </c>
      <c r="GJ59" s="95">
        <f t="shared" ca="1" si="97"/>
        <v>110.52926020408165</v>
      </c>
      <c r="GK59" s="95">
        <f t="shared" ca="1" si="97"/>
        <v>80.529260204081652</v>
      </c>
      <c r="GL59" s="95">
        <f t="shared" ca="1" si="97"/>
        <v>0</v>
      </c>
      <c r="GM59" s="95">
        <f t="shared" ca="1" si="97"/>
        <v>0</v>
      </c>
      <c r="GN59" s="95">
        <f t="shared" ca="1" si="97"/>
        <v>0</v>
      </c>
      <c r="GO59" s="95">
        <f t="shared" ca="1" si="97"/>
        <v>0</v>
      </c>
      <c r="GP59" s="95">
        <f t="shared" ca="1" si="97"/>
        <v>0</v>
      </c>
      <c r="GQ59" s="95">
        <f t="shared" ca="1" si="97"/>
        <v>0</v>
      </c>
      <c r="GS59" s="7">
        <v>268.13746103980003</v>
      </c>
      <c r="GT59" s="96">
        <f t="shared" ca="1" si="108"/>
        <v>68872.447555377847</v>
      </c>
      <c r="GU59" s="96">
        <f t="shared" ca="1" si="108"/>
        <v>96128.35233261247</v>
      </c>
      <c r="GV59" s="96">
        <f t="shared" ca="1" si="108"/>
        <v>165880.02262273981</v>
      </c>
      <c r="GW59" s="96">
        <f t="shared" ca="1" si="108"/>
        <v>75613.155188457371</v>
      </c>
      <c r="GX59" s="96">
        <f t="shared" ca="1" si="108"/>
        <v>87336.124985117422</v>
      </c>
      <c r="GY59" s="96">
        <f t="shared" ca="1" si="108"/>
        <v>114005.88127251907</v>
      </c>
      <c r="GZ59" s="96">
        <f t="shared" ca="1" si="108"/>
        <v>85870.753760534921</v>
      </c>
      <c r="HA59" s="96">
        <f t="shared" ca="1" si="108"/>
        <v>93783.758373280463</v>
      </c>
      <c r="HB59" s="96">
        <f t="shared" ca="1" si="108"/>
        <v>97593.723557194971</v>
      </c>
      <c r="HC59" s="96">
        <f t="shared" ca="1" si="108"/>
        <v>109023.61910893854</v>
      </c>
      <c r="HD59" s="96">
        <f t="shared" ca="1" si="109"/>
        <v>85803.987532736006</v>
      </c>
      <c r="HE59" s="96">
        <f t="shared" ca="1" si="109"/>
        <v>93848.111363930017</v>
      </c>
      <c r="HF59" s="96">
        <f t="shared" ca="1" si="109"/>
        <v>97602.035818487217</v>
      </c>
      <c r="HG59" s="96">
        <f t="shared" ca="1" si="109"/>
        <v>109131.94664319861</v>
      </c>
      <c r="HH59" s="96">
        <f t="shared" ca="1" si="109"/>
        <v>90362.324370412607</v>
      </c>
      <c r="HI59" s="96">
        <f t="shared" ca="1" si="109"/>
        <v>115567.24570815382</v>
      </c>
      <c r="HJ59" s="96">
        <f t="shared" ca="1" si="109"/>
        <v>105109.88472760162</v>
      </c>
      <c r="HK59" s="96">
        <f t="shared" ca="1" si="109"/>
        <v>105109.88472760162</v>
      </c>
      <c r="HL59" s="96">
        <f t="shared" ca="1" si="109"/>
        <v>0</v>
      </c>
      <c r="HM59" s="96">
        <f t="shared" ca="1" si="109"/>
        <v>0</v>
      </c>
      <c r="HN59" s="96">
        <f t="shared" ca="1" si="109"/>
        <v>0</v>
      </c>
      <c r="HO59" s="96">
        <f t="shared" ca="1" si="109"/>
        <v>0</v>
      </c>
      <c r="HP59" s="96">
        <f t="shared" ca="1" si="109"/>
        <v>0</v>
      </c>
      <c r="HQ59" s="96">
        <f t="shared" ca="1" si="109"/>
        <v>0</v>
      </c>
      <c r="HS59" s="97">
        <f t="shared" ca="1" si="21"/>
        <v>81781.925617139015</v>
      </c>
    </row>
    <row r="60" spans="1:227" s="29" customFormat="1" ht="17.25" thickTop="1" thickBot="1" x14ac:dyDescent="0.3">
      <c r="A60" s="129" t="s">
        <v>63</v>
      </c>
      <c r="B60" s="130" t="s">
        <v>431</v>
      </c>
      <c r="C60" s="130" t="s">
        <v>432</v>
      </c>
      <c r="D60" s="131" t="s">
        <v>0</v>
      </c>
      <c r="E60" s="131" t="s">
        <v>349</v>
      </c>
      <c r="F60" s="130"/>
      <c r="G60" s="75">
        <f ca="1">127+6</f>
        <v>133</v>
      </c>
      <c r="H60" s="75">
        <v>133</v>
      </c>
      <c r="I60" s="75">
        <f t="shared" ca="1" si="102"/>
        <v>266</v>
      </c>
      <c r="J60" s="133">
        <f ca="1">[1]Parameters!$C$3+G60</f>
        <v>45964</v>
      </c>
      <c r="K60" s="134">
        <f t="shared" ca="1" si="103"/>
        <v>11</v>
      </c>
      <c r="L60" s="134">
        <f t="shared" ca="1" si="104"/>
        <v>2025</v>
      </c>
      <c r="M60" s="133">
        <f ca="1">[1]Parameters!$C$3+I60</f>
        <v>46097</v>
      </c>
      <c r="N60" s="134">
        <f t="shared" ca="1" si="25"/>
        <v>3</v>
      </c>
      <c r="O60" s="134">
        <f t="shared" ca="1" si="26"/>
        <v>2026</v>
      </c>
      <c r="P60" s="135">
        <v>0.95</v>
      </c>
      <c r="Q60" s="136" t="str">
        <f ca="1">VLOOKUP(A60,[1]ABC!A:G,7,0)</f>
        <v>B</v>
      </c>
      <c r="R60" s="137">
        <f t="shared" ca="1" si="99"/>
        <v>0</v>
      </c>
      <c r="S60" s="151">
        <v>109.07</v>
      </c>
      <c r="T60" s="152">
        <f t="shared" ca="1" si="10"/>
        <v>2700</v>
      </c>
      <c r="U60" s="140">
        <f ca="1">IF((ROUND(AVERAGE(BI60:BR60)*2/100,0)*100)&lt;T60,T60,ROUND(AVERAGE(BI60:BR60)*2/100,0)*100)</f>
        <v>2700</v>
      </c>
      <c r="V60" s="137">
        <v>1340</v>
      </c>
      <c r="W60" s="137">
        <f t="shared" ca="1" si="27"/>
        <v>2680</v>
      </c>
      <c r="X60" s="137"/>
      <c r="Y60" s="141">
        <v>15.72</v>
      </c>
      <c r="Z60" s="85">
        <v>0</v>
      </c>
      <c r="AA60" s="85">
        <v>0</v>
      </c>
      <c r="AB60" s="85">
        <v>0</v>
      </c>
      <c r="AC60" s="85">
        <v>0</v>
      </c>
      <c r="AD60" s="85">
        <v>0</v>
      </c>
      <c r="AE60" s="85">
        <v>0</v>
      </c>
      <c r="AF60" s="85">
        <v>0</v>
      </c>
      <c r="AG60" s="85">
        <v>0</v>
      </c>
      <c r="AH60" s="85">
        <v>0</v>
      </c>
      <c r="AI60" s="75">
        <v>0</v>
      </c>
      <c r="AJ60" s="75">
        <f t="shared" ca="1" si="110"/>
        <v>0</v>
      </c>
      <c r="AK60" s="75">
        <f t="shared" ca="1" si="110"/>
        <v>0</v>
      </c>
      <c r="AL60" s="75">
        <f t="shared" ca="1" si="110"/>
        <v>1735.1</v>
      </c>
      <c r="AM60" s="75">
        <f t="shared" ca="1" si="110"/>
        <v>637.29999999999995</v>
      </c>
      <c r="AN60" s="75">
        <f t="shared" ca="1" si="110"/>
        <v>0</v>
      </c>
      <c r="AO60" s="75">
        <f t="shared" ca="1" si="110"/>
        <v>0</v>
      </c>
      <c r="AP60" s="75">
        <f t="shared" ca="1" si="110"/>
        <v>0</v>
      </c>
      <c r="AQ60" s="75">
        <f t="shared" ca="1" si="110"/>
        <v>2680</v>
      </c>
      <c r="AR60" s="75">
        <f t="shared" ca="1" si="110"/>
        <v>2680</v>
      </c>
      <c r="AS60" s="75">
        <f t="shared" ca="1" si="110"/>
        <v>2680</v>
      </c>
      <c r="AT60" s="75">
        <f t="shared" ca="1" si="110"/>
        <v>1617</v>
      </c>
      <c r="AU60" s="75">
        <f t="shared" ca="1" si="110"/>
        <v>1617</v>
      </c>
      <c r="AV60" s="75">
        <f t="shared" ca="1" si="110"/>
        <v>1617</v>
      </c>
      <c r="AW60" s="75">
        <f t="shared" ca="1" si="110"/>
        <v>1617</v>
      </c>
      <c r="AX60" s="75">
        <f t="shared" ca="1" si="110"/>
        <v>1617</v>
      </c>
      <c r="AY60" s="75">
        <f t="shared" ca="1" si="54"/>
        <v>1617</v>
      </c>
      <c r="AZ60" s="75">
        <f t="shared" ca="1" si="12"/>
        <v>1617</v>
      </c>
      <c r="BA60" s="75">
        <f t="shared" ca="1" si="12"/>
        <v>1617</v>
      </c>
      <c r="BB60" s="166"/>
      <c r="BC60" s="86">
        <v>-0.09</v>
      </c>
      <c r="BD60" s="86">
        <v>-0.17</v>
      </c>
      <c r="BE60" s="86">
        <v>0</v>
      </c>
      <c r="BF60" s="86">
        <v>0</v>
      </c>
      <c r="BG60" s="86">
        <v>382.89120833333345</v>
      </c>
      <c r="BH60" s="86">
        <v>641.16337083333303</v>
      </c>
      <c r="BI60" s="86">
        <v>676.01929999999982</v>
      </c>
      <c r="BJ60" s="86">
        <v>346.59120833333327</v>
      </c>
      <c r="BK60" s="142">
        <v>434.71009999999984</v>
      </c>
      <c r="BL60" s="142">
        <v>567.04720416666657</v>
      </c>
      <c r="BM60" s="142">
        <v>1419</v>
      </c>
      <c r="BN60" s="142">
        <v>944.9</v>
      </c>
      <c r="BO60" s="142">
        <v>1097.8</v>
      </c>
      <c r="BP60" s="142">
        <v>995.5</v>
      </c>
      <c r="BQ60" s="142">
        <v>1108.8</v>
      </c>
      <c r="BR60" s="142">
        <v>1078</v>
      </c>
      <c r="BS60" s="142">
        <v>0</v>
      </c>
      <c r="BT60" s="142">
        <v>0</v>
      </c>
      <c r="BU60" s="86">
        <v>0</v>
      </c>
      <c r="BV60" s="86">
        <v>1063</v>
      </c>
      <c r="BW60" s="142">
        <v>0</v>
      </c>
      <c r="BX60" s="86">
        <v>0</v>
      </c>
      <c r="BY60" s="142">
        <v>0</v>
      </c>
      <c r="BZ60" s="142">
        <v>0</v>
      </c>
      <c r="CA60" s="142">
        <v>0</v>
      </c>
      <c r="CB60" s="142">
        <v>0</v>
      </c>
      <c r="CC60" s="142">
        <v>0</v>
      </c>
      <c r="CD60" s="142">
        <v>0</v>
      </c>
      <c r="CE60" s="86">
        <f t="shared" ca="1" si="28"/>
        <v>553.73521162179316</v>
      </c>
      <c r="CF60" s="143"/>
      <c r="CG60" s="86">
        <v>0</v>
      </c>
      <c r="CH60" s="86">
        <v>0</v>
      </c>
      <c r="CI60" s="86">
        <v>0</v>
      </c>
      <c r="CJ60" s="86">
        <v>0</v>
      </c>
      <c r="CK60" s="86">
        <v>0</v>
      </c>
      <c r="CL60" s="86">
        <v>0</v>
      </c>
      <c r="CM60" s="86">
        <v>0</v>
      </c>
      <c r="CN60" s="86">
        <v>0</v>
      </c>
      <c r="CO60" s="142">
        <v>0</v>
      </c>
      <c r="CP60" s="142">
        <v>0</v>
      </c>
      <c r="CQ60" s="142">
        <v>2680</v>
      </c>
      <c r="CR60" s="142">
        <v>0</v>
      </c>
      <c r="CS60" s="142">
        <v>0</v>
      </c>
      <c r="CT60" s="142">
        <v>0</v>
      </c>
      <c r="CU60" s="144">
        <v>0</v>
      </c>
      <c r="CV60" s="144">
        <v>2680</v>
      </c>
      <c r="CW60" s="142">
        <v>0</v>
      </c>
      <c r="CX60" s="90">
        <v>0</v>
      </c>
      <c r="CY60" s="90">
        <v>0</v>
      </c>
      <c r="CZ60" s="144">
        <v>0</v>
      </c>
      <c r="DA60" s="144">
        <v>0</v>
      </c>
      <c r="DB60" s="144">
        <v>0</v>
      </c>
      <c r="DC60" s="144">
        <v>0</v>
      </c>
      <c r="DD60" s="144">
        <v>0</v>
      </c>
      <c r="DE60" s="144">
        <v>0</v>
      </c>
      <c r="DF60" s="144">
        <v>0</v>
      </c>
      <c r="DG60" s="142">
        <v>0</v>
      </c>
      <c r="DI60" s="91">
        <f ca="1">VLOOKUP(A60,'[2]2-Relatório'!$A:$J,9,0)</f>
        <v>109.05</v>
      </c>
      <c r="DJ60" s="145">
        <f t="shared" ca="1" si="89"/>
        <v>0</v>
      </c>
      <c r="DK60" s="145">
        <f t="shared" ca="1" si="89"/>
        <v>0</v>
      </c>
      <c r="DL60" s="145">
        <f t="shared" ca="1" si="89"/>
        <v>0</v>
      </c>
      <c r="DM60" s="145">
        <f t="shared" ca="1" si="89"/>
        <v>0</v>
      </c>
      <c r="DN60" s="145">
        <f t="shared" ca="1" si="89"/>
        <v>0</v>
      </c>
      <c r="DO60" s="145">
        <f t="shared" ca="1" si="89"/>
        <v>0</v>
      </c>
      <c r="DP60" s="145">
        <f t="shared" ca="1" si="89"/>
        <v>0</v>
      </c>
      <c r="DQ60" s="145">
        <f t="shared" ca="1" si="88"/>
        <v>0</v>
      </c>
      <c r="DR60" s="145">
        <f t="shared" ca="1" si="88"/>
        <v>0</v>
      </c>
      <c r="DS60" s="145">
        <f t="shared" ca="1" si="88"/>
        <v>0</v>
      </c>
      <c r="DT60" s="145">
        <f t="shared" ca="1" si="88"/>
        <v>189212.655</v>
      </c>
      <c r="DU60" s="145">
        <f t="shared" ca="1" si="88"/>
        <v>69497.564999999988</v>
      </c>
      <c r="DV60" s="145">
        <f t="shared" ca="1" si="88"/>
        <v>0</v>
      </c>
      <c r="DW60" s="145">
        <f t="shared" ca="1" si="88"/>
        <v>0</v>
      </c>
      <c r="DX60" s="145">
        <f t="shared" ca="1" si="88"/>
        <v>0</v>
      </c>
      <c r="DY60" s="145">
        <f t="shared" ca="1" si="88"/>
        <v>292254</v>
      </c>
      <c r="DZ60" s="145">
        <f t="shared" ca="1" si="75"/>
        <v>292254</v>
      </c>
      <c r="EA60" s="145">
        <f t="shared" ca="1" si="75"/>
        <v>292254</v>
      </c>
      <c r="EB60" s="145">
        <f t="shared" ca="1" si="75"/>
        <v>176333.85</v>
      </c>
      <c r="EC60" s="145">
        <f t="shared" ca="1" si="75"/>
        <v>176333.85</v>
      </c>
      <c r="ED60" s="145">
        <f t="shared" ca="1" si="75"/>
        <v>176333.85</v>
      </c>
      <c r="EE60" s="145">
        <f t="shared" ca="1" si="75"/>
        <v>176333.85</v>
      </c>
      <c r="EF60" s="145">
        <f t="shared" ca="1" si="75"/>
        <v>176333.85</v>
      </c>
      <c r="EG60" s="145">
        <f t="shared" ca="1" si="73"/>
        <v>176333.85</v>
      </c>
      <c r="EH60" s="145">
        <f t="shared" ca="1" si="73"/>
        <v>176333.85</v>
      </c>
      <c r="EI60" s="145">
        <f t="shared" ca="1" si="73"/>
        <v>176333.85</v>
      </c>
      <c r="EL60" s="146">
        <f t="shared" ca="1" si="111"/>
        <v>-9.8162999999999982</v>
      </c>
      <c r="EM60" s="146">
        <f t="shared" ca="1" si="111"/>
        <v>-18.541900000000002</v>
      </c>
      <c r="EN60" s="145">
        <f t="shared" ca="1" si="113"/>
        <v>0</v>
      </c>
      <c r="EO60" s="145">
        <f t="shared" ca="1" si="113"/>
        <v>0</v>
      </c>
      <c r="EP60" s="145">
        <f t="shared" ca="1" si="113"/>
        <v>41754.286268750009</v>
      </c>
      <c r="EQ60" s="145">
        <f t="shared" ca="1" si="113"/>
        <v>69918.865589374967</v>
      </c>
      <c r="ER60" s="145">
        <f t="shared" ca="1" si="113"/>
        <v>73719.90466499998</v>
      </c>
      <c r="ES60" s="145">
        <f t="shared" ca="1" si="113"/>
        <v>37795.771268749995</v>
      </c>
      <c r="ET60" s="145">
        <f t="shared" ca="1" si="113"/>
        <v>47405.136404999983</v>
      </c>
      <c r="EU60" s="145">
        <f t="shared" ca="1" si="113"/>
        <v>61836.497614374988</v>
      </c>
      <c r="EV60" s="145">
        <f t="shared" ca="1" si="113"/>
        <v>154741.94999999998</v>
      </c>
      <c r="EW60" s="145">
        <f t="shared" ca="1" si="113"/>
        <v>103041.345</v>
      </c>
      <c r="EX60" s="145">
        <f t="shared" ca="1" si="113"/>
        <v>119715.09</v>
      </c>
      <c r="EY60" s="145">
        <f t="shared" ca="1" si="113"/>
        <v>108559.27499999999</v>
      </c>
      <c r="EZ60" s="145">
        <f t="shared" ca="1" si="113"/>
        <v>120914.63999999998</v>
      </c>
      <c r="FA60" s="145">
        <f t="shared" ca="1" si="113"/>
        <v>117555.9</v>
      </c>
      <c r="FB60" s="145">
        <f t="shared" ca="1" si="113"/>
        <v>0</v>
      </c>
      <c r="FC60" s="145">
        <f t="shared" ca="1" si="82"/>
        <v>0</v>
      </c>
      <c r="FD60" s="145">
        <f t="shared" ca="1" si="82"/>
        <v>0</v>
      </c>
      <c r="FE60" s="145">
        <f t="shared" ca="1" si="82"/>
        <v>115920.15</v>
      </c>
      <c r="FF60" s="145">
        <f t="shared" ca="1" si="82"/>
        <v>0</v>
      </c>
      <c r="FG60" s="92">
        <f t="shared" ca="1" si="82"/>
        <v>0</v>
      </c>
      <c r="FH60" s="92">
        <f t="shared" ca="1" si="55"/>
        <v>0</v>
      </c>
      <c r="FI60" s="92">
        <f t="shared" ca="1" si="55"/>
        <v>0</v>
      </c>
      <c r="FJ60" s="92">
        <f t="shared" ca="1" si="55"/>
        <v>0</v>
      </c>
      <c r="FK60" s="92">
        <f t="shared" ca="1" si="55"/>
        <v>0</v>
      </c>
      <c r="FL60" s="92">
        <f t="shared" ca="1" si="55"/>
        <v>0</v>
      </c>
      <c r="FM60" s="92">
        <f t="shared" ca="1" si="55"/>
        <v>0</v>
      </c>
      <c r="FN60" s="94">
        <f ca="1">SUM(CO60:CU60)</f>
        <v>2680</v>
      </c>
      <c r="FO60" s="94">
        <f ca="1">SUM(CV60:DA60)</f>
        <v>2680</v>
      </c>
      <c r="FP60" s="147">
        <f t="shared" ca="1" si="112"/>
        <v>0</v>
      </c>
      <c r="FQ60" s="147">
        <f t="shared" ca="1" si="112"/>
        <v>0</v>
      </c>
      <c r="FR60" s="147">
        <f t="shared" ca="1" si="96"/>
        <v>0</v>
      </c>
      <c r="FS60" s="147">
        <f t="shared" ca="1" si="96"/>
        <v>0</v>
      </c>
      <c r="FT60" s="147">
        <f t="shared" ca="1" si="96"/>
        <v>0</v>
      </c>
      <c r="FU60" s="147">
        <f t="shared" ca="1" si="96"/>
        <v>0</v>
      </c>
      <c r="FV60" s="147">
        <f t="shared" ca="1" si="96"/>
        <v>0</v>
      </c>
      <c r="FW60" s="147">
        <f t="shared" ca="1" si="95"/>
        <v>0</v>
      </c>
      <c r="FX60" s="95">
        <f t="shared" ca="1" si="95"/>
        <v>0</v>
      </c>
      <c r="FY60" s="95">
        <f t="shared" ca="1" si="95"/>
        <v>0</v>
      </c>
      <c r="FZ60" s="95">
        <f t="shared" ca="1" si="95"/>
        <v>0</v>
      </c>
      <c r="GA60" s="95">
        <f t="shared" ca="1" si="95"/>
        <v>0</v>
      </c>
      <c r="GB60" s="95">
        <f t="shared" ca="1" si="95"/>
        <v>47.415740572053195</v>
      </c>
      <c r="GC60" s="95">
        <f t="shared" ca="1" si="95"/>
        <v>19.205424409844298</v>
      </c>
      <c r="GD60" s="95">
        <f t="shared" ca="1" si="95"/>
        <v>0</v>
      </c>
      <c r="GE60" s="95">
        <f t="shared" ca="1" si="95"/>
        <v>0</v>
      </c>
      <c r="GF60" s="95">
        <f t="shared" ca="1" si="95"/>
        <v>0</v>
      </c>
      <c r="GG60" s="95">
        <f t="shared" ca="1" si="90"/>
        <v>0</v>
      </c>
      <c r="GH60" s="95">
        <f t="shared" ca="1" si="90"/>
        <v>0</v>
      </c>
      <c r="GI60" s="95">
        <f t="shared" ca="1" si="97"/>
        <v>75.634995296331141</v>
      </c>
      <c r="GJ60" s="95">
        <f t="shared" ca="1" si="97"/>
        <v>0</v>
      </c>
      <c r="GK60" s="95">
        <f t="shared" ca="1" si="97"/>
        <v>0</v>
      </c>
      <c r="GL60" s="147">
        <f t="shared" ca="1" si="97"/>
        <v>0</v>
      </c>
      <c r="GM60" s="147">
        <f t="shared" ca="1" si="97"/>
        <v>0</v>
      </c>
      <c r="GN60" s="147">
        <f t="shared" ca="1" si="97"/>
        <v>0</v>
      </c>
      <c r="GO60" s="147">
        <f t="shared" ca="1" si="97"/>
        <v>0</v>
      </c>
      <c r="GP60" s="147">
        <f t="shared" ca="1" si="97"/>
        <v>0</v>
      </c>
      <c r="GQ60" s="147">
        <f t="shared" ca="1" si="97"/>
        <v>0</v>
      </c>
      <c r="GS60" s="148">
        <v>210.18217684000001</v>
      </c>
      <c r="GT60" s="153">
        <f t="shared" ca="1" si="108"/>
        <v>80476.907660397977</v>
      </c>
      <c r="GU60" s="153">
        <f t="shared" ca="1" si="108"/>
        <v>134761.1129918221</v>
      </c>
      <c r="GV60" s="153">
        <f t="shared" ca="1" si="108"/>
        <v>142087.20805985297</v>
      </c>
      <c r="GW60" s="153">
        <f t="shared" ca="1" si="108"/>
        <v>72847.294641105938</v>
      </c>
      <c r="GX60" s="153">
        <f t="shared" ca="1" si="108"/>
        <v>91368.31511233405</v>
      </c>
      <c r="GY60" s="153">
        <f t="shared" ca="1" si="108"/>
        <v>119183.21574278591</v>
      </c>
      <c r="GZ60" s="153">
        <f t="shared" ca="1" si="108"/>
        <v>298248.50893596001</v>
      </c>
      <c r="HA60" s="153">
        <f t="shared" ca="1" si="108"/>
        <v>198601.138896116</v>
      </c>
      <c r="HB60" s="153">
        <f t="shared" ca="1" si="108"/>
        <v>230737.993734952</v>
      </c>
      <c r="HC60" s="153">
        <f t="shared" ca="1" si="108"/>
        <v>209236.35704422</v>
      </c>
      <c r="HD60" s="153">
        <f t="shared" ca="1" si="109"/>
        <v>233049.997680192</v>
      </c>
      <c r="HE60" s="153">
        <f t="shared" ca="1" si="109"/>
        <v>226576.38663352001</v>
      </c>
      <c r="HF60" s="153">
        <f t="shared" ca="1" si="109"/>
        <v>0</v>
      </c>
      <c r="HG60" s="153">
        <f t="shared" ca="1" si="109"/>
        <v>0</v>
      </c>
      <c r="HH60" s="153">
        <f t="shared" ca="1" si="109"/>
        <v>0</v>
      </c>
      <c r="HI60" s="153">
        <f t="shared" ca="1" si="109"/>
        <v>223423.65398092</v>
      </c>
      <c r="HJ60" s="153">
        <f t="shared" ca="1" si="109"/>
        <v>0</v>
      </c>
      <c r="HK60" s="153">
        <f t="shared" ca="1" si="109"/>
        <v>0</v>
      </c>
      <c r="HL60" s="153">
        <f t="shared" ca="1" si="109"/>
        <v>0</v>
      </c>
      <c r="HM60" s="153">
        <f t="shared" ca="1" si="109"/>
        <v>0</v>
      </c>
      <c r="HN60" s="153">
        <f t="shared" ca="1" si="109"/>
        <v>0</v>
      </c>
      <c r="HO60" s="153">
        <f t="shared" ca="1" si="109"/>
        <v>0</v>
      </c>
      <c r="HP60" s="153">
        <f t="shared" ca="1" si="109"/>
        <v>0</v>
      </c>
      <c r="HQ60" s="153">
        <f t="shared" ca="1" si="109"/>
        <v>0</v>
      </c>
      <c r="HS60" s="149">
        <f t="shared" ca="1" si="21"/>
        <v>0</v>
      </c>
    </row>
    <row r="61" spans="1:227" ht="17.25" thickTop="1" thickBot="1" x14ac:dyDescent="0.3">
      <c r="A61" s="102" t="s">
        <v>65</v>
      </c>
      <c r="B61" s="103" t="s">
        <v>433</v>
      </c>
      <c r="C61" s="73" t="s">
        <v>433</v>
      </c>
      <c r="D61" s="74" t="s">
        <v>0</v>
      </c>
      <c r="E61" s="74" t="s">
        <v>360</v>
      </c>
      <c r="F61" s="73"/>
      <c r="G61" s="75">
        <f ca="1">80+16</f>
        <v>96</v>
      </c>
      <c r="H61" s="75">
        <v>137</v>
      </c>
      <c r="I61" s="75">
        <f t="shared" ca="1" si="102"/>
        <v>233</v>
      </c>
      <c r="J61" s="76">
        <f ca="1">[1]Parameters!$C$3+G61</f>
        <v>45927</v>
      </c>
      <c r="K61" s="77">
        <f t="shared" ca="1" si="103"/>
        <v>9</v>
      </c>
      <c r="L61" s="77">
        <f t="shared" ca="1" si="104"/>
        <v>2025</v>
      </c>
      <c r="M61" s="76">
        <f ca="1">[1]Parameters!$C$3+I61</f>
        <v>46064</v>
      </c>
      <c r="N61" s="77">
        <f t="shared" ca="1" si="25"/>
        <v>2</v>
      </c>
      <c r="O61" s="77">
        <f t="shared" ca="1" si="26"/>
        <v>2026</v>
      </c>
      <c r="P61" s="78">
        <v>0.9</v>
      </c>
      <c r="Q61" s="79" t="str">
        <f ca="1">VLOOKUP(A61,[1]ABC!A:G,7,0)</f>
        <v>B</v>
      </c>
      <c r="R61" s="80">
        <f t="shared" ca="1" si="99"/>
        <v>57.689112446263522</v>
      </c>
      <c r="S61" s="81">
        <v>78.849999999999994</v>
      </c>
      <c r="T61" s="82">
        <f t="shared" ca="1" si="10"/>
        <v>1200</v>
      </c>
      <c r="U61" s="83">
        <f ca="1">IF((ROUND(AVERAGE(BI61:BR61)/10,0)*10)&lt;T61,T61,ROUND(AVERAGE(BI61:BR61)/10,0)*10)</f>
        <v>1200</v>
      </c>
      <c r="V61" s="80">
        <v>3400</v>
      </c>
      <c r="W61" s="80">
        <f t="shared" ca="1" si="27"/>
        <v>3400</v>
      </c>
      <c r="X61" s="101" t="s">
        <v>390</v>
      </c>
      <c r="Y61" s="84">
        <v>8.6999999999999993</v>
      </c>
      <c r="Z61" s="85">
        <v>1231</v>
      </c>
      <c r="AA61" s="85">
        <v>1318</v>
      </c>
      <c r="AB61" s="85">
        <v>895</v>
      </c>
      <c r="AC61" s="85">
        <v>724</v>
      </c>
      <c r="AD61" s="85">
        <v>607</v>
      </c>
      <c r="AE61" s="85">
        <v>865</v>
      </c>
      <c r="AF61" s="85">
        <v>1485</v>
      </c>
      <c r="AG61" s="85">
        <v>298</v>
      </c>
      <c r="AH61" s="85">
        <v>568</v>
      </c>
      <c r="AI61" s="75">
        <v>250</v>
      </c>
      <c r="AJ61" s="75">
        <f t="shared" ca="1" si="110"/>
        <v>0</v>
      </c>
      <c r="AK61" s="75">
        <f t="shared" ca="1" si="110"/>
        <v>0</v>
      </c>
      <c r="AL61" s="75">
        <f t="shared" ca="1" si="110"/>
        <v>2860.058</v>
      </c>
      <c r="AM61" s="75">
        <f t="shared" ca="1" si="110"/>
        <v>2308.0929999999998</v>
      </c>
      <c r="AN61" s="75">
        <f t="shared" ca="1" si="110"/>
        <v>5278.5439999999999</v>
      </c>
      <c r="AO61" s="75">
        <f t="shared" ca="1" si="110"/>
        <v>4278.5439999999999</v>
      </c>
      <c r="AP61" s="75">
        <f t="shared" ca="1" si="110"/>
        <v>3278.5439999999999</v>
      </c>
      <c r="AQ61" s="75">
        <f t="shared" ca="1" si="110"/>
        <v>2278.5439999999999</v>
      </c>
      <c r="AR61" s="75">
        <f t="shared" ca="1" si="110"/>
        <v>4678.5439999999999</v>
      </c>
      <c r="AS61" s="75">
        <f t="shared" ca="1" si="110"/>
        <v>3178.5439999999999</v>
      </c>
      <c r="AT61" s="75">
        <f t="shared" ca="1" si="110"/>
        <v>2678.5439999999999</v>
      </c>
      <c r="AU61" s="75">
        <f t="shared" ca="1" si="110"/>
        <v>1678.5439999999999</v>
      </c>
      <c r="AV61" s="75">
        <f t="shared" ca="1" si="110"/>
        <v>678.54399999999987</v>
      </c>
      <c r="AW61" s="75">
        <f t="shared" ca="1" si="110"/>
        <v>678.54399999999987</v>
      </c>
      <c r="AX61" s="75">
        <f t="shared" ca="1" si="110"/>
        <v>678.54399999999987</v>
      </c>
      <c r="AY61" s="75">
        <f t="shared" ca="1" si="54"/>
        <v>678.54399999999987</v>
      </c>
      <c r="AZ61" s="75">
        <f t="shared" ca="1" si="12"/>
        <v>678.54399999999987</v>
      </c>
      <c r="BA61" s="75">
        <f t="shared" ca="1" si="12"/>
        <v>678.54399999999987</v>
      </c>
      <c r="BB61" s="166"/>
      <c r="BC61" s="86">
        <v>1178</v>
      </c>
      <c r="BD61" s="86">
        <v>1317.75</v>
      </c>
      <c r="BE61" s="86">
        <v>394.16666666666669</v>
      </c>
      <c r="BF61" s="86">
        <v>394.16666666666669</v>
      </c>
      <c r="BG61" s="86">
        <v>230.62299999999999</v>
      </c>
      <c r="BH61" s="86">
        <v>426.27</v>
      </c>
      <c r="BI61" s="86">
        <v>539.94200000000001</v>
      </c>
      <c r="BJ61" s="86">
        <v>285.27300000000002</v>
      </c>
      <c r="BK61" s="86">
        <v>372.71300000000002</v>
      </c>
      <c r="BL61" s="86">
        <v>499.50099999999998</v>
      </c>
      <c r="BM61" s="86">
        <v>366.15499999999997</v>
      </c>
      <c r="BN61" s="86">
        <v>539.94200000000001</v>
      </c>
      <c r="BO61" s="86">
        <v>551.96500000000003</v>
      </c>
      <c r="BP61" s="86">
        <v>429.54899999999998</v>
      </c>
      <c r="BQ61" s="86">
        <v>1000</v>
      </c>
      <c r="BR61" s="86">
        <v>1000</v>
      </c>
      <c r="BS61" s="86">
        <v>1000</v>
      </c>
      <c r="BT61" s="86">
        <v>1000</v>
      </c>
      <c r="BU61" s="86">
        <v>1500</v>
      </c>
      <c r="BV61" s="86">
        <v>500</v>
      </c>
      <c r="BW61" s="86">
        <f ca="1">VLOOKUP(A61,[3]Export!$B:$Q,16,0)</f>
        <v>1000</v>
      </c>
      <c r="BX61" s="86">
        <v>1000</v>
      </c>
      <c r="BY61" s="86">
        <v>0</v>
      </c>
      <c r="BZ61" s="86">
        <v>0</v>
      </c>
      <c r="CA61" s="86">
        <v>0</v>
      </c>
      <c r="CB61" s="86">
        <v>0</v>
      </c>
      <c r="CC61" s="86">
        <v>0</v>
      </c>
      <c r="CD61" s="86">
        <v>0</v>
      </c>
      <c r="CE61" s="86">
        <f t="shared" ca="1" si="28"/>
        <v>337.25532168411547</v>
      </c>
      <c r="CF61" s="87"/>
      <c r="CG61" s="86">
        <v>0</v>
      </c>
      <c r="CH61" s="86">
        <v>0</v>
      </c>
      <c r="CI61" s="86">
        <v>0</v>
      </c>
      <c r="CJ61" s="86">
        <v>0</v>
      </c>
      <c r="CK61" s="86">
        <v>0</v>
      </c>
      <c r="CL61" s="86">
        <v>0</v>
      </c>
      <c r="CM61" s="86">
        <v>0</v>
      </c>
      <c r="CN61" s="86">
        <v>0</v>
      </c>
      <c r="CO61" s="104">
        <v>0</v>
      </c>
      <c r="CP61" s="104">
        <v>0</v>
      </c>
      <c r="CQ61" s="105">
        <f ca="1">3400</f>
        <v>3400</v>
      </c>
      <c r="CR61" s="99">
        <v>0</v>
      </c>
      <c r="CS61" s="99">
        <f ca="1">V61*1</f>
        <v>3400</v>
      </c>
      <c r="CT61" s="99">
        <v>0</v>
      </c>
      <c r="CU61" s="86">
        <v>0</v>
      </c>
      <c r="CV61" s="86">
        <v>0</v>
      </c>
      <c r="CW61" s="86">
        <v>3400</v>
      </c>
      <c r="CX61" s="86">
        <v>0</v>
      </c>
      <c r="CY61" s="86">
        <v>0</v>
      </c>
      <c r="CZ61" s="86">
        <v>0</v>
      </c>
      <c r="DA61" s="86">
        <v>0</v>
      </c>
      <c r="DB61" s="86">
        <v>0</v>
      </c>
      <c r="DC61" s="86">
        <v>0</v>
      </c>
      <c r="DD61" s="86">
        <v>0</v>
      </c>
      <c r="DE61" s="86">
        <v>0</v>
      </c>
      <c r="DF61" s="86">
        <v>0</v>
      </c>
      <c r="DG61" s="86">
        <v>0</v>
      </c>
      <c r="DI61" s="91">
        <f ca="1">VLOOKUP(A61,'[2]2-Relatório'!$A:$J,9,0)</f>
        <v>73.86</v>
      </c>
      <c r="DJ61" s="92">
        <f t="shared" ca="1" si="89"/>
        <v>66104.7</v>
      </c>
      <c r="DK61" s="92">
        <f t="shared" ca="1" si="89"/>
        <v>53474.64</v>
      </c>
      <c r="DL61" s="92">
        <f t="shared" ca="1" si="89"/>
        <v>44833.02</v>
      </c>
      <c r="DM61" s="92">
        <f t="shared" ca="1" si="89"/>
        <v>63888.9</v>
      </c>
      <c r="DN61" s="92">
        <f t="shared" ca="1" si="89"/>
        <v>109682.1</v>
      </c>
      <c r="DO61" s="92">
        <f t="shared" ca="1" si="89"/>
        <v>22010.28</v>
      </c>
      <c r="DP61" s="92">
        <f t="shared" ca="1" si="89"/>
        <v>41952.480000000003</v>
      </c>
      <c r="DQ61" s="92">
        <f t="shared" ca="1" si="88"/>
        <v>18465</v>
      </c>
      <c r="DR61" s="92">
        <f t="shared" ca="1" si="88"/>
        <v>0</v>
      </c>
      <c r="DS61" s="92">
        <f t="shared" ca="1" si="88"/>
        <v>0</v>
      </c>
      <c r="DT61" s="92">
        <f t="shared" ca="1" si="88"/>
        <v>211243.88388000001</v>
      </c>
      <c r="DU61" s="92">
        <f t="shared" ca="1" si="88"/>
        <v>170475.74897999997</v>
      </c>
      <c r="DV61" s="92">
        <f t="shared" ca="1" si="88"/>
        <v>389873.25984000001</v>
      </c>
      <c r="DW61" s="92">
        <f t="shared" ca="1" si="88"/>
        <v>316013.25984000001</v>
      </c>
      <c r="DX61" s="92">
        <f t="shared" ca="1" si="88"/>
        <v>242153.25983999998</v>
      </c>
      <c r="DY61" s="92">
        <f t="shared" ca="1" si="88"/>
        <v>168293.25983999998</v>
      </c>
      <c r="DZ61" s="92">
        <f t="shared" ca="1" si="75"/>
        <v>345557.25984000001</v>
      </c>
      <c r="EA61" s="92">
        <f t="shared" ca="1" si="75"/>
        <v>234767.25983999998</v>
      </c>
      <c r="EB61" s="92">
        <f t="shared" ca="1" si="75"/>
        <v>197837.25983999998</v>
      </c>
      <c r="EC61" s="92">
        <f t="shared" ca="1" si="75"/>
        <v>123977.25983999998</v>
      </c>
      <c r="ED61" s="92">
        <f t="shared" ca="1" si="75"/>
        <v>50117.259839999992</v>
      </c>
      <c r="EE61" s="92">
        <f t="shared" ca="1" si="75"/>
        <v>50117.259839999992</v>
      </c>
      <c r="EF61" s="92">
        <f t="shared" ca="1" si="75"/>
        <v>50117.259839999992</v>
      </c>
      <c r="EG61" s="92">
        <f t="shared" ca="1" si="73"/>
        <v>50117.259839999992</v>
      </c>
      <c r="EH61" s="92">
        <f t="shared" ca="1" si="73"/>
        <v>50117.259839999992</v>
      </c>
      <c r="EI61" s="92">
        <f t="shared" ca="1" si="73"/>
        <v>50117.259839999992</v>
      </c>
      <c r="EL61" s="93">
        <f t="shared" ca="1" si="111"/>
        <v>92885.299999999988</v>
      </c>
      <c r="EM61" s="93">
        <f t="shared" ca="1" si="111"/>
        <v>103904.58749999999</v>
      </c>
      <c r="EN61" s="92">
        <f t="shared" ca="1" si="113"/>
        <v>29113.15</v>
      </c>
      <c r="EO61" s="92">
        <f t="shared" ca="1" si="113"/>
        <v>29113.15</v>
      </c>
      <c r="EP61" s="92">
        <f t="shared" ca="1" si="113"/>
        <v>17033.814780000001</v>
      </c>
      <c r="EQ61" s="92">
        <f t="shared" ca="1" si="113"/>
        <v>31484.302199999998</v>
      </c>
      <c r="ER61" s="92">
        <f t="shared" ca="1" si="113"/>
        <v>39880.116119999999</v>
      </c>
      <c r="ES61" s="92">
        <f t="shared" ca="1" si="113"/>
        <v>21070.263780000001</v>
      </c>
      <c r="ET61" s="92">
        <f t="shared" ca="1" si="113"/>
        <v>27528.582180000001</v>
      </c>
      <c r="EU61" s="92">
        <f t="shared" ca="1" si="113"/>
        <v>36893.143859999996</v>
      </c>
      <c r="EV61" s="92">
        <f t="shared" ca="1" si="113"/>
        <v>27044.208299999998</v>
      </c>
      <c r="EW61" s="92">
        <f t="shared" ca="1" si="113"/>
        <v>39880.116119999999</v>
      </c>
      <c r="EX61" s="92">
        <f t="shared" ca="1" si="113"/>
        <v>40768.134900000005</v>
      </c>
      <c r="EY61" s="92">
        <f t="shared" ca="1" si="113"/>
        <v>31726.489139999998</v>
      </c>
      <c r="EZ61" s="92">
        <f t="shared" ca="1" si="113"/>
        <v>73860</v>
      </c>
      <c r="FA61" s="92">
        <f t="shared" ca="1" si="113"/>
        <v>73860</v>
      </c>
      <c r="FB61" s="92">
        <f t="shared" ca="1" si="113"/>
        <v>73860</v>
      </c>
      <c r="FC61" s="92">
        <f t="shared" ca="1" si="82"/>
        <v>73860</v>
      </c>
      <c r="FD61" s="92">
        <f t="shared" ca="1" si="82"/>
        <v>110790</v>
      </c>
      <c r="FE61" s="92">
        <f t="shared" ca="1" si="82"/>
        <v>36930</v>
      </c>
      <c r="FF61" s="92">
        <f t="shared" ca="1" si="82"/>
        <v>73860</v>
      </c>
      <c r="FG61" s="92">
        <f t="shared" ca="1" si="82"/>
        <v>73860</v>
      </c>
      <c r="FH61" s="92">
        <f t="shared" ca="1" si="55"/>
        <v>0</v>
      </c>
      <c r="FI61" s="92">
        <f t="shared" ca="1" si="55"/>
        <v>0</v>
      </c>
      <c r="FJ61" s="92">
        <f t="shared" ca="1" si="55"/>
        <v>0</v>
      </c>
      <c r="FK61" s="92">
        <f t="shared" ca="1" si="55"/>
        <v>0</v>
      </c>
      <c r="FL61" s="92">
        <f t="shared" ca="1" si="55"/>
        <v>0</v>
      </c>
      <c r="FM61" s="92">
        <f t="shared" ca="1" si="55"/>
        <v>0</v>
      </c>
      <c r="FN61" s="94">
        <f ca="1">SUM(CN61:CS61)</f>
        <v>6800</v>
      </c>
      <c r="FO61" s="94">
        <f ca="1">SUM(CT61:CZ61)</f>
        <v>3400</v>
      </c>
      <c r="FP61" s="95">
        <f t="shared" ca="1" si="112"/>
        <v>31.349745331069606</v>
      </c>
      <c r="FQ61" s="95">
        <f t="shared" ca="1" si="112"/>
        <v>30.005691519635739</v>
      </c>
      <c r="FR61" s="95">
        <f t="shared" ca="1" si="96"/>
        <v>68.118393234672297</v>
      </c>
      <c r="FS61" s="95">
        <f t="shared" ca="1" si="96"/>
        <v>55.103594080338262</v>
      </c>
      <c r="FT61" s="95">
        <f t="shared" ca="1" si="96"/>
        <v>78.960034341761229</v>
      </c>
      <c r="FU61" s="95">
        <f t="shared" ca="1" si="96"/>
        <v>60.876909001337182</v>
      </c>
      <c r="FV61" s="95">
        <f t="shared" ca="1" si="96"/>
        <v>82.508862062962322</v>
      </c>
      <c r="FW61" s="95">
        <f t="shared" ca="1" si="95"/>
        <v>31.338402162139424</v>
      </c>
      <c r="FX61" s="95">
        <f t="shared" ca="1" si="95"/>
        <v>45.718823867157845</v>
      </c>
      <c r="FY61" s="95">
        <f t="shared" ca="1" si="95"/>
        <v>15.014984954985078</v>
      </c>
      <c r="FZ61" s="95">
        <f t="shared" ca="1" si="95"/>
        <v>0</v>
      </c>
      <c r="GA61" s="95">
        <f t="shared" ca="1" si="95"/>
        <v>0</v>
      </c>
      <c r="GB61" s="95">
        <f t="shared" ca="1" si="95"/>
        <v>155.44779107370937</v>
      </c>
      <c r="GC61" s="95">
        <f t="shared" ca="1" si="95"/>
        <v>161.1988155018403</v>
      </c>
      <c r="GD61" s="95">
        <f t="shared" ca="1" si="95"/>
        <v>158.35632000000001</v>
      </c>
      <c r="GE61" s="95">
        <f t="shared" ca="1" si="95"/>
        <v>128.35632000000001</v>
      </c>
      <c r="GF61" s="95">
        <f t="shared" ca="1" si="95"/>
        <v>98.356319999999997</v>
      </c>
      <c r="GG61" s="95">
        <f t="shared" ca="1" si="90"/>
        <v>68.356319999999997</v>
      </c>
      <c r="GH61" s="95">
        <f t="shared" ca="1" si="90"/>
        <v>93.570880000000017</v>
      </c>
      <c r="GI61" s="95">
        <f t="shared" ca="1" si="97"/>
        <v>190.71263999999996</v>
      </c>
      <c r="GJ61" s="95">
        <f t="shared" ca="1" si="97"/>
        <v>80.356319999999982</v>
      </c>
      <c r="GK61" s="95">
        <f t="shared" ca="1" si="97"/>
        <v>50.356319999999997</v>
      </c>
      <c r="GL61" s="95">
        <f t="shared" ca="1" si="97"/>
        <v>0</v>
      </c>
      <c r="GM61" s="95">
        <f t="shared" ca="1" si="97"/>
        <v>0</v>
      </c>
      <c r="GN61" s="95">
        <f t="shared" ca="1" si="97"/>
        <v>0</v>
      </c>
      <c r="GO61" s="95">
        <f t="shared" ca="1" si="97"/>
        <v>0</v>
      </c>
      <c r="GP61" s="95">
        <f t="shared" ca="1" si="97"/>
        <v>0</v>
      </c>
      <c r="GQ61" s="95">
        <f t="shared" ca="1" si="97"/>
        <v>0</v>
      </c>
      <c r="GS61" s="7">
        <v>226.72546265123333</v>
      </c>
      <c r="GT61" s="96">
        <f t="shared" ca="1" si="108"/>
        <v>52288.106373015384</v>
      </c>
      <c r="GU61" s="96">
        <f t="shared" ca="1" si="108"/>
        <v>96646.262964341222</v>
      </c>
      <c r="GV61" s="96">
        <f t="shared" ca="1" si="108"/>
        <v>122418.59975483223</v>
      </c>
      <c r="GW61" s="96">
        <f t="shared" ca="1" si="108"/>
        <v>64678.652906905292</v>
      </c>
      <c r="GX61" s="96">
        <f t="shared" ca="1" si="108"/>
        <v>84503.527361129134</v>
      </c>
      <c r="GY61" s="96">
        <f t="shared" ca="1" si="108"/>
        <v>113249.59531975369</v>
      </c>
      <c r="GZ61" s="96">
        <f t="shared" ca="1" si="108"/>
        <v>83016.661777062327</v>
      </c>
      <c r="HA61" s="96">
        <f t="shared" ca="1" si="108"/>
        <v>122418.59975483223</v>
      </c>
      <c r="HB61" s="96">
        <f t="shared" ca="1" si="108"/>
        <v>125144.51999228801</v>
      </c>
      <c r="HC61" s="96">
        <f t="shared" ca="1" si="108"/>
        <v>97389.695756374625</v>
      </c>
      <c r="HD61" s="96">
        <f t="shared" ca="1" si="109"/>
        <v>226725.46265123333</v>
      </c>
      <c r="HE61" s="96">
        <f t="shared" ca="1" si="109"/>
        <v>226725.46265123333</v>
      </c>
      <c r="HF61" s="96">
        <f t="shared" ca="1" si="109"/>
        <v>226725.46265123333</v>
      </c>
      <c r="HG61" s="96">
        <f t="shared" ca="1" si="109"/>
        <v>226725.46265123333</v>
      </c>
      <c r="HH61" s="96">
        <f t="shared" ca="1" si="109"/>
        <v>340088.19397685002</v>
      </c>
      <c r="HI61" s="96">
        <f t="shared" ca="1" si="109"/>
        <v>113362.73132561667</v>
      </c>
      <c r="HJ61" s="96">
        <f t="shared" ca="1" si="109"/>
        <v>226725.46265123333</v>
      </c>
      <c r="HK61" s="96">
        <f t="shared" ca="1" si="109"/>
        <v>226725.46265123333</v>
      </c>
      <c r="HL61" s="96">
        <f t="shared" ca="1" si="109"/>
        <v>0</v>
      </c>
      <c r="HM61" s="96">
        <f t="shared" ca="1" si="109"/>
        <v>0</v>
      </c>
      <c r="HN61" s="96">
        <f t="shared" ca="1" si="109"/>
        <v>0</v>
      </c>
      <c r="HO61" s="96">
        <f t="shared" ca="1" si="109"/>
        <v>0</v>
      </c>
      <c r="HP61" s="96">
        <f t="shared" ca="1" si="109"/>
        <v>0</v>
      </c>
      <c r="HQ61" s="96">
        <f t="shared" ca="1" si="109"/>
        <v>0</v>
      </c>
      <c r="HS61" s="97">
        <f t="shared" ca="1" si="21"/>
        <v>137622.35582929864</v>
      </c>
    </row>
    <row r="62" spans="1:227" ht="18" customHeight="1" thickTop="1" thickBot="1" x14ac:dyDescent="0.3">
      <c r="A62" s="16" t="s">
        <v>18</v>
      </c>
      <c r="B62" s="73" t="s">
        <v>434</v>
      </c>
      <c r="C62" s="73" t="s">
        <v>434</v>
      </c>
      <c r="D62" s="74" t="s">
        <v>1</v>
      </c>
      <c r="E62" s="74" t="s">
        <v>435</v>
      </c>
      <c r="F62" s="73"/>
      <c r="G62" s="75">
        <f ca="1">120+56</f>
        <v>176</v>
      </c>
      <c r="H62" s="75">
        <v>100</v>
      </c>
      <c r="I62" s="75">
        <f t="shared" ca="1" si="102"/>
        <v>276</v>
      </c>
      <c r="J62" s="76">
        <f ca="1">[1]Parameters!$C$3+G62</f>
        <v>46007</v>
      </c>
      <c r="K62" s="77">
        <f t="shared" ca="1" si="103"/>
        <v>12</v>
      </c>
      <c r="L62" s="77">
        <f t="shared" ca="1" si="104"/>
        <v>2025</v>
      </c>
      <c r="M62" s="76">
        <f ca="1">[1]Parameters!$C$3+I62</f>
        <v>46107</v>
      </c>
      <c r="N62" s="77">
        <f t="shared" ca="1" si="25"/>
        <v>3</v>
      </c>
      <c r="O62" s="77">
        <f t="shared" ca="1" si="26"/>
        <v>2026</v>
      </c>
      <c r="P62" s="78">
        <v>0.98</v>
      </c>
      <c r="Q62" s="79" t="str">
        <f ca="1">VLOOKUP(A62,[1]ABC!N:T,7,0)</f>
        <v>A</v>
      </c>
      <c r="R62" s="80">
        <f t="shared" ca="1" si="99"/>
        <v>30.708166829268293</v>
      </c>
      <c r="S62" s="81">
        <v>3.01</v>
      </c>
      <c r="T62" s="82">
        <f ca="1">ROUND((FLOOR(NORMINV(P62,0,1)*SQRT(I62/30)*CE62,1))/100,0)*100</f>
        <v>1058500</v>
      </c>
      <c r="U62" s="83">
        <f ca="1">IF((ROUND(AVERAGE(BL62:BX62)*3/100,0)*100)&lt;T62,T62,ROUND(AVERAGE(BL62:BX62)*3/100,0)*100)</f>
        <v>1058500</v>
      </c>
      <c r="V62" s="80">
        <v>130000</v>
      </c>
      <c r="W62" s="80">
        <f t="shared" ca="1" si="27"/>
        <v>1040000</v>
      </c>
      <c r="X62" s="80"/>
      <c r="Y62" s="84">
        <v>0.34</v>
      </c>
      <c r="Z62" s="85">
        <v>45720</v>
      </c>
      <c r="AA62" s="85">
        <v>23238</v>
      </c>
      <c r="AB62" s="85">
        <v>42300</v>
      </c>
      <c r="AC62" s="85">
        <v>1260</v>
      </c>
      <c r="AD62" s="85">
        <v>25380</v>
      </c>
      <c r="AE62" s="85">
        <v>56080</v>
      </c>
      <c r="AF62" s="85">
        <v>32580</v>
      </c>
      <c r="AG62" s="85">
        <v>361080</v>
      </c>
      <c r="AH62" s="85">
        <v>18360</v>
      </c>
      <c r="AI62" s="75">
        <v>5085</v>
      </c>
      <c r="AJ62" s="75">
        <f t="shared" ca="1" si="110"/>
        <v>15085</v>
      </c>
      <c r="AK62" s="75">
        <f t="shared" ca="1" si="110"/>
        <v>15085</v>
      </c>
      <c r="AL62" s="75">
        <f t="shared" ca="1" si="110"/>
        <v>0</v>
      </c>
      <c r="AM62" s="75">
        <f t="shared" ca="1" si="110"/>
        <v>0</v>
      </c>
      <c r="AN62" s="75">
        <f t="shared" ca="1" si="110"/>
        <v>0</v>
      </c>
      <c r="AO62" s="75">
        <f t="shared" ca="1" si="110"/>
        <v>390000</v>
      </c>
      <c r="AP62" s="75">
        <f t="shared" ca="1" si="110"/>
        <v>0</v>
      </c>
      <c r="AQ62" s="75">
        <f t="shared" ca="1" si="110"/>
        <v>690000</v>
      </c>
      <c r="AR62" s="75">
        <f t="shared" ca="1" si="110"/>
        <v>1640000</v>
      </c>
      <c r="AS62" s="75">
        <f t="shared" ca="1" si="110"/>
        <v>1510000</v>
      </c>
      <c r="AT62" s="75">
        <f t="shared" ca="1" si="110"/>
        <v>1790000</v>
      </c>
      <c r="AU62" s="75">
        <f t="shared" ca="1" si="110"/>
        <v>1430000</v>
      </c>
      <c r="AV62" s="75">
        <f t="shared" ca="1" si="110"/>
        <v>1190000</v>
      </c>
      <c r="AW62" s="75">
        <f t="shared" ca="1" si="110"/>
        <v>1190000</v>
      </c>
      <c r="AX62" s="75">
        <f t="shared" ca="1" si="110"/>
        <v>1190000</v>
      </c>
      <c r="AY62" s="75">
        <f t="shared" ca="1" si="54"/>
        <v>1190000</v>
      </c>
      <c r="AZ62" s="75">
        <f t="shared" ca="1" si="12"/>
        <v>1190000</v>
      </c>
      <c r="BA62" s="75">
        <f t="shared" ca="1" si="12"/>
        <v>1190000</v>
      </c>
      <c r="BB62" s="166"/>
      <c r="BC62" s="86">
        <v>45720</v>
      </c>
      <c r="BD62" s="86">
        <v>0</v>
      </c>
      <c r="BE62" s="86">
        <v>50000</v>
      </c>
      <c r="BF62" s="86">
        <v>50000</v>
      </c>
      <c r="BG62" s="86">
        <v>36000</v>
      </c>
      <c r="BH62" s="86">
        <v>24000</v>
      </c>
      <c r="BI62" s="86">
        <v>84000</v>
      </c>
      <c r="BJ62" s="86">
        <v>42000</v>
      </c>
      <c r="BK62" s="86">
        <v>54000</v>
      </c>
      <c r="BL62" s="86">
        <v>110000</v>
      </c>
      <c r="BM62" s="86">
        <v>120000</v>
      </c>
      <c r="BN62" s="86">
        <v>120000</v>
      </c>
      <c r="BO62" s="86">
        <v>120000</v>
      </c>
      <c r="BP62" s="86">
        <v>390000</v>
      </c>
      <c r="BQ62" s="86">
        <v>120000</v>
      </c>
      <c r="BR62" s="86">
        <v>390000</v>
      </c>
      <c r="BS62" s="86">
        <v>90000</v>
      </c>
      <c r="BT62" s="86">
        <v>90000</v>
      </c>
      <c r="BU62" s="86">
        <v>650000</v>
      </c>
      <c r="BV62" s="86">
        <v>240000</v>
      </c>
      <c r="BW62" s="154">
        <v>360000</v>
      </c>
      <c r="BX62" s="86">
        <v>240000</v>
      </c>
      <c r="BY62" s="86">
        <v>0</v>
      </c>
      <c r="BZ62" s="86">
        <v>0</v>
      </c>
      <c r="CA62" s="86">
        <v>0</v>
      </c>
      <c r="CB62" s="86">
        <v>0</v>
      </c>
      <c r="CC62" s="86">
        <v>0</v>
      </c>
      <c r="CD62" s="86">
        <v>0</v>
      </c>
      <c r="CE62" s="86">
        <f t="shared" ca="1" si="28"/>
        <v>169928.34085472918</v>
      </c>
      <c r="CF62" s="87"/>
      <c r="CG62" s="86">
        <v>0</v>
      </c>
      <c r="CH62" s="86">
        <v>0</v>
      </c>
      <c r="CI62" s="86">
        <v>0</v>
      </c>
      <c r="CJ62" s="86">
        <v>0</v>
      </c>
      <c r="CK62" s="86">
        <v>0</v>
      </c>
      <c r="CL62" s="86">
        <v>0</v>
      </c>
      <c r="CM62" s="86">
        <v>0</v>
      </c>
      <c r="CN62" s="86">
        <v>0</v>
      </c>
      <c r="CO62" s="89">
        <v>120000</v>
      </c>
      <c r="CP62" s="104">
        <v>120000</v>
      </c>
      <c r="CQ62" s="104">
        <v>0</v>
      </c>
      <c r="CR62" s="104">
        <v>0</v>
      </c>
      <c r="CS62" s="105">
        <f ca="1">390000</f>
        <v>390000</v>
      </c>
      <c r="CT62" s="155">
        <v>510000</v>
      </c>
      <c r="CU62" s="100">
        <v>0</v>
      </c>
      <c r="CV62" s="100">
        <f ca="1">390000*2</f>
        <v>780000</v>
      </c>
      <c r="CW62" s="100">
        <f ca="1">130000*8</f>
        <v>1040000</v>
      </c>
      <c r="CX62" s="90">
        <f ca="1">130000*4</f>
        <v>520000</v>
      </c>
      <c r="CY62" s="90">
        <v>520000</v>
      </c>
      <c r="CZ62" s="90">
        <v>0</v>
      </c>
      <c r="DA62" s="90">
        <v>0</v>
      </c>
      <c r="DB62" s="90">
        <v>0</v>
      </c>
      <c r="DC62" s="90">
        <v>0</v>
      </c>
      <c r="DD62" s="90">
        <v>0</v>
      </c>
      <c r="DE62" s="90">
        <v>0</v>
      </c>
      <c r="DF62" s="90">
        <v>0</v>
      </c>
      <c r="DG62" s="86">
        <v>0</v>
      </c>
      <c r="DI62" s="91">
        <f ca="1">VLOOKUP(A62,'[2]2-Relatório'!$A:$J,9,0)</f>
        <v>2.0499999999999998</v>
      </c>
      <c r="DJ62" s="92">
        <f t="shared" ca="1" si="89"/>
        <v>86714.999999999985</v>
      </c>
      <c r="DK62" s="92">
        <f t="shared" ca="1" si="89"/>
        <v>2583</v>
      </c>
      <c r="DL62" s="92">
        <f t="shared" ca="1" si="89"/>
        <v>52028.999999999993</v>
      </c>
      <c r="DM62" s="92">
        <f t="shared" ca="1" si="89"/>
        <v>114963.99999999999</v>
      </c>
      <c r="DN62" s="92">
        <f t="shared" ca="1" si="89"/>
        <v>66789</v>
      </c>
      <c r="DO62" s="92">
        <f t="shared" ca="1" si="89"/>
        <v>740213.99999999988</v>
      </c>
      <c r="DP62" s="92">
        <f t="shared" ca="1" si="89"/>
        <v>37638</v>
      </c>
      <c r="DQ62" s="92">
        <f t="shared" ca="1" si="88"/>
        <v>10424.25</v>
      </c>
      <c r="DR62" s="92">
        <f t="shared" ca="1" si="88"/>
        <v>30924.249999999996</v>
      </c>
      <c r="DS62" s="92">
        <f t="shared" ca="1" si="88"/>
        <v>30924.249999999996</v>
      </c>
      <c r="DT62" s="92">
        <f t="shared" ca="1" si="88"/>
        <v>0</v>
      </c>
      <c r="DU62" s="92">
        <f t="shared" ca="1" si="88"/>
        <v>0</v>
      </c>
      <c r="DV62" s="92">
        <f t="shared" ca="1" si="88"/>
        <v>0</v>
      </c>
      <c r="DW62" s="92">
        <f t="shared" ca="1" si="88"/>
        <v>799499.99999999988</v>
      </c>
      <c r="DX62" s="92">
        <f t="shared" ca="1" si="88"/>
        <v>0</v>
      </c>
      <c r="DY62" s="92">
        <f t="shared" ca="1" si="88"/>
        <v>1414499.9999999998</v>
      </c>
      <c r="DZ62" s="92">
        <f t="shared" ca="1" si="75"/>
        <v>3361999.9999999995</v>
      </c>
      <c r="EA62" s="92">
        <f t="shared" ca="1" si="75"/>
        <v>3095499.9999999995</v>
      </c>
      <c r="EB62" s="92">
        <f t="shared" ca="1" si="75"/>
        <v>3669499.9999999995</v>
      </c>
      <c r="EC62" s="92">
        <f t="shared" ca="1" si="75"/>
        <v>2931499.9999999995</v>
      </c>
      <c r="ED62" s="92">
        <f t="shared" ca="1" si="75"/>
        <v>2439500</v>
      </c>
      <c r="EE62" s="92">
        <f t="shared" ca="1" si="75"/>
        <v>2439500</v>
      </c>
      <c r="EF62" s="92">
        <f t="shared" ca="1" si="75"/>
        <v>2439500</v>
      </c>
      <c r="EG62" s="92">
        <f t="shared" ca="1" si="73"/>
        <v>2439500</v>
      </c>
      <c r="EH62" s="92">
        <f t="shared" ca="1" si="73"/>
        <v>2439500</v>
      </c>
      <c r="EI62" s="92">
        <f t="shared" ca="1" si="73"/>
        <v>2439500</v>
      </c>
      <c r="EL62" s="93">
        <f t="shared" ca="1" si="111"/>
        <v>137617.19999999998</v>
      </c>
      <c r="EM62" s="93">
        <f t="shared" ca="1" si="111"/>
        <v>0</v>
      </c>
      <c r="EN62" s="92">
        <f t="shared" ca="1" si="113"/>
        <v>102499.99999999999</v>
      </c>
      <c r="EO62" s="92">
        <f t="shared" ca="1" si="113"/>
        <v>102499.99999999999</v>
      </c>
      <c r="EP62" s="92">
        <f t="shared" ca="1" si="113"/>
        <v>73800</v>
      </c>
      <c r="EQ62" s="92">
        <f t="shared" ca="1" si="113"/>
        <v>49199.999999999993</v>
      </c>
      <c r="ER62" s="92">
        <f t="shared" ca="1" si="113"/>
        <v>172199.99999999997</v>
      </c>
      <c r="ES62" s="92">
        <f t="shared" ca="1" si="113"/>
        <v>86099.999999999985</v>
      </c>
      <c r="ET62" s="92">
        <f t="shared" ca="1" si="113"/>
        <v>110699.99999999999</v>
      </c>
      <c r="EU62" s="92">
        <f t="shared" ca="1" si="113"/>
        <v>225499.99999999997</v>
      </c>
      <c r="EV62" s="92">
        <f t="shared" ca="1" si="113"/>
        <v>245999.99999999997</v>
      </c>
      <c r="EW62" s="92">
        <f t="shared" ca="1" si="113"/>
        <v>245999.99999999997</v>
      </c>
      <c r="EX62" s="92">
        <f t="shared" ca="1" si="113"/>
        <v>245999.99999999997</v>
      </c>
      <c r="EY62" s="92">
        <f t="shared" ca="1" si="113"/>
        <v>799499.99999999988</v>
      </c>
      <c r="EZ62" s="92">
        <f t="shared" ca="1" si="113"/>
        <v>245999.99999999997</v>
      </c>
      <c r="FA62" s="92">
        <f t="shared" ca="1" si="113"/>
        <v>799499.99999999988</v>
      </c>
      <c r="FB62" s="92">
        <f t="shared" ca="1" si="113"/>
        <v>184499.99999999997</v>
      </c>
      <c r="FC62" s="92">
        <f t="shared" ca="1" si="82"/>
        <v>184499.99999999997</v>
      </c>
      <c r="FD62" s="92">
        <f t="shared" ca="1" si="82"/>
        <v>1332500</v>
      </c>
      <c r="FE62" s="92">
        <f t="shared" ca="1" si="82"/>
        <v>491999.99999999994</v>
      </c>
      <c r="FF62" s="92">
        <f t="shared" ca="1" si="82"/>
        <v>737999.99999999988</v>
      </c>
      <c r="FG62" s="92">
        <f t="shared" ca="1" si="82"/>
        <v>491999.99999999994</v>
      </c>
      <c r="FH62" s="92">
        <f t="shared" ca="1" si="55"/>
        <v>0</v>
      </c>
      <c r="FI62" s="92">
        <f t="shared" ca="1" si="55"/>
        <v>0</v>
      </c>
      <c r="FJ62" s="92">
        <f t="shared" ca="1" si="55"/>
        <v>0</v>
      </c>
      <c r="FK62" s="92">
        <f t="shared" ca="1" si="55"/>
        <v>0</v>
      </c>
      <c r="FL62" s="92">
        <f t="shared" ca="1" si="55"/>
        <v>0</v>
      </c>
      <c r="FM62" s="92">
        <f t="shared" ca="1" si="55"/>
        <v>0</v>
      </c>
      <c r="FN62" s="94">
        <f ca="1">SUM(CN62:CV62)</f>
        <v>1920000</v>
      </c>
      <c r="FO62" s="94">
        <f ca="1">SUM(CW62:DA62)</f>
        <v>2080000</v>
      </c>
      <c r="FP62" s="95">
        <f t="shared" ca="1" si="112"/>
        <v>30</v>
      </c>
      <c r="FQ62" s="95">
        <f t="shared" ca="1" si="112"/>
        <v>0</v>
      </c>
      <c r="FR62" s="95">
        <f t="shared" ca="1" si="96"/>
        <v>25.38</v>
      </c>
      <c r="FS62" s="95">
        <f t="shared" ca="1" si="96"/>
        <v>0.75600000000000012</v>
      </c>
      <c r="FT62" s="95">
        <f t="shared" ca="1" si="96"/>
        <v>21.149999999999995</v>
      </c>
      <c r="FU62" s="95">
        <f t="shared" ca="1" si="96"/>
        <v>70.100000000000009</v>
      </c>
      <c r="FV62" s="95">
        <f t="shared" ca="1" si="96"/>
        <v>11.635714285714286</v>
      </c>
      <c r="FW62" s="95">
        <f t="shared" ca="1" si="95"/>
        <v>257.91428571428571</v>
      </c>
      <c r="FX62" s="95">
        <f t="shared" ca="1" si="95"/>
        <v>10.200000000000001</v>
      </c>
      <c r="FY62" s="95">
        <f t="shared" ca="1" si="95"/>
        <v>1.3868181818181819</v>
      </c>
      <c r="FZ62" s="95">
        <f t="shared" ca="1" si="95"/>
        <v>3.7712500000000002</v>
      </c>
      <c r="GA62" s="95">
        <f t="shared" ca="1" si="95"/>
        <v>3.7712500000000002</v>
      </c>
      <c r="GB62" s="95">
        <f t="shared" ca="1" si="95"/>
        <v>0</v>
      </c>
      <c r="GC62" s="95">
        <f t="shared" ca="1" si="95"/>
        <v>0</v>
      </c>
      <c r="GD62" s="95">
        <f t="shared" ca="1" si="95"/>
        <v>0</v>
      </c>
      <c r="GE62" s="95">
        <f t="shared" ca="1" si="95"/>
        <v>30</v>
      </c>
      <c r="GF62" s="95">
        <f t="shared" ca="1" si="95"/>
        <v>0</v>
      </c>
      <c r="GG62" s="95">
        <f t="shared" ca="1" si="90"/>
        <v>230</v>
      </c>
      <c r="GH62" s="95">
        <f t="shared" ca="1" si="90"/>
        <v>75.692307692307679</v>
      </c>
      <c r="GI62" s="95">
        <f t="shared" ca="1" si="97"/>
        <v>188.74999999999997</v>
      </c>
      <c r="GJ62" s="95">
        <f t="shared" ca="1" si="97"/>
        <v>149.16666666666666</v>
      </c>
      <c r="GK62" s="95">
        <f t="shared" ca="1" si="97"/>
        <v>178.75</v>
      </c>
      <c r="GL62" s="95">
        <f t="shared" ca="1" si="97"/>
        <v>0</v>
      </c>
      <c r="GM62" s="95">
        <f t="shared" ca="1" si="97"/>
        <v>0</v>
      </c>
      <c r="GN62" s="95">
        <f t="shared" ca="1" si="97"/>
        <v>0</v>
      </c>
      <c r="GO62" s="95">
        <f t="shared" ca="1" si="97"/>
        <v>0</v>
      </c>
      <c r="GP62" s="95">
        <f t="shared" ca="1" si="97"/>
        <v>0</v>
      </c>
      <c r="GQ62" s="95">
        <f t="shared" ca="1" si="97"/>
        <v>0</v>
      </c>
      <c r="GS62" s="7">
        <v>3.5614118200000013</v>
      </c>
      <c r="GT62" s="96">
        <f ca="1">$GS62*BG62/2</f>
        <v>64105.412760000021</v>
      </c>
      <c r="GU62" s="96">
        <f t="shared" ref="GU62:HH62" ca="1" si="114">$GS62*BH62/2</f>
        <v>42736.941840000014</v>
      </c>
      <c r="GV62" s="96">
        <f t="shared" ca="1" si="114"/>
        <v>149579.29644000006</v>
      </c>
      <c r="GW62" s="96">
        <f t="shared" ca="1" si="114"/>
        <v>74789.648220000032</v>
      </c>
      <c r="GX62" s="96">
        <f t="shared" ca="1" si="114"/>
        <v>96158.119140000039</v>
      </c>
      <c r="GY62" s="96">
        <f t="shared" ca="1" si="114"/>
        <v>195877.65010000009</v>
      </c>
      <c r="GZ62" s="96">
        <f t="shared" ca="1" si="114"/>
        <v>213684.70920000007</v>
      </c>
      <c r="HA62" s="96">
        <f t="shared" ca="1" si="114"/>
        <v>213684.70920000007</v>
      </c>
      <c r="HB62" s="96">
        <f t="shared" ca="1" si="114"/>
        <v>213684.70920000007</v>
      </c>
      <c r="HC62" s="96">
        <f t="shared" ca="1" si="114"/>
        <v>694475.30490000022</v>
      </c>
      <c r="HD62" s="96">
        <f t="shared" ca="1" si="114"/>
        <v>213684.70920000007</v>
      </c>
      <c r="HE62" s="96">
        <f t="shared" ca="1" si="114"/>
        <v>694475.30490000022</v>
      </c>
      <c r="HF62" s="96">
        <f t="shared" ca="1" si="114"/>
        <v>160263.53190000006</v>
      </c>
      <c r="HG62" s="96">
        <f t="shared" ca="1" si="114"/>
        <v>160263.53190000006</v>
      </c>
      <c r="HH62" s="96">
        <f t="shared" ca="1" si="114"/>
        <v>1157458.8415000003</v>
      </c>
      <c r="HI62" s="96">
        <v>0</v>
      </c>
      <c r="HJ62" s="96">
        <v>0</v>
      </c>
      <c r="HK62" s="96">
        <v>0</v>
      </c>
      <c r="HL62" s="96">
        <v>0</v>
      </c>
      <c r="HM62" s="96">
        <v>0</v>
      </c>
      <c r="HN62" s="96">
        <v>0</v>
      </c>
      <c r="HO62" s="96">
        <v>0</v>
      </c>
      <c r="HP62" s="96">
        <v>0</v>
      </c>
      <c r="HQ62" s="96">
        <v>0</v>
      </c>
      <c r="HS62" s="97">
        <f t="shared" ca="1" si="21"/>
        <v>90388.631991600036</v>
      </c>
    </row>
    <row r="63" spans="1:227" ht="17.25" thickTop="1" thickBot="1" x14ac:dyDescent="0.3">
      <c r="A63" s="16" t="s">
        <v>47</v>
      </c>
      <c r="B63" s="73" t="s">
        <v>436</v>
      </c>
      <c r="C63" s="73" t="s">
        <v>436</v>
      </c>
      <c r="D63" s="74" t="s">
        <v>1</v>
      </c>
      <c r="E63" s="74" t="s">
        <v>341</v>
      </c>
      <c r="F63" s="73"/>
      <c r="G63" s="75">
        <f t="shared" ref="G63:G70" ca="1" si="115">120+32</f>
        <v>152</v>
      </c>
      <c r="H63" s="75">
        <v>66</v>
      </c>
      <c r="I63" s="75">
        <f t="shared" ca="1" si="102"/>
        <v>218</v>
      </c>
      <c r="J63" s="76">
        <f ca="1">[1]Parameters!$C$3+G63</f>
        <v>45983</v>
      </c>
      <c r="K63" s="77">
        <f t="shared" ca="1" si="103"/>
        <v>11</v>
      </c>
      <c r="L63" s="77">
        <f t="shared" ca="1" si="104"/>
        <v>2025</v>
      </c>
      <c r="M63" s="76">
        <f ca="1">[1]Parameters!$C$3+I63</f>
        <v>46049</v>
      </c>
      <c r="N63" s="77">
        <f t="shared" ca="1" si="25"/>
        <v>1</v>
      </c>
      <c r="O63" s="77">
        <f t="shared" ca="1" si="26"/>
        <v>2026</v>
      </c>
      <c r="P63" s="78">
        <v>0.9</v>
      </c>
      <c r="Q63" s="79" t="str">
        <f ca="1">VLOOKUP(A63,[1]ABC!N:T,7,0)</f>
        <v>C</v>
      </c>
      <c r="R63" s="80">
        <f t="shared" ca="1" si="99"/>
        <v>14.839197361187464</v>
      </c>
      <c r="S63" s="81">
        <v>8.85</v>
      </c>
      <c r="T63" s="82">
        <f t="shared" ca="1" si="10"/>
        <v>300</v>
      </c>
      <c r="U63" s="83">
        <f t="shared" ref="U63:U71" ca="1" si="116">IF((ROUND(AVERAGE(BI63:BR63)/10,0)*10)&lt;T63,T63,ROUND(AVERAGE(BI63:BR63)/10,0)*10)</f>
        <v>590</v>
      </c>
      <c r="V63" s="80">
        <v>1000</v>
      </c>
      <c r="W63" s="80">
        <f t="shared" ca="1" si="27"/>
        <v>1000</v>
      </c>
      <c r="X63" s="80"/>
      <c r="Y63" s="84">
        <v>1.37</v>
      </c>
      <c r="Z63" s="85">
        <v>313</v>
      </c>
      <c r="AA63" s="85">
        <v>305</v>
      </c>
      <c r="AB63" s="85">
        <v>513</v>
      </c>
      <c r="AC63" s="85">
        <v>344</v>
      </c>
      <c r="AD63" s="85">
        <v>455</v>
      </c>
      <c r="AE63" s="85">
        <v>152</v>
      </c>
      <c r="AF63" s="85">
        <v>600</v>
      </c>
      <c r="AG63" s="85">
        <v>458</v>
      </c>
      <c r="AH63" s="85">
        <v>82</v>
      </c>
      <c r="AI63" s="75">
        <v>1577</v>
      </c>
      <c r="AJ63" s="75">
        <f t="shared" ca="1" si="110"/>
        <v>4926</v>
      </c>
      <c r="AK63" s="75">
        <f t="shared" ca="1" si="110"/>
        <v>4333</v>
      </c>
      <c r="AL63" s="75">
        <f t="shared" ca="1" si="110"/>
        <v>3747</v>
      </c>
      <c r="AM63" s="75">
        <f t="shared" ca="1" si="110"/>
        <v>4161</v>
      </c>
      <c r="AN63" s="75">
        <f t="shared" ca="1" si="110"/>
        <v>3575</v>
      </c>
      <c r="AO63" s="75">
        <f t="shared" ca="1" si="110"/>
        <v>2978</v>
      </c>
      <c r="AP63" s="75">
        <f t="shared" ca="1" si="110"/>
        <v>3435</v>
      </c>
      <c r="AQ63" s="75">
        <f t="shared" ca="1" si="110"/>
        <v>2784</v>
      </c>
      <c r="AR63" s="75">
        <f t="shared" ca="1" si="110"/>
        <v>2350</v>
      </c>
      <c r="AS63" s="75">
        <f t="shared" ca="1" si="110"/>
        <v>1699</v>
      </c>
      <c r="AT63" s="75">
        <f t="shared" ca="1" si="110"/>
        <v>1309</v>
      </c>
      <c r="AU63" s="75">
        <f t="shared" ca="1" si="110"/>
        <v>657</v>
      </c>
      <c r="AV63" s="75">
        <f t="shared" ca="1" si="110"/>
        <v>0</v>
      </c>
      <c r="AW63" s="75">
        <f t="shared" ca="1" si="110"/>
        <v>0</v>
      </c>
      <c r="AX63" s="75">
        <f t="shared" ca="1" si="110"/>
        <v>0</v>
      </c>
      <c r="AY63" s="75">
        <f t="shared" ca="1" si="54"/>
        <v>0</v>
      </c>
      <c r="AZ63" s="75">
        <f t="shared" ca="1" si="12"/>
        <v>0</v>
      </c>
      <c r="BA63" s="75">
        <f t="shared" ca="1" si="12"/>
        <v>0</v>
      </c>
      <c r="BB63" s="166"/>
      <c r="BC63" s="86">
        <v>303</v>
      </c>
      <c r="BD63" s="86">
        <v>296</v>
      </c>
      <c r="BE63" s="86">
        <v>550</v>
      </c>
      <c r="BF63" s="86">
        <v>740</v>
      </c>
      <c r="BG63" s="86">
        <v>342</v>
      </c>
      <c r="BH63" s="86">
        <v>543</v>
      </c>
      <c r="BI63" s="86">
        <v>651</v>
      </c>
      <c r="BJ63" s="86">
        <v>434</v>
      </c>
      <c r="BK63" s="86">
        <v>651</v>
      </c>
      <c r="BL63" s="86">
        <v>651</v>
      </c>
      <c r="BM63" s="86">
        <v>593</v>
      </c>
      <c r="BN63" s="86">
        <v>586</v>
      </c>
      <c r="BO63" s="86">
        <v>586</v>
      </c>
      <c r="BP63" s="86">
        <v>586</v>
      </c>
      <c r="BQ63" s="86">
        <v>597</v>
      </c>
      <c r="BR63" s="86">
        <v>543</v>
      </c>
      <c r="BS63" s="86">
        <v>651</v>
      </c>
      <c r="BT63" s="86">
        <v>434</v>
      </c>
      <c r="BU63" s="86">
        <v>651</v>
      </c>
      <c r="BV63" s="86">
        <v>390</v>
      </c>
      <c r="BW63" s="86">
        <v>652</v>
      </c>
      <c r="BX63" s="86">
        <v>780</v>
      </c>
      <c r="BY63" s="86">
        <v>0</v>
      </c>
      <c r="BZ63" s="86">
        <v>0</v>
      </c>
      <c r="CA63" s="86">
        <v>0</v>
      </c>
      <c r="CB63" s="86">
        <v>0</v>
      </c>
      <c r="CC63" s="86">
        <v>0</v>
      </c>
      <c r="CD63" s="86">
        <v>0</v>
      </c>
      <c r="CE63" s="86">
        <f t="shared" ca="1" si="28"/>
        <v>99.032305011533566</v>
      </c>
      <c r="CF63" s="87"/>
      <c r="CG63" s="86">
        <v>0</v>
      </c>
      <c r="CH63" s="86">
        <v>0</v>
      </c>
      <c r="CI63" s="86">
        <v>0</v>
      </c>
      <c r="CJ63" s="86">
        <v>0</v>
      </c>
      <c r="CK63" s="86">
        <v>0</v>
      </c>
      <c r="CL63" s="86">
        <v>0</v>
      </c>
      <c r="CM63" s="86">
        <v>0</v>
      </c>
      <c r="CN63" s="86">
        <v>0</v>
      </c>
      <c r="CO63" s="89">
        <v>4000</v>
      </c>
      <c r="CP63" s="86">
        <v>0</v>
      </c>
      <c r="CQ63" s="99">
        <v>0</v>
      </c>
      <c r="CR63" s="99">
        <v>1000</v>
      </c>
      <c r="CS63" s="86">
        <v>0</v>
      </c>
      <c r="CT63" s="100">
        <v>0</v>
      </c>
      <c r="CU63" s="100">
        <v>1000</v>
      </c>
      <c r="CV63" s="90">
        <v>0</v>
      </c>
      <c r="CW63" s="90">
        <v>0</v>
      </c>
      <c r="CX63" s="90">
        <v>0</v>
      </c>
      <c r="CY63" s="90">
        <v>0</v>
      </c>
      <c r="CZ63" s="90">
        <v>0</v>
      </c>
      <c r="DA63" s="90">
        <v>0</v>
      </c>
      <c r="DB63" s="90">
        <v>0</v>
      </c>
      <c r="DC63" s="90">
        <v>0</v>
      </c>
      <c r="DD63" s="90">
        <v>0</v>
      </c>
      <c r="DE63" s="90">
        <v>0</v>
      </c>
      <c r="DF63" s="90">
        <v>0</v>
      </c>
      <c r="DG63" s="86">
        <v>0</v>
      </c>
      <c r="DI63" s="91">
        <f ca="1">VLOOKUP(A63,'[2]2-Relatório'!$A:$J,9,0)</f>
        <v>10.66</v>
      </c>
      <c r="DJ63" s="92">
        <f t="shared" ca="1" si="89"/>
        <v>5468.58</v>
      </c>
      <c r="DK63" s="92">
        <f t="shared" ca="1" si="89"/>
        <v>3667.04</v>
      </c>
      <c r="DL63" s="92">
        <f t="shared" ca="1" si="89"/>
        <v>4850.3</v>
      </c>
      <c r="DM63" s="92">
        <f t="shared" ca="1" si="89"/>
        <v>1620.32</v>
      </c>
      <c r="DN63" s="92">
        <f t="shared" ca="1" si="89"/>
        <v>6396</v>
      </c>
      <c r="DO63" s="92">
        <f t="shared" ca="1" si="89"/>
        <v>4882.28</v>
      </c>
      <c r="DP63" s="92">
        <f t="shared" ca="1" si="89"/>
        <v>874.12</v>
      </c>
      <c r="DQ63" s="92">
        <f t="shared" ca="1" si="88"/>
        <v>16810.82</v>
      </c>
      <c r="DR63" s="92">
        <f t="shared" ca="1" si="88"/>
        <v>52511.16</v>
      </c>
      <c r="DS63" s="92">
        <f t="shared" ca="1" si="88"/>
        <v>46189.78</v>
      </c>
      <c r="DT63" s="92">
        <f t="shared" ca="1" si="88"/>
        <v>39943.020000000004</v>
      </c>
      <c r="DU63" s="92">
        <f t="shared" ca="1" si="88"/>
        <v>44356.26</v>
      </c>
      <c r="DV63" s="92">
        <f t="shared" ca="1" si="88"/>
        <v>38109.5</v>
      </c>
      <c r="DW63" s="92">
        <f t="shared" ca="1" si="88"/>
        <v>31745.48</v>
      </c>
      <c r="DX63" s="92">
        <f t="shared" ca="1" si="88"/>
        <v>36617.1</v>
      </c>
      <c r="DY63" s="92">
        <f t="shared" ca="1" si="88"/>
        <v>29677.439999999999</v>
      </c>
      <c r="DZ63" s="92">
        <f t="shared" ca="1" si="75"/>
        <v>25051</v>
      </c>
      <c r="EA63" s="92">
        <f t="shared" ca="1" si="75"/>
        <v>18111.34</v>
      </c>
      <c r="EB63" s="92">
        <f t="shared" ca="1" si="75"/>
        <v>13953.94</v>
      </c>
      <c r="EC63" s="92">
        <f t="shared" ca="1" si="75"/>
        <v>7003.62</v>
      </c>
      <c r="ED63" s="92">
        <f t="shared" ca="1" si="75"/>
        <v>0</v>
      </c>
      <c r="EE63" s="92">
        <f t="shared" ca="1" si="75"/>
        <v>0</v>
      </c>
      <c r="EF63" s="92">
        <f t="shared" ca="1" si="75"/>
        <v>0</v>
      </c>
      <c r="EG63" s="92">
        <f t="shared" ca="1" si="73"/>
        <v>0</v>
      </c>
      <c r="EH63" s="92">
        <f t="shared" ca="1" si="73"/>
        <v>0</v>
      </c>
      <c r="EI63" s="92">
        <f t="shared" ca="1" si="73"/>
        <v>0</v>
      </c>
      <c r="EL63" s="93">
        <f t="shared" ca="1" si="111"/>
        <v>2681.5499999999997</v>
      </c>
      <c r="EM63" s="93">
        <f t="shared" ca="1" si="111"/>
        <v>2619.6</v>
      </c>
      <c r="EN63" s="92">
        <f t="shared" ca="1" si="113"/>
        <v>5863</v>
      </c>
      <c r="EO63" s="92">
        <f t="shared" ca="1" si="113"/>
        <v>7888.4000000000005</v>
      </c>
      <c r="EP63" s="92">
        <f t="shared" ca="1" si="113"/>
        <v>3645.7200000000003</v>
      </c>
      <c r="EQ63" s="92">
        <f t="shared" ca="1" si="113"/>
        <v>5788.38</v>
      </c>
      <c r="ER63" s="92">
        <f t="shared" ca="1" si="113"/>
        <v>6939.66</v>
      </c>
      <c r="ES63" s="92">
        <f t="shared" ca="1" si="113"/>
        <v>4626.4400000000005</v>
      </c>
      <c r="ET63" s="92">
        <f t="shared" ca="1" si="113"/>
        <v>6939.66</v>
      </c>
      <c r="EU63" s="92">
        <f t="shared" ca="1" si="113"/>
        <v>6939.66</v>
      </c>
      <c r="EV63" s="92">
        <f t="shared" ca="1" si="113"/>
        <v>6321.38</v>
      </c>
      <c r="EW63" s="92">
        <f t="shared" ca="1" si="113"/>
        <v>6246.76</v>
      </c>
      <c r="EX63" s="92">
        <f t="shared" ca="1" si="113"/>
        <v>6246.76</v>
      </c>
      <c r="EY63" s="92">
        <f t="shared" ca="1" si="113"/>
        <v>6246.76</v>
      </c>
      <c r="EZ63" s="92">
        <f t="shared" ca="1" si="113"/>
        <v>6364.02</v>
      </c>
      <c r="FA63" s="92">
        <f t="shared" ca="1" si="113"/>
        <v>5788.38</v>
      </c>
      <c r="FB63" s="92">
        <f t="shared" ca="1" si="113"/>
        <v>6939.66</v>
      </c>
      <c r="FC63" s="92">
        <f t="shared" ca="1" si="82"/>
        <v>4626.4400000000005</v>
      </c>
      <c r="FD63" s="92">
        <f t="shared" ca="1" si="82"/>
        <v>6939.66</v>
      </c>
      <c r="FE63" s="92">
        <f t="shared" ca="1" si="82"/>
        <v>4157.3999999999996</v>
      </c>
      <c r="FF63" s="92">
        <f t="shared" ca="1" si="82"/>
        <v>6950.32</v>
      </c>
      <c r="FG63" s="92">
        <f t="shared" ca="1" si="82"/>
        <v>8314.7999999999993</v>
      </c>
      <c r="FH63" s="92">
        <f t="shared" ca="1" si="55"/>
        <v>0</v>
      </c>
      <c r="FI63" s="92">
        <f t="shared" ca="1" si="55"/>
        <v>0</v>
      </c>
      <c r="FJ63" s="92">
        <f t="shared" ref="FJ63:FM74" ca="1" si="117">$DI63*CA63</f>
        <v>0</v>
      </c>
      <c r="FK63" s="92">
        <f t="shared" ca="1" si="117"/>
        <v>0</v>
      </c>
      <c r="FL63" s="92">
        <f t="shared" ca="1" si="117"/>
        <v>0</v>
      </c>
      <c r="FM63" s="92">
        <f t="shared" ca="1" si="117"/>
        <v>0</v>
      </c>
      <c r="FN63" s="94">
        <f t="shared" ref="FN63:FN70" ca="1" si="118">SUM(CN63:CU63)</f>
        <v>6000</v>
      </c>
      <c r="FO63" s="94">
        <f t="shared" ref="FO63:FO74" ca="1" si="119">SUM(CV63:DA63)</f>
        <v>0</v>
      </c>
      <c r="FP63" s="95">
        <f t="shared" ca="1" si="112"/>
        <v>30.990099009900987</v>
      </c>
      <c r="FQ63" s="95">
        <f t="shared" ca="1" si="112"/>
        <v>30.912162162162165</v>
      </c>
      <c r="FR63" s="95">
        <f t="shared" ca="1" si="96"/>
        <v>27.981818181818181</v>
      </c>
      <c r="FS63" s="95">
        <f t="shared" ca="1" si="96"/>
        <v>13.945945945945946</v>
      </c>
      <c r="FT63" s="95">
        <f t="shared" ca="1" si="96"/>
        <v>39.912280701754391</v>
      </c>
      <c r="FU63" s="95">
        <f t="shared" ca="1" si="96"/>
        <v>8.3977900552486187</v>
      </c>
      <c r="FV63" s="95">
        <f t="shared" ca="1" si="96"/>
        <v>27.649769585253456</v>
      </c>
      <c r="FW63" s="95">
        <f t="shared" ca="1" si="96"/>
        <v>31.658986175115199</v>
      </c>
      <c r="FX63" s="95">
        <f t="shared" ca="1" si="96"/>
        <v>3.778801843317972</v>
      </c>
      <c r="FY63" s="95">
        <f t="shared" ca="1" si="96"/>
        <v>72.672811059907843</v>
      </c>
      <c r="FZ63" s="95">
        <f t="shared" ca="1" si="96"/>
        <v>249.20741989881958</v>
      </c>
      <c r="GA63" s="95">
        <f t="shared" ca="1" si="96"/>
        <v>221.82593856655288</v>
      </c>
      <c r="GB63" s="95">
        <f t="shared" ca="1" si="96"/>
        <v>191.82593856655291</v>
      </c>
      <c r="GC63" s="95">
        <f t="shared" ca="1" si="96"/>
        <v>213.02047781569965</v>
      </c>
      <c r="GD63" s="95">
        <f t="shared" ca="1" si="96"/>
        <v>179.64824120603015</v>
      </c>
      <c r="GE63" s="95">
        <f t="shared" ca="1" si="96"/>
        <v>164.53038674033147</v>
      </c>
      <c r="GF63" s="95">
        <f t="shared" ca="1" si="96"/>
        <v>158.29493087557603</v>
      </c>
      <c r="GG63" s="95">
        <f t="shared" ca="1" si="90"/>
        <v>192.44239631336401</v>
      </c>
      <c r="GH63" s="95">
        <f t="shared" ca="1" si="90"/>
        <v>108.29493087557604</v>
      </c>
      <c r="GI63" s="95">
        <f t="shared" ca="1" si="97"/>
        <v>130.69230769230771</v>
      </c>
      <c r="GJ63" s="95">
        <f t="shared" ca="1" si="97"/>
        <v>60.230061349693258</v>
      </c>
      <c r="GK63" s="95">
        <f t="shared" ca="1" si="97"/>
        <v>25.26923076923077</v>
      </c>
      <c r="GL63" s="95">
        <f t="shared" ca="1" si="97"/>
        <v>0</v>
      </c>
      <c r="GM63" s="95">
        <f t="shared" ca="1" si="97"/>
        <v>0</v>
      </c>
      <c r="GN63" s="95">
        <f t="shared" ca="1" si="97"/>
        <v>0</v>
      </c>
      <c r="GO63" s="95">
        <f t="shared" ca="1" si="97"/>
        <v>0</v>
      </c>
      <c r="GP63" s="95">
        <f t="shared" ca="1" si="97"/>
        <v>0</v>
      </c>
      <c r="GQ63" s="95">
        <f t="shared" ca="1" si="97"/>
        <v>0</v>
      </c>
      <c r="GS63" s="7">
        <v>16.257934779999999</v>
      </c>
      <c r="GT63" s="96">
        <f t="shared" ref="GT63:HI70" ca="1" si="120">($GS63*BG63)-(($GS63*BG63)*2.7%)</f>
        <v>5410.0879250014805</v>
      </c>
      <c r="GU63" s="96">
        <f t="shared" ca="1" si="120"/>
        <v>8589.7010037304208</v>
      </c>
      <c r="GV63" s="96">
        <f t="shared" ca="1" si="120"/>
        <v>10298.14982215194</v>
      </c>
      <c r="GW63" s="96">
        <f t="shared" ca="1" si="120"/>
        <v>6865.4332147679597</v>
      </c>
      <c r="GX63" s="96">
        <f t="shared" ca="1" si="120"/>
        <v>10298.14982215194</v>
      </c>
      <c r="GY63" s="96">
        <f t="shared" ca="1" si="120"/>
        <v>10298.14982215194</v>
      </c>
      <c r="GZ63" s="96">
        <f t="shared" ca="1" si="120"/>
        <v>9380.6495307774203</v>
      </c>
      <c r="HA63" s="96">
        <f t="shared" ca="1" si="120"/>
        <v>9269.9167369908391</v>
      </c>
      <c r="HB63" s="96">
        <f t="shared" ca="1" si="120"/>
        <v>9269.9167369908391</v>
      </c>
      <c r="HC63" s="96">
        <f t="shared" ca="1" si="120"/>
        <v>9269.9167369908391</v>
      </c>
      <c r="HD63" s="96">
        <f t="shared" ca="1" si="120"/>
        <v>9443.9254129411784</v>
      </c>
      <c r="HE63" s="96">
        <f t="shared" ca="1" si="120"/>
        <v>8589.7010037304208</v>
      </c>
      <c r="HF63" s="96">
        <f t="shared" ca="1" si="120"/>
        <v>10298.14982215194</v>
      </c>
      <c r="HG63" s="96">
        <f t="shared" ca="1" si="120"/>
        <v>6865.4332147679597</v>
      </c>
      <c r="HH63" s="96">
        <f t="shared" ca="1" si="120"/>
        <v>10298.14982215194</v>
      </c>
      <c r="HI63" s="96">
        <f t="shared" ca="1" si="120"/>
        <v>6169.3985109666</v>
      </c>
      <c r="HJ63" s="96">
        <f t="shared" ref="HD63:HQ70" ca="1" si="121">($GS63*BW63)-(($GS63*BW63)*2.7%)</f>
        <v>10313.96879269288</v>
      </c>
      <c r="HK63" s="96">
        <f t="shared" ca="1" si="121"/>
        <v>12338.7970219332</v>
      </c>
      <c r="HL63" s="96">
        <f t="shared" ca="1" si="121"/>
        <v>0</v>
      </c>
      <c r="HM63" s="96">
        <f t="shared" ca="1" si="121"/>
        <v>0</v>
      </c>
      <c r="HN63" s="96">
        <f t="shared" ca="1" si="121"/>
        <v>0</v>
      </c>
      <c r="HO63" s="96">
        <f t="shared" ca="1" si="121"/>
        <v>0</v>
      </c>
      <c r="HP63" s="96">
        <f t="shared" ca="1" si="121"/>
        <v>0</v>
      </c>
      <c r="HQ63" s="96">
        <f t="shared" ca="1" si="121"/>
        <v>0</v>
      </c>
      <c r="HS63" s="97">
        <f t="shared" ca="1" si="21"/>
        <v>7397.3603248999998</v>
      </c>
    </row>
    <row r="64" spans="1:227" ht="17.25" thickTop="1" thickBot="1" x14ac:dyDescent="0.3">
      <c r="A64" s="16" t="s">
        <v>51</v>
      </c>
      <c r="B64" s="73" t="s">
        <v>437</v>
      </c>
      <c r="C64" s="73" t="s">
        <v>437</v>
      </c>
      <c r="D64" s="74" t="s">
        <v>1</v>
      </c>
      <c r="E64" s="74" t="s">
        <v>341</v>
      </c>
      <c r="F64" s="73"/>
      <c r="G64" s="75">
        <f t="shared" ca="1" si="115"/>
        <v>152</v>
      </c>
      <c r="H64" s="75">
        <v>66</v>
      </c>
      <c r="I64" s="75">
        <f t="shared" ca="1" si="102"/>
        <v>218</v>
      </c>
      <c r="J64" s="76">
        <f ca="1">[1]Parameters!$C$3+G64</f>
        <v>45983</v>
      </c>
      <c r="K64" s="77">
        <f t="shared" ca="1" si="103"/>
        <v>11</v>
      </c>
      <c r="L64" s="77">
        <f t="shared" ca="1" si="104"/>
        <v>2025</v>
      </c>
      <c r="M64" s="76">
        <f ca="1">[1]Parameters!$C$3+I64</f>
        <v>46049</v>
      </c>
      <c r="N64" s="77">
        <f t="shared" ca="1" si="25"/>
        <v>1</v>
      </c>
      <c r="O64" s="77">
        <f t="shared" ca="1" si="26"/>
        <v>2026</v>
      </c>
      <c r="P64" s="78">
        <v>0.9</v>
      </c>
      <c r="Q64" s="79" t="str">
        <f ca="1">VLOOKUP(A64,[1]ABC!N:T,7,0)</f>
        <v>C</v>
      </c>
      <c r="R64" s="80">
        <f t="shared" ca="1" si="99"/>
        <v>7.8634844889845139</v>
      </c>
      <c r="S64" s="81">
        <v>8.98</v>
      </c>
      <c r="T64" s="82">
        <f t="shared" ca="1" si="10"/>
        <v>300</v>
      </c>
      <c r="U64" s="83">
        <f t="shared" ca="1" si="116"/>
        <v>400</v>
      </c>
      <c r="V64" s="80">
        <v>1000</v>
      </c>
      <c r="W64" s="80">
        <f t="shared" ca="1" si="27"/>
        <v>1000</v>
      </c>
      <c r="X64" s="80"/>
      <c r="Y64" s="84">
        <v>1.37</v>
      </c>
      <c r="Z64" s="85">
        <v>528</v>
      </c>
      <c r="AA64" s="85">
        <v>88</v>
      </c>
      <c r="AB64" s="85">
        <v>205</v>
      </c>
      <c r="AC64" s="85">
        <v>336</v>
      </c>
      <c r="AD64" s="85">
        <v>535</v>
      </c>
      <c r="AE64" s="85">
        <v>137</v>
      </c>
      <c r="AF64" s="85">
        <v>589</v>
      </c>
      <c r="AG64" s="85">
        <v>279</v>
      </c>
      <c r="AH64" s="85">
        <v>195</v>
      </c>
      <c r="AI64" s="75">
        <v>2617</v>
      </c>
      <c r="AJ64" s="75">
        <f t="shared" ca="1" si="110"/>
        <v>4237</v>
      </c>
      <c r="AK64" s="75">
        <f t="shared" ca="1" si="110"/>
        <v>3705</v>
      </c>
      <c r="AL64" s="75">
        <f t="shared" ca="1" si="110"/>
        <v>3289</v>
      </c>
      <c r="AM64" s="75">
        <f t="shared" ca="1" si="110"/>
        <v>4873</v>
      </c>
      <c r="AN64" s="75">
        <f t="shared" ca="1" si="110"/>
        <v>4457</v>
      </c>
      <c r="AO64" s="75">
        <f t="shared" ca="1" si="110"/>
        <v>4041</v>
      </c>
      <c r="AP64" s="75">
        <f t="shared" ca="1" si="110"/>
        <v>3625</v>
      </c>
      <c r="AQ64" s="75">
        <f t="shared" ca="1" si="110"/>
        <v>3245</v>
      </c>
      <c r="AR64" s="75">
        <f t="shared" ca="1" si="110"/>
        <v>3028</v>
      </c>
      <c r="AS64" s="75">
        <f t="shared" ca="1" si="110"/>
        <v>2648</v>
      </c>
      <c r="AT64" s="75">
        <f t="shared" ca="1" si="110"/>
        <v>2527</v>
      </c>
      <c r="AU64" s="75">
        <f t="shared" ca="1" si="110"/>
        <v>2142</v>
      </c>
      <c r="AV64" s="75">
        <f t="shared" ca="1" si="110"/>
        <v>1767</v>
      </c>
      <c r="AW64" s="75">
        <f t="shared" ca="1" si="110"/>
        <v>1767</v>
      </c>
      <c r="AX64" s="75">
        <f t="shared" ca="1" si="110"/>
        <v>1767</v>
      </c>
      <c r="AY64" s="75">
        <f t="shared" ca="1" si="54"/>
        <v>1767</v>
      </c>
      <c r="AZ64" s="75">
        <f t="shared" ca="1" si="12"/>
        <v>1767</v>
      </c>
      <c r="BA64" s="75">
        <f t="shared" ca="1" si="12"/>
        <v>1767</v>
      </c>
      <c r="BB64" s="166"/>
      <c r="BC64" s="86">
        <v>518</v>
      </c>
      <c r="BD64" s="86">
        <v>83</v>
      </c>
      <c r="BE64" s="86">
        <v>390</v>
      </c>
      <c r="BF64" s="86">
        <v>390</v>
      </c>
      <c r="BG64" s="86">
        <v>322</v>
      </c>
      <c r="BH64" s="86">
        <v>326</v>
      </c>
      <c r="BI64" s="86">
        <v>380</v>
      </c>
      <c r="BJ64" s="86">
        <v>217</v>
      </c>
      <c r="BK64" s="86">
        <v>380</v>
      </c>
      <c r="BL64" s="86">
        <v>380</v>
      </c>
      <c r="BM64" s="86">
        <v>532</v>
      </c>
      <c r="BN64" s="86">
        <v>416</v>
      </c>
      <c r="BO64" s="86">
        <v>416</v>
      </c>
      <c r="BP64" s="86">
        <v>416</v>
      </c>
      <c r="BQ64" s="86">
        <v>416</v>
      </c>
      <c r="BR64" s="86">
        <v>416</v>
      </c>
      <c r="BS64" s="86">
        <v>380</v>
      </c>
      <c r="BT64" s="86">
        <v>217</v>
      </c>
      <c r="BU64" s="86">
        <v>380</v>
      </c>
      <c r="BV64" s="86">
        <v>121</v>
      </c>
      <c r="BW64" s="86">
        <v>385</v>
      </c>
      <c r="BX64" s="86">
        <v>375</v>
      </c>
      <c r="BY64" s="86">
        <v>0</v>
      </c>
      <c r="BZ64" s="86">
        <v>0</v>
      </c>
      <c r="CA64" s="86">
        <v>0</v>
      </c>
      <c r="CB64" s="86">
        <v>0</v>
      </c>
      <c r="CC64" s="86">
        <v>0</v>
      </c>
      <c r="CD64" s="86">
        <v>0</v>
      </c>
      <c r="CE64" s="86">
        <f t="shared" ca="1" si="28"/>
        <v>101.10263888615165</v>
      </c>
      <c r="CF64" s="87"/>
      <c r="CG64" s="86">
        <v>0</v>
      </c>
      <c r="CH64" s="86">
        <v>0</v>
      </c>
      <c r="CI64" s="86">
        <v>0</v>
      </c>
      <c r="CJ64" s="86">
        <v>0</v>
      </c>
      <c r="CK64" s="86">
        <v>0</v>
      </c>
      <c r="CL64" s="86">
        <v>0</v>
      </c>
      <c r="CM64" s="86">
        <v>0</v>
      </c>
      <c r="CN64" s="86">
        <v>0</v>
      </c>
      <c r="CO64" s="89">
        <v>2000</v>
      </c>
      <c r="CP64" s="89">
        <v>0</v>
      </c>
      <c r="CQ64" s="99">
        <v>0</v>
      </c>
      <c r="CR64" s="99">
        <f ca="1">1000+1000</f>
        <v>2000</v>
      </c>
      <c r="CS64" s="86">
        <v>0</v>
      </c>
      <c r="CT64" s="100">
        <v>0</v>
      </c>
      <c r="CU64" s="100">
        <v>0</v>
      </c>
      <c r="CV64" s="90">
        <v>0</v>
      </c>
      <c r="CW64" s="90">
        <v>0</v>
      </c>
      <c r="CX64" s="90">
        <v>0</v>
      </c>
      <c r="CY64" s="90">
        <v>0</v>
      </c>
      <c r="CZ64" s="90">
        <v>0</v>
      </c>
      <c r="DA64" s="90">
        <v>0</v>
      </c>
      <c r="DB64" s="90">
        <v>0</v>
      </c>
      <c r="DC64" s="90">
        <v>0</v>
      </c>
      <c r="DD64" s="90">
        <v>0</v>
      </c>
      <c r="DE64" s="90">
        <v>0</v>
      </c>
      <c r="DF64" s="90">
        <v>0</v>
      </c>
      <c r="DG64" s="86">
        <v>0</v>
      </c>
      <c r="DI64" s="91">
        <f ca="1">VLOOKUP(A64,'[2]2-Relatório'!$A:$J,9,0)</f>
        <v>10.64</v>
      </c>
      <c r="DJ64" s="92">
        <f t="shared" ca="1" si="89"/>
        <v>2181.2000000000003</v>
      </c>
      <c r="DK64" s="92">
        <f t="shared" ca="1" si="89"/>
        <v>3575.04</v>
      </c>
      <c r="DL64" s="92">
        <f t="shared" ca="1" si="89"/>
        <v>5692.4000000000005</v>
      </c>
      <c r="DM64" s="92">
        <f t="shared" ca="1" si="89"/>
        <v>1457.68</v>
      </c>
      <c r="DN64" s="92">
        <f t="shared" ca="1" si="89"/>
        <v>6266.96</v>
      </c>
      <c r="DO64" s="92">
        <f t="shared" ca="1" si="89"/>
        <v>2968.56</v>
      </c>
      <c r="DP64" s="92">
        <f t="shared" ca="1" si="89"/>
        <v>2074.8000000000002</v>
      </c>
      <c r="DQ64" s="92">
        <f t="shared" ca="1" si="88"/>
        <v>27844.880000000001</v>
      </c>
      <c r="DR64" s="92">
        <f t="shared" ca="1" si="88"/>
        <v>45081.68</v>
      </c>
      <c r="DS64" s="92">
        <f t="shared" ca="1" si="88"/>
        <v>39421.200000000004</v>
      </c>
      <c r="DT64" s="92">
        <f t="shared" ca="1" si="88"/>
        <v>34994.959999999999</v>
      </c>
      <c r="DU64" s="92">
        <f t="shared" ca="1" si="88"/>
        <v>51848.72</v>
      </c>
      <c r="DV64" s="92">
        <f t="shared" ca="1" si="88"/>
        <v>47422.48</v>
      </c>
      <c r="DW64" s="92">
        <f t="shared" ca="1" si="88"/>
        <v>42996.240000000005</v>
      </c>
      <c r="DX64" s="92">
        <f t="shared" ca="1" si="88"/>
        <v>38570</v>
      </c>
      <c r="DY64" s="92">
        <f t="shared" ca="1" si="88"/>
        <v>34526.800000000003</v>
      </c>
      <c r="DZ64" s="92">
        <f t="shared" ca="1" si="75"/>
        <v>32217.920000000002</v>
      </c>
      <c r="EA64" s="92">
        <f t="shared" ca="1" si="75"/>
        <v>28174.720000000001</v>
      </c>
      <c r="EB64" s="92">
        <f t="shared" ca="1" si="75"/>
        <v>26887.280000000002</v>
      </c>
      <c r="EC64" s="92">
        <f t="shared" ca="1" si="75"/>
        <v>22790.880000000001</v>
      </c>
      <c r="ED64" s="92">
        <f t="shared" ca="1" si="75"/>
        <v>18800.88</v>
      </c>
      <c r="EE64" s="92">
        <f t="shared" ca="1" si="75"/>
        <v>18800.88</v>
      </c>
      <c r="EF64" s="92">
        <f t="shared" ca="1" si="75"/>
        <v>18800.88</v>
      </c>
      <c r="EG64" s="92">
        <f t="shared" ca="1" si="73"/>
        <v>18800.88</v>
      </c>
      <c r="EH64" s="92">
        <f t="shared" ca="1" si="73"/>
        <v>18800.88</v>
      </c>
      <c r="EI64" s="92">
        <f t="shared" ca="1" si="73"/>
        <v>18800.88</v>
      </c>
      <c r="EL64" s="93">
        <f t="shared" ca="1" si="111"/>
        <v>4651.6400000000003</v>
      </c>
      <c r="EM64" s="93">
        <f t="shared" ca="1" si="111"/>
        <v>745.34</v>
      </c>
      <c r="EN64" s="92">
        <f t="shared" ca="1" si="113"/>
        <v>4149.6000000000004</v>
      </c>
      <c r="EO64" s="92">
        <f t="shared" ca="1" si="113"/>
        <v>4149.6000000000004</v>
      </c>
      <c r="EP64" s="92">
        <f t="shared" ca="1" si="113"/>
        <v>3426.0800000000004</v>
      </c>
      <c r="EQ64" s="92">
        <f t="shared" ca="1" si="113"/>
        <v>3468.6400000000003</v>
      </c>
      <c r="ER64" s="92">
        <f t="shared" ca="1" si="113"/>
        <v>4043.2000000000003</v>
      </c>
      <c r="ES64" s="92">
        <f t="shared" ca="1" si="113"/>
        <v>2308.88</v>
      </c>
      <c r="ET64" s="92">
        <f t="shared" ca="1" si="113"/>
        <v>4043.2000000000003</v>
      </c>
      <c r="EU64" s="92">
        <f t="shared" ca="1" si="113"/>
        <v>4043.2000000000003</v>
      </c>
      <c r="EV64" s="92">
        <f t="shared" ca="1" si="113"/>
        <v>5660.4800000000005</v>
      </c>
      <c r="EW64" s="92">
        <f t="shared" ca="1" si="113"/>
        <v>4426.24</v>
      </c>
      <c r="EX64" s="92">
        <f t="shared" ca="1" si="113"/>
        <v>4426.24</v>
      </c>
      <c r="EY64" s="92">
        <f t="shared" ca="1" si="113"/>
        <v>4426.24</v>
      </c>
      <c r="EZ64" s="92">
        <f t="shared" ca="1" si="113"/>
        <v>4426.24</v>
      </c>
      <c r="FA64" s="92">
        <f t="shared" ca="1" si="113"/>
        <v>4426.24</v>
      </c>
      <c r="FB64" s="92">
        <f t="shared" ca="1" si="113"/>
        <v>4043.2000000000003</v>
      </c>
      <c r="FC64" s="92">
        <f t="shared" ca="1" si="82"/>
        <v>2308.88</v>
      </c>
      <c r="FD64" s="92">
        <f t="shared" ca="1" si="82"/>
        <v>4043.2000000000003</v>
      </c>
      <c r="FE64" s="92">
        <f t="shared" ca="1" si="82"/>
        <v>1287.44</v>
      </c>
      <c r="FF64" s="92">
        <f t="shared" ca="1" si="82"/>
        <v>4096.4000000000005</v>
      </c>
      <c r="FG64" s="92">
        <f t="shared" ca="1" si="82"/>
        <v>3990</v>
      </c>
      <c r="FH64" s="92">
        <f t="shared" ca="1" si="82"/>
        <v>0</v>
      </c>
      <c r="FI64" s="92">
        <f t="shared" ca="1" si="82"/>
        <v>0</v>
      </c>
      <c r="FJ64" s="92">
        <f t="shared" ca="1" si="117"/>
        <v>0</v>
      </c>
      <c r="FK64" s="92">
        <f t="shared" ca="1" si="117"/>
        <v>0</v>
      </c>
      <c r="FL64" s="92">
        <f t="shared" ca="1" si="117"/>
        <v>0</v>
      </c>
      <c r="FM64" s="92">
        <f t="shared" ca="1" si="117"/>
        <v>0</v>
      </c>
      <c r="FN64" s="94">
        <f t="shared" ca="1" si="118"/>
        <v>4000</v>
      </c>
      <c r="FO64" s="94">
        <f ca="1">SUM(CV64:DA64)</f>
        <v>0</v>
      </c>
      <c r="FP64" s="95">
        <f t="shared" ca="1" si="112"/>
        <v>30.579150579150578</v>
      </c>
      <c r="FQ64" s="95">
        <f t="shared" ca="1" si="112"/>
        <v>31.807228915662652</v>
      </c>
      <c r="FR64" s="95">
        <f t="shared" ca="1" si="96"/>
        <v>15.76923076923077</v>
      </c>
      <c r="FS64" s="95">
        <f t="shared" ca="1" si="96"/>
        <v>25.846153846153843</v>
      </c>
      <c r="FT64" s="95">
        <f t="shared" ca="1" si="96"/>
        <v>49.844720496894411</v>
      </c>
      <c r="FU64" s="95">
        <f t="shared" ca="1" si="96"/>
        <v>12.607361963190183</v>
      </c>
      <c r="FV64" s="95">
        <f t="shared" ca="1" si="96"/>
        <v>46.499999999999993</v>
      </c>
      <c r="FW64" s="95">
        <f t="shared" ca="1" si="96"/>
        <v>38.571428571428569</v>
      </c>
      <c r="FX64" s="95">
        <f t="shared" ca="1" si="96"/>
        <v>15.394736842105264</v>
      </c>
      <c r="FY64" s="95">
        <f t="shared" ca="1" si="96"/>
        <v>206.60526315789474</v>
      </c>
      <c r="FZ64" s="95">
        <f t="shared" ca="1" si="96"/>
        <v>238.92857142857142</v>
      </c>
      <c r="GA64" s="95">
        <f t="shared" ca="1" si="96"/>
        <v>267.18750000000006</v>
      </c>
      <c r="GB64" s="95">
        <f t="shared" ca="1" si="96"/>
        <v>237.1875</v>
      </c>
      <c r="GC64" s="95">
        <f t="shared" ca="1" si="96"/>
        <v>351.41826923076923</v>
      </c>
      <c r="GD64" s="95">
        <f t="shared" ca="1" si="96"/>
        <v>321.41826923076923</v>
      </c>
      <c r="GE64" s="95">
        <f t="shared" ca="1" si="96"/>
        <v>291.41826923076928</v>
      </c>
      <c r="GF64" s="95">
        <f t="shared" ca="1" si="96"/>
        <v>286.18421052631578</v>
      </c>
      <c r="GG64" s="95">
        <f t="shared" ca="1" si="90"/>
        <v>448.61751152073737</v>
      </c>
      <c r="GH64" s="95">
        <f t="shared" ca="1" si="90"/>
        <v>239.05263157894737</v>
      </c>
      <c r="GI64" s="95">
        <f t="shared" ca="1" si="97"/>
        <v>656.52892561983469</v>
      </c>
      <c r="GJ64" s="95">
        <f t="shared" ca="1" si="97"/>
        <v>196.90909090909091</v>
      </c>
      <c r="GK64" s="95">
        <f t="shared" ca="1" si="97"/>
        <v>171.36</v>
      </c>
      <c r="GL64" s="95">
        <f t="shared" ca="1" si="97"/>
        <v>0</v>
      </c>
      <c r="GM64" s="95">
        <f t="shared" ca="1" si="97"/>
        <v>0</v>
      </c>
      <c r="GN64" s="95">
        <f t="shared" ca="1" si="97"/>
        <v>0</v>
      </c>
      <c r="GO64" s="95">
        <f t="shared" ca="1" si="97"/>
        <v>0</v>
      </c>
      <c r="GP64" s="95">
        <f t="shared" ca="1" si="97"/>
        <v>0</v>
      </c>
      <c r="GQ64" s="95">
        <f t="shared" ca="1" si="97"/>
        <v>0</v>
      </c>
      <c r="GS64" s="7">
        <v>15.330045820000002</v>
      </c>
      <c r="GT64" s="96">
        <f t="shared" ca="1" si="120"/>
        <v>4802.9953356809201</v>
      </c>
      <c r="GU64" s="96">
        <f t="shared" ca="1" si="120"/>
        <v>4862.6598740123609</v>
      </c>
      <c r="GV64" s="96">
        <f t="shared" ca="1" si="120"/>
        <v>5668.1311414868014</v>
      </c>
      <c r="GW64" s="96">
        <f t="shared" ca="1" si="120"/>
        <v>3236.8012044806205</v>
      </c>
      <c r="GX64" s="96">
        <f t="shared" ca="1" si="120"/>
        <v>5668.1311414868014</v>
      </c>
      <c r="GY64" s="96">
        <f t="shared" ca="1" si="120"/>
        <v>5668.1311414868014</v>
      </c>
      <c r="GZ64" s="96">
        <f t="shared" ca="1" si="120"/>
        <v>7935.3835980815211</v>
      </c>
      <c r="HA64" s="96">
        <f t="shared" ca="1" si="120"/>
        <v>6205.1119864697612</v>
      </c>
      <c r="HB64" s="96">
        <f t="shared" ca="1" si="120"/>
        <v>6205.1119864697612</v>
      </c>
      <c r="HC64" s="96">
        <f t="shared" ca="1" si="120"/>
        <v>6205.1119864697612</v>
      </c>
      <c r="HD64" s="96">
        <f t="shared" ca="1" si="121"/>
        <v>6205.1119864697612</v>
      </c>
      <c r="HE64" s="96">
        <f t="shared" ca="1" si="121"/>
        <v>6205.1119864697612</v>
      </c>
      <c r="HF64" s="96">
        <f t="shared" ca="1" si="120"/>
        <v>5668.1311414868014</v>
      </c>
      <c r="HG64" s="96">
        <f t="shared" ca="1" si="120"/>
        <v>3236.8012044806205</v>
      </c>
      <c r="HH64" s="96">
        <f t="shared" ca="1" si="120"/>
        <v>5668.1311414868014</v>
      </c>
      <c r="HI64" s="96">
        <f t="shared" ca="1" si="121"/>
        <v>1804.8522845260604</v>
      </c>
      <c r="HJ64" s="96">
        <f t="shared" ca="1" si="121"/>
        <v>5742.711814401101</v>
      </c>
      <c r="HK64" s="96">
        <f t="shared" ca="1" si="121"/>
        <v>5593.5504685725009</v>
      </c>
      <c r="HL64" s="96">
        <f t="shared" ca="1" si="121"/>
        <v>0</v>
      </c>
      <c r="HM64" s="96">
        <f t="shared" ca="1" si="121"/>
        <v>0</v>
      </c>
      <c r="HN64" s="96">
        <f t="shared" ca="1" si="121"/>
        <v>0</v>
      </c>
      <c r="HO64" s="96">
        <f t="shared" ca="1" si="121"/>
        <v>0</v>
      </c>
      <c r="HP64" s="96">
        <f t="shared" ca="1" si="121"/>
        <v>0</v>
      </c>
      <c r="HQ64" s="96">
        <f t="shared" ca="1" si="121"/>
        <v>0</v>
      </c>
      <c r="HS64" s="97">
        <f t="shared" ca="1" si="21"/>
        <v>8201.5745137000013</v>
      </c>
    </row>
    <row r="65" spans="1:227" ht="17.25" thickTop="1" thickBot="1" x14ac:dyDescent="0.3">
      <c r="A65" s="16" t="s">
        <v>49</v>
      </c>
      <c r="B65" s="73" t="s">
        <v>438</v>
      </c>
      <c r="C65" s="73" t="s">
        <v>438</v>
      </c>
      <c r="D65" s="74" t="s">
        <v>1</v>
      </c>
      <c r="E65" s="74" t="s">
        <v>341</v>
      </c>
      <c r="F65" s="73"/>
      <c r="G65" s="75">
        <f t="shared" ca="1" si="115"/>
        <v>152</v>
      </c>
      <c r="H65" s="75">
        <v>66</v>
      </c>
      <c r="I65" s="75">
        <f t="shared" ca="1" si="102"/>
        <v>218</v>
      </c>
      <c r="J65" s="76">
        <f ca="1">[1]Parameters!$C$3+G65</f>
        <v>45983</v>
      </c>
      <c r="K65" s="77">
        <f t="shared" ca="1" si="103"/>
        <v>11</v>
      </c>
      <c r="L65" s="77">
        <f t="shared" ca="1" si="104"/>
        <v>2025</v>
      </c>
      <c r="M65" s="76">
        <f ca="1">[1]Parameters!$C$3+I65</f>
        <v>46049</v>
      </c>
      <c r="N65" s="77">
        <f t="shared" ca="1" si="25"/>
        <v>1</v>
      </c>
      <c r="O65" s="77">
        <f t="shared" ca="1" si="26"/>
        <v>2026</v>
      </c>
      <c r="P65" s="78">
        <v>0.9</v>
      </c>
      <c r="Q65" s="79" t="str">
        <f ca="1">VLOOKUP(A65,[1]ABC!N:T,7,0)</f>
        <v>C</v>
      </c>
      <c r="R65" s="80">
        <f t="shared" ca="1" si="99"/>
        <v>25.595062867887858</v>
      </c>
      <c r="S65" s="81">
        <v>8.7799999999999994</v>
      </c>
      <c r="T65" s="82">
        <f t="shared" ca="1" si="10"/>
        <v>500</v>
      </c>
      <c r="U65" s="83">
        <f t="shared" ca="1" si="116"/>
        <v>500</v>
      </c>
      <c r="V65" s="80">
        <v>1000</v>
      </c>
      <c r="W65" s="80">
        <f t="shared" ca="1" si="27"/>
        <v>1000</v>
      </c>
      <c r="X65" s="80"/>
      <c r="Y65" s="84">
        <v>1.37</v>
      </c>
      <c r="Z65" s="85">
        <v>220</v>
      </c>
      <c r="AA65" s="85">
        <v>452</v>
      </c>
      <c r="AB65" s="85">
        <v>430</v>
      </c>
      <c r="AC65" s="85">
        <v>302</v>
      </c>
      <c r="AD65" s="85">
        <v>748</v>
      </c>
      <c r="AE65" s="85">
        <v>155</v>
      </c>
      <c r="AF65" s="85">
        <v>464</v>
      </c>
      <c r="AG65" s="85">
        <v>176</v>
      </c>
      <c r="AH65" s="85">
        <v>320</v>
      </c>
      <c r="AI65" s="75">
        <v>2506</v>
      </c>
      <c r="AJ65" s="75">
        <f t="shared" ca="1" si="110"/>
        <v>3855</v>
      </c>
      <c r="AK65" s="75">
        <f t="shared" ca="1" si="110"/>
        <v>3515.395</v>
      </c>
      <c r="AL65" s="75">
        <f t="shared" ca="1" si="110"/>
        <v>3175.395</v>
      </c>
      <c r="AM65" s="75">
        <f t="shared" ca="1" si="110"/>
        <v>5835.3950000000004</v>
      </c>
      <c r="AN65" s="75">
        <f t="shared" ca="1" si="110"/>
        <v>5495.3950000000004</v>
      </c>
      <c r="AO65" s="75">
        <f t="shared" ca="1" si="110"/>
        <v>5155.3950000000004</v>
      </c>
      <c r="AP65" s="75">
        <f t="shared" ca="1" si="110"/>
        <v>4815.3950000000004</v>
      </c>
      <c r="AQ65" s="75">
        <f t="shared" ca="1" si="110"/>
        <v>4475.3950000000004</v>
      </c>
      <c r="AR65" s="75">
        <f t="shared" ca="1" si="110"/>
        <v>4135.3950000000004</v>
      </c>
      <c r="AS65" s="75">
        <f t="shared" ca="1" si="110"/>
        <v>3375.8950000000004</v>
      </c>
      <c r="AT65" s="75">
        <f t="shared" ca="1" si="110"/>
        <v>2855.8950000000004</v>
      </c>
      <c r="AU65" s="75">
        <f t="shared" ca="1" si="110"/>
        <v>2455.8950000000004</v>
      </c>
      <c r="AV65" s="75">
        <f t="shared" ca="1" si="110"/>
        <v>2115.8950000000004</v>
      </c>
      <c r="AW65" s="75">
        <f t="shared" ca="1" si="110"/>
        <v>2115.8950000000004</v>
      </c>
      <c r="AX65" s="75">
        <f t="shared" ca="1" si="110"/>
        <v>2115.8950000000004</v>
      </c>
      <c r="AY65" s="75">
        <f t="shared" ca="1" si="54"/>
        <v>2115.8950000000004</v>
      </c>
      <c r="AZ65" s="75">
        <f t="shared" ca="1" si="12"/>
        <v>2115.8950000000004</v>
      </c>
      <c r="BA65" s="75">
        <f t="shared" ca="1" si="12"/>
        <v>2115.8950000000004</v>
      </c>
      <c r="BB65" s="166"/>
      <c r="BC65" s="86">
        <v>220</v>
      </c>
      <c r="BD65" s="86">
        <v>447</v>
      </c>
      <c r="BE65" s="86">
        <v>500</v>
      </c>
      <c r="BF65" s="86">
        <v>500</v>
      </c>
      <c r="BG65" s="86">
        <v>159</v>
      </c>
      <c r="BH65" s="86">
        <v>651</v>
      </c>
      <c r="BI65" s="86">
        <v>846</v>
      </c>
      <c r="BJ65" s="86">
        <v>650</v>
      </c>
      <c r="BK65" s="86">
        <v>759.5</v>
      </c>
      <c r="BL65" s="86">
        <v>651</v>
      </c>
      <c r="BM65" s="86">
        <v>339.60499999999996</v>
      </c>
      <c r="BN65" s="86">
        <v>340</v>
      </c>
      <c r="BO65" s="86">
        <v>340</v>
      </c>
      <c r="BP65" s="86">
        <v>340</v>
      </c>
      <c r="BQ65" s="86">
        <v>340</v>
      </c>
      <c r="BR65" s="86">
        <v>340</v>
      </c>
      <c r="BS65" s="86">
        <v>340</v>
      </c>
      <c r="BT65" s="86">
        <v>340</v>
      </c>
      <c r="BU65" s="86">
        <v>759.5</v>
      </c>
      <c r="BV65" s="86">
        <v>520</v>
      </c>
      <c r="BW65" s="86">
        <v>400</v>
      </c>
      <c r="BX65" s="86">
        <v>340</v>
      </c>
      <c r="BY65" s="86">
        <v>0</v>
      </c>
      <c r="BZ65" s="86">
        <v>0</v>
      </c>
      <c r="CA65" s="86">
        <v>0</v>
      </c>
      <c r="CB65" s="86">
        <v>0</v>
      </c>
      <c r="CC65" s="86">
        <v>0</v>
      </c>
      <c r="CD65" s="86">
        <v>0</v>
      </c>
      <c r="CE65" s="86">
        <f t="shared" ca="1" si="28"/>
        <v>140.32961580662828</v>
      </c>
      <c r="CF65" s="87"/>
      <c r="CG65" s="86">
        <v>0</v>
      </c>
      <c r="CH65" s="86">
        <v>0</v>
      </c>
      <c r="CI65" s="86">
        <v>0</v>
      </c>
      <c r="CJ65" s="86">
        <v>0</v>
      </c>
      <c r="CK65" s="86">
        <v>0</v>
      </c>
      <c r="CL65" s="86">
        <v>0</v>
      </c>
      <c r="CM65" s="86">
        <v>0</v>
      </c>
      <c r="CN65" s="86">
        <v>0</v>
      </c>
      <c r="CO65" s="89">
        <v>2000</v>
      </c>
      <c r="CP65" s="89">
        <v>0</v>
      </c>
      <c r="CQ65" s="99">
        <v>0</v>
      </c>
      <c r="CR65" s="99">
        <f ca="1">2000+1000</f>
        <v>3000</v>
      </c>
      <c r="CS65" s="86">
        <v>0</v>
      </c>
      <c r="CT65" s="100">
        <v>0</v>
      </c>
      <c r="CU65" s="100">
        <v>0</v>
      </c>
      <c r="CV65" s="90">
        <v>0</v>
      </c>
      <c r="CW65" s="90">
        <v>0</v>
      </c>
      <c r="CX65" s="90">
        <v>0</v>
      </c>
      <c r="CY65" s="90">
        <v>0</v>
      </c>
      <c r="CZ65" s="90">
        <v>0</v>
      </c>
      <c r="DA65" s="90">
        <v>0</v>
      </c>
      <c r="DB65" s="90">
        <v>0</v>
      </c>
      <c r="DC65" s="90">
        <v>0</v>
      </c>
      <c r="DD65" s="90">
        <v>0</v>
      </c>
      <c r="DE65" s="90">
        <v>0</v>
      </c>
      <c r="DF65" s="90">
        <v>0</v>
      </c>
      <c r="DG65" s="86">
        <v>0</v>
      </c>
      <c r="DI65" s="91">
        <f ca="1">VLOOKUP(A65,'[2]2-Relatório'!$A:$J,9,0)</f>
        <v>10.029999999999999</v>
      </c>
      <c r="DJ65" s="92">
        <f t="shared" ca="1" si="89"/>
        <v>4312.8999999999996</v>
      </c>
      <c r="DK65" s="92">
        <f t="shared" ca="1" si="89"/>
        <v>3029.06</v>
      </c>
      <c r="DL65" s="92">
        <f t="shared" ca="1" si="89"/>
        <v>7502.44</v>
      </c>
      <c r="DM65" s="92">
        <f t="shared" ca="1" si="89"/>
        <v>1554.6499999999999</v>
      </c>
      <c r="DN65" s="92">
        <f t="shared" ca="1" si="89"/>
        <v>4653.92</v>
      </c>
      <c r="DO65" s="92">
        <f t="shared" ca="1" si="89"/>
        <v>1765.28</v>
      </c>
      <c r="DP65" s="92">
        <f t="shared" ca="1" si="89"/>
        <v>3209.6</v>
      </c>
      <c r="DQ65" s="92">
        <f t="shared" ca="1" si="88"/>
        <v>25135.179999999997</v>
      </c>
      <c r="DR65" s="92">
        <f t="shared" ca="1" si="88"/>
        <v>38665.649999999994</v>
      </c>
      <c r="DS65" s="92">
        <f t="shared" ca="1" si="88"/>
        <v>35259.411849999997</v>
      </c>
      <c r="DT65" s="92">
        <f t="shared" ca="1" si="88"/>
        <v>31849.211849999996</v>
      </c>
      <c r="DU65" s="92">
        <f t="shared" ca="1" si="88"/>
        <v>58529.011850000003</v>
      </c>
      <c r="DV65" s="92">
        <f t="shared" ca="1" si="88"/>
        <v>55118.811849999998</v>
      </c>
      <c r="DW65" s="92">
        <f t="shared" ca="1" si="88"/>
        <v>51708.611850000001</v>
      </c>
      <c r="DX65" s="92">
        <f t="shared" ca="1" si="88"/>
        <v>48298.411850000004</v>
      </c>
      <c r="DY65" s="92">
        <f t="shared" ca="1" si="88"/>
        <v>44888.21185</v>
      </c>
      <c r="DZ65" s="92">
        <f t="shared" ca="1" si="75"/>
        <v>41478.011850000003</v>
      </c>
      <c r="EA65" s="92">
        <f t="shared" ca="1" si="75"/>
        <v>33860.226849999999</v>
      </c>
      <c r="EB65" s="92">
        <f t="shared" ca="1" si="75"/>
        <v>28644.626850000004</v>
      </c>
      <c r="EC65" s="92">
        <f t="shared" ca="1" si="75"/>
        <v>24632.626850000004</v>
      </c>
      <c r="ED65" s="92">
        <f t="shared" ca="1" si="75"/>
        <v>21222.426850000003</v>
      </c>
      <c r="EE65" s="92">
        <f t="shared" ca="1" si="75"/>
        <v>21222.426850000003</v>
      </c>
      <c r="EF65" s="92">
        <f t="shared" ca="1" si="75"/>
        <v>21222.426850000003</v>
      </c>
      <c r="EG65" s="92">
        <f t="shared" ca="1" si="73"/>
        <v>21222.426850000003</v>
      </c>
      <c r="EH65" s="92">
        <f t="shared" ca="1" si="73"/>
        <v>21222.426850000003</v>
      </c>
      <c r="EI65" s="92">
        <f t="shared" ca="1" si="73"/>
        <v>21222.426850000003</v>
      </c>
      <c r="EL65" s="93">
        <f t="shared" ca="1" si="111"/>
        <v>1931.6</v>
      </c>
      <c r="EM65" s="93">
        <f t="shared" ca="1" si="111"/>
        <v>3924.66</v>
      </c>
      <c r="EN65" s="92">
        <f t="shared" ca="1" si="113"/>
        <v>5015</v>
      </c>
      <c r="EO65" s="92">
        <f t="shared" ca="1" si="113"/>
        <v>5015</v>
      </c>
      <c r="EP65" s="92">
        <f t="shared" ca="1" si="113"/>
        <v>1594.77</v>
      </c>
      <c r="EQ65" s="92">
        <f t="shared" ca="1" si="113"/>
        <v>6529.53</v>
      </c>
      <c r="ER65" s="92">
        <f t="shared" ca="1" si="113"/>
        <v>8485.3799999999992</v>
      </c>
      <c r="ES65" s="92">
        <f t="shared" ca="1" si="113"/>
        <v>6519.5</v>
      </c>
      <c r="ET65" s="92">
        <f t="shared" ca="1" si="113"/>
        <v>7617.7849999999999</v>
      </c>
      <c r="EU65" s="92">
        <f t="shared" ca="1" si="113"/>
        <v>6529.53</v>
      </c>
      <c r="EV65" s="92">
        <f t="shared" ca="1" si="113"/>
        <v>3406.2381499999992</v>
      </c>
      <c r="EW65" s="92">
        <f t="shared" ca="1" si="113"/>
        <v>3410.2</v>
      </c>
      <c r="EX65" s="92">
        <f t="shared" ca="1" si="113"/>
        <v>3410.2</v>
      </c>
      <c r="EY65" s="92">
        <f t="shared" ca="1" si="113"/>
        <v>3410.2</v>
      </c>
      <c r="EZ65" s="92">
        <f t="shared" ca="1" si="113"/>
        <v>3410.2</v>
      </c>
      <c r="FA65" s="92">
        <f t="shared" ca="1" si="113"/>
        <v>3410.2</v>
      </c>
      <c r="FB65" s="92">
        <f t="shared" ca="1" si="113"/>
        <v>3410.2</v>
      </c>
      <c r="FC65" s="92">
        <f t="shared" ca="1" si="82"/>
        <v>3410.2</v>
      </c>
      <c r="FD65" s="92">
        <f t="shared" ca="1" si="82"/>
        <v>7617.7849999999999</v>
      </c>
      <c r="FE65" s="92">
        <f t="shared" ca="1" si="82"/>
        <v>5215.5999999999995</v>
      </c>
      <c r="FF65" s="92">
        <f t="shared" ca="1" si="82"/>
        <v>4011.9999999999995</v>
      </c>
      <c r="FG65" s="92">
        <f t="shared" ca="1" si="82"/>
        <v>3410.2</v>
      </c>
      <c r="FH65" s="92">
        <f t="shared" ca="1" si="82"/>
        <v>0</v>
      </c>
      <c r="FI65" s="92">
        <f t="shared" ca="1" si="82"/>
        <v>0</v>
      </c>
      <c r="FJ65" s="92">
        <f t="shared" ca="1" si="117"/>
        <v>0</v>
      </c>
      <c r="FK65" s="92">
        <f t="shared" ca="1" si="117"/>
        <v>0</v>
      </c>
      <c r="FL65" s="92">
        <f t="shared" ca="1" si="117"/>
        <v>0</v>
      </c>
      <c r="FM65" s="92">
        <f t="shared" ca="1" si="117"/>
        <v>0</v>
      </c>
      <c r="FN65" s="94">
        <f t="shared" ca="1" si="118"/>
        <v>5000</v>
      </c>
      <c r="FO65" s="94">
        <f t="shared" ca="1" si="119"/>
        <v>0</v>
      </c>
      <c r="FP65" s="95">
        <f t="shared" ca="1" si="112"/>
        <v>30</v>
      </c>
      <c r="FQ65" s="95">
        <f t="shared" ca="1" si="112"/>
        <v>30.335570469798657</v>
      </c>
      <c r="FR65" s="95">
        <f t="shared" ca="1" si="96"/>
        <v>25.799999999999997</v>
      </c>
      <c r="FS65" s="95">
        <f t="shared" ca="1" si="96"/>
        <v>18.12</v>
      </c>
      <c r="FT65" s="95">
        <f t="shared" ca="1" si="96"/>
        <v>141.1320754716981</v>
      </c>
      <c r="FU65" s="95">
        <f t="shared" ca="1" si="96"/>
        <v>7.1428571428571423</v>
      </c>
      <c r="FV65" s="95">
        <f t="shared" ca="1" si="96"/>
        <v>16.453900709219859</v>
      </c>
      <c r="FW65" s="95">
        <f t="shared" ca="1" si="96"/>
        <v>8.1230769230769226</v>
      </c>
      <c r="FX65" s="95">
        <f t="shared" ca="1" si="96"/>
        <v>12.639894667544437</v>
      </c>
      <c r="FY65" s="95">
        <f t="shared" ca="1" si="96"/>
        <v>115.48387096774192</v>
      </c>
      <c r="FZ65" s="95">
        <f t="shared" ca="1" si="96"/>
        <v>340.54268930080536</v>
      </c>
      <c r="GA65" s="95">
        <f t="shared" ca="1" si="96"/>
        <v>310.18191176470589</v>
      </c>
      <c r="GB65" s="95">
        <f t="shared" ca="1" si="96"/>
        <v>280.18191176470589</v>
      </c>
      <c r="GC65" s="95">
        <f t="shared" ca="1" si="96"/>
        <v>514.8877941176471</v>
      </c>
      <c r="GD65" s="95">
        <f t="shared" ca="1" si="96"/>
        <v>484.88779411764705</v>
      </c>
      <c r="GE65" s="95">
        <f t="shared" ca="1" si="96"/>
        <v>454.88779411764705</v>
      </c>
      <c r="GF65" s="95">
        <f t="shared" ca="1" si="96"/>
        <v>424.8877941176471</v>
      </c>
      <c r="GG65" s="95">
        <f t="shared" ca="1" si="90"/>
        <v>394.88779411764705</v>
      </c>
      <c r="GH65" s="95">
        <f t="shared" ca="1" si="90"/>
        <v>163.34674127715604</v>
      </c>
      <c r="GI65" s="95">
        <f t="shared" ca="1" si="97"/>
        <v>194.76317307692307</v>
      </c>
      <c r="GJ65" s="95">
        <f t="shared" ca="1" si="97"/>
        <v>214.19212500000006</v>
      </c>
      <c r="GK65" s="95">
        <f t="shared" ca="1" si="97"/>
        <v>216.69661764705887</v>
      </c>
      <c r="GL65" s="95">
        <f t="shared" ca="1" si="97"/>
        <v>0</v>
      </c>
      <c r="GM65" s="95">
        <f t="shared" ca="1" si="97"/>
        <v>0</v>
      </c>
      <c r="GN65" s="95">
        <f t="shared" ca="1" si="97"/>
        <v>0</v>
      </c>
      <c r="GO65" s="95">
        <f t="shared" ca="1" si="97"/>
        <v>0</v>
      </c>
      <c r="GP65" s="95">
        <f t="shared" ca="1" si="97"/>
        <v>0</v>
      </c>
      <c r="GQ65" s="95">
        <f t="shared" ca="1" si="97"/>
        <v>0</v>
      </c>
      <c r="GS65" s="7">
        <v>16.471696269999999</v>
      </c>
      <c r="GT65" s="96">
        <f t="shared" ca="1" si="120"/>
        <v>2548.28671484289</v>
      </c>
      <c r="GU65" s="96">
        <f t="shared" ca="1" si="120"/>
        <v>10433.551266432209</v>
      </c>
      <c r="GV65" s="96">
        <f t="shared" ca="1" si="120"/>
        <v>13558.80855822066</v>
      </c>
      <c r="GW65" s="96">
        <f t="shared" ca="1" si="120"/>
        <v>10417.524305961499</v>
      </c>
      <c r="GX65" s="96">
        <f t="shared" ca="1" si="120"/>
        <v>12172.476477504244</v>
      </c>
      <c r="GY65" s="96">
        <f t="shared" ca="1" si="120"/>
        <v>10433.551266432209</v>
      </c>
      <c r="GZ65" s="96">
        <f t="shared" ca="1" si="120"/>
        <v>5442.8359106554681</v>
      </c>
      <c r="HA65" s="96">
        <f t="shared" ca="1" si="120"/>
        <v>5449.1665600413999</v>
      </c>
      <c r="HB65" s="96">
        <f t="shared" ca="1" si="120"/>
        <v>5449.1665600413999</v>
      </c>
      <c r="HC65" s="96">
        <f t="shared" ca="1" si="120"/>
        <v>5449.1665600413999</v>
      </c>
      <c r="HD65" s="96">
        <f t="shared" ca="1" si="121"/>
        <v>5449.1665600413999</v>
      </c>
      <c r="HE65" s="96">
        <f t="shared" ca="1" si="121"/>
        <v>5449.1665600413999</v>
      </c>
      <c r="HF65" s="96">
        <f t="shared" ca="1" si="120"/>
        <v>5449.1665600413999</v>
      </c>
      <c r="HG65" s="96">
        <f t="shared" ca="1" si="120"/>
        <v>5449.1665600413999</v>
      </c>
      <c r="HH65" s="96">
        <f t="shared" ca="1" si="120"/>
        <v>12172.476477504244</v>
      </c>
      <c r="HI65" s="96">
        <f t="shared" ca="1" si="121"/>
        <v>8334.0194447691993</v>
      </c>
      <c r="HJ65" s="96">
        <f t="shared" ca="1" si="121"/>
        <v>6410.7841882840003</v>
      </c>
      <c r="HK65" s="96">
        <f t="shared" ca="1" si="121"/>
        <v>5449.1665600413999</v>
      </c>
      <c r="HL65" s="96">
        <f t="shared" ca="1" si="121"/>
        <v>0</v>
      </c>
      <c r="HM65" s="96">
        <f t="shared" ca="1" si="121"/>
        <v>0</v>
      </c>
      <c r="HN65" s="96">
        <f t="shared" ca="1" si="121"/>
        <v>0</v>
      </c>
      <c r="HO65" s="96">
        <f t="shared" ca="1" si="121"/>
        <v>0</v>
      </c>
      <c r="HP65" s="96">
        <f t="shared" ca="1" si="121"/>
        <v>0</v>
      </c>
      <c r="HQ65" s="96">
        <f t="shared" ca="1" si="121"/>
        <v>0</v>
      </c>
      <c r="HS65" s="97">
        <f t="shared" ca="1" si="21"/>
        <v>12320.828809959999</v>
      </c>
    </row>
    <row r="66" spans="1:227" ht="17.25" thickTop="1" thickBot="1" x14ac:dyDescent="0.3">
      <c r="A66" s="16" t="s">
        <v>43</v>
      </c>
      <c r="B66" s="73" t="s">
        <v>439</v>
      </c>
      <c r="C66" s="73" t="s">
        <v>439</v>
      </c>
      <c r="D66" s="74" t="s">
        <v>1</v>
      </c>
      <c r="E66" s="74" t="s">
        <v>341</v>
      </c>
      <c r="F66" s="73"/>
      <c r="G66" s="75">
        <f t="shared" ca="1" si="115"/>
        <v>152</v>
      </c>
      <c r="H66" s="75">
        <v>66</v>
      </c>
      <c r="I66" s="75">
        <f t="shared" ca="1" si="102"/>
        <v>218</v>
      </c>
      <c r="J66" s="76">
        <f ca="1">[1]Parameters!$C$3+G66</f>
        <v>45983</v>
      </c>
      <c r="K66" s="77">
        <f t="shared" ca="1" si="103"/>
        <v>11</v>
      </c>
      <c r="L66" s="77">
        <f t="shared" ca="1" si="104"/>
        <v>2025</v>
      </c>
      <c r="M66" s="76">
        <f ca="1">[1]Parameters!$C$3+I66</f>
        <v>46049</v>
      </c>
      <c r="N66" s="77">
        <f t="shared" ca="1" si="25"/>
        <v>1</v>
      </c>
      <c r="O66" s="77">
        <f t="shared" ca="1" si="26"/>
        <v>2026</v>
      </c>
      <c r="P66" s="78">
        <v>0.9</v>
      </c>
      <c r="Q66" s="79" t="str">
        <f ca="1">VLOOKUP(A66,[1]ABC!N:T,7,0)</f>
        <v>C</v>
      </c>
      <c r="R66" s="80">
        <f t="shared" ca="1" si="99"/>
        <v>23.773722800618508</v>
      </c>
      <c r="S66" s="81">
        <v>9.25</v>
      </c>
      <c r="T66" s="82">
        <f t="shared" ca="1" si="10"/>
        <v>500</v>
      </c>
      <c r="U66" s="83">
        <f t="shared" ca="1" si="116"/>
        <v>700</v>
      </c>
      <c r="V66" s="80">
        <v>1000</v>
      </c>
      <c r="W66" s="80">
        <f t="shared" ca="1" si="27"/>
        <v>1000</v>
      </c>
      <c r="X66" s="80"/>
      <c r="Y66" s="84">
        <v>1.37</v>
      </c>
      <c r="Z66" s="85">
        <v>577</v>
      </c>
      <c r="AA66" s="85">
        <v>422</v>
      </c>
      <c r="AB66" s="85">
        <v>465</v>
      </c>
      <c r="AC66" s="85">
        <v>465</v>
      </c>
      <c r="AD66" s="85">
        <v>682</v>
      </c>
      <c r="AE66" s="85">
        <v>256</v>
      </c>
      <c r="AF66" s="85">
        <v>872</v>
      </c>
      <c r="AG66" s="85">
        <v>545</v>
      </c>
      <c r="AH66" s="85">
        <v>525</v>
      </c>
      <c r="AI66" s="75">
        <v>1412</v>
      </c>
      <c r="AJ66" s="75">
        <f t="shared" ca="1" si="110"/>
        <v>2652</v>
      </c>
      <c r="AK66" s="75">
        <f t="shared" ca="1" si="110"/>
        <v>1943</v>
      </c>
      <c r="AL66" s="75">
        <f t="shared" ca="1" si="110"/>
        <v>1227</v>
      </c>
      <c r="AM66" s="75">
        <f t="shared" ca="1" si="110"/>
        <v>4511</v>
      </c>
      <c r="AN66" s="75">
        <f t="shared" ca="1" si="110"/>
        <v>3773</v>
      </c>
      <c r="AO66" s="75">
        <f t="shared" ca="1" si="110"/>
        <v>3035</v>
      </c>
      <c r="AP66" s="75">
        <f t="shared" ca="1" si="110"/>
        <v>2319</v>
      </c>
      <c r="AQ66" s="75">
        <f t="shared" ca="1" si="110"/>
        <v>1614</v>
      </c>
      <c r="AR66" s="75">
        <f t="shared" ca="1" si="110"/>
        <v>2302</v>
      </c>
      <c r="AS66" s="75">
        <f t="shared" ca="1" si="110"/>
        <v>1651</v>
      </c>
      <c r="AT66" s="75">
        <f t="shared" ca="1" si="110"/>
        <v>1339</v>
      </c>
      <c r="AU66" s="75">
        <f t="shared" ca="1" si="110"/>
        <v>689</v>
      </c>
      <c r="AV66" s="75">
        <f t="shared" ca="1" si="110"/>
        <v>69</v>
      </c>
      <c r="AW66" s="75">
        <f t="shared" ca="1" si="110"/>
        <v>69</v>
      </c>
      <c r="AX66" s="75">
        <f t="shared" ca="1" si="110"/>
        <v>69</v>
      </c>
      <c r="AY66" s="75">
        <f t="shared" ca="1" si="54"/>
        <v>69</v>
      </c>
      <c r="AZ66" s="75">
        <f t="shared" ca="1" si="12"/>
        <v>69</v>
      </c>
      <c r="BA66" s="75">
        <f t="shared" ca="1" si="12"/>
        <v>69</v>
      </c>
      <c r="BB66" s="166"/>
      <c r="BC66" s="86">
        <v>577</v>
      </c>
      <c r="BD66" s="86">
        <v>597</v>
      </c>
      <c r="BE66" s="86">
        <v>450</v>
      </c>
      <c r="BF66" s="86">
        <v>470</v>
      </c>
      <c r="BG66" s="86">
        <v>271</v>
      </c>
      <c r="BH66" s="86">
        <v>697</v>
      </c>
      <c r="BI66" s="86">
        <v>705</v>
      </c>
      <c r="BJ66" s="86">
        <v>586</v>
      </c>
      <c r="BK66" s="86">
        <v>651</v>
      </c>
      <c r="BL66" s="86">
        <v>760</v>
      </c>
      <c r="BM66" s="86">
        <v>709</v>
      </c>
      <c r="BN66" s="86">
        <v>716</v>
      </c>
      <c r="BO66" s="86">
        <v>716</v>
      </c>
      <c r="BP66" s="86">
        <v>738</v>
      </c>
      <c r="BQ66" s="86">
        <v>738</v>
      </c>
      <c r="BR66" s="86">
        <v>716</v>
      </c>
      <c r="BS66" s="86">
        <v>705</v>
      </c>
      <c r="BT66" s="86">
        <v>312</v>
      </c>
      <c r="BU66" s="86">
        <v>651</v>
      </c>
      <c r="BV66" s="86">
        <v>312</v>
      </c>
      <c r="BW66" s="86">
        <v>650</v>
      </c>
      <c r="BX66" s="86">
        <v>620</v>
      </c>
      <c r="BY66" s="86">
        <v>0</v>
      </c>
      <c r="BZ66" s="86">
        <v>0</v>
      </c>
      <c r="CA66" s="86">
        <v>0</v>
      </c>
      <c r="CB66" s="86">
        <v>0</v>
      </c>
      <c r="CC66" s="86">
        <v>0</v>
      </c>
      <c r="CD66" s="86">
        <v>0</v>
      </c>
      <c r="CE66" s="86">
        <f t="shared" ca="1" si="28"/>
        <v>151.56690153534731</v>
      </c>
      <c r="CF66" s="87"/>
      <c r="CG66" s="86">
        <v>0</v>
      </c>
      <c r="CH66" s="86">
        <v>0</v>
      </c>
      <c r="CI66" s="86">
        <v>0</v>
      </c>
      <c r="CJ66" s="86">
        <v>0</v>
      </c>
      <c r="CK66" s="86">
        <v>0</v>
      </c>
      <c r="CL66" s="86">
        <v>0</v>
      </c>
      <c r="CM66" s="86">
        <v>0</v>
      </c>
      <c r="CN66" s="86">
        <v>0</v>
      </c>
      <c r="CO66" s="89">
        <v>2000</v>
      </c>
      <c r="CP66" s="89">
        <v>0</v>
      </c>
      <c r="CQ66" s="99">
        <v>0</v>
      </c>
      <c r="CR66" s="99">
        <f ca="1">2000+2000</f>
        <v>4000</v>
      </c>
      <c r="CS66" s="86">
        <v>0</v>
      </c>
      <c r="CT66" s="100">
        <v>0</v>
      </c>
      <c r="CU66" s="100">
        <v>0</v>
      </c>
      <c r="CV66" s="90">
        <v>0</v>
      </c>
      <c r="CW66" s="90">
        <v>1000</v>
      </c>
      <c r="CX66" s="90">
        <v>0</v>
      </c>
      <c r="CY66" s="90">
        <v>0</v>
      </c>
      <c r="CZ66" s="90">
        <v>0</v>
      </c>
      <c r="DA66" s="90">
        <v>0</v>
      </c>
      <c r="DB66" s="90">
        <v>0</v>
      </c>
      <c r="DC66" s="90">
        <v>0</v>
      </c>
      <c r="DD66" s="90">
        <v>0</v>
      </c>
      <c r="DE66" s="90">
        <v>0</v>
      </c>
      <c r="DF66" s="90">
        <v>0</v>
      </c>
      <c r="DG66" s="86">
        <v>0</v>
      </c>
      <c r="DI66" s="91">
        <f ca="1">VLOOKUP(A66,'[2]2-Relatório'!$A:$J,9,0)</f>
        <v>10.06</v>
      </c>
      <c r="DJ66" s="92">
        <f t="shared" ca="1" si="89"/>
        <v>4677.9000000000005</v>
      </c>
      <c r="DK66" s="92">
        <f t="shared" ca="1" si="89"/>
        <v>4677.9000000000005</v>
      </c>
      <c r="DL66" s="92">
        <f t="shared" ca="1" si="89"/>
        <v>6860.92</v>
      </c>
      <c r="DM66" s="92">
        <f t="shared" ca="1" si="89"/>
        <v>2575.36</v>
      </c>
      <c r="DN66" s="92">
        <f t="shared" ca="1" si="89"/>
        <v>8772.32</v>
      </c>
      <c r="DO66" s="92">
        <f t="shared" ca="1" si="89"/>
        <v>5482.7</v>
      </c>
      <c r="DP66" s="92">
        <f t="shared" ca="1" si="89"/>
        <v>5281.5</v>
      </c>
      <c r="DQ66" s="92">
        <f t="shared" ca="1" si="88"/>
        <v>14204.720000000001</v>
      </c>
      <c r="DR66" s="92">
        <f t="shared" ca="1" si="88"/>
        <v>26679.120000000003</v>
      </c>
      <c r="DS66" s="92">
        <f t="shared" ca="1" si="88"/>
        <v>19546.580000000002</v>
      </c>
      <c r="DT66" s="92">
        <f t="shared" ca="1" si="88"/>
        <v>12343.62</v>
      </c>
      <c r="DU66" s="92">
        <f t="shared" ca="1" si="88"/>
        <v>45380.66</v>
      </c>
      <c r="DV66" s="92">
        <f t="shared" ca="1" si="88"/>
        <v>37956.380000000005</v>
      </c>
      <c r="DW66" s="92">
        <f t="shared" ca="1" si="88"/>
        <v>30532.100000000002</v>
      </c>
      <c r="DX66" s="92">
        <f t="shared" ca="1" si="88"/>
        <v>23329.14</v>
      </c>
      <c r="DY66" s="92">
        <f t="shared" ca="1" si="88"/>
        <v>16236.84</v>
      </c>
      <c r="DZ66" s="92">
        <f t="shared" ca="1" si="75"/>
        <v>23158.120000000003</v>
      </c>
      <c r="EA66" s="92">
        <f t="shared" ca="1" si="75"/>
        <v>16609.060000000001</v>
      </c>
      <c r="EB66" s="92">
        <f t="shared" ca="1" si="75"/>
        <v>13470.34</v>
      </c>
      <c r="EC66" s="92">
        <f t="shared" ca="1" si="75"/>
        <v>6931.34</v>
      </c>
      <c r="ED66" s="92">
        <f t="shared" ca="1" si="75"/>
        <v>694.14</v>
      </c>
      <c r="EE66" s="92">
        <f t="shared" ca="1" si="75"/>
        <v>694.14</v>
      </c>
      <c r="EF66" s="92">
        <f t="shared" ca="1" si="75"/>
        <v>694.14</v>
      </c>
      <c r="EG66" s="92">
        <f t="shared" ca="1" si="73"/>
        <v>694.14</v>
      </c>
      <c r="EH66" s="92">
        <f t="shared" ca="1" si="73"/>
        <v>694.14</v>
      </c>
      <c r="EI66" s="92">
        <f t="shared" ca="1" si="73"/>
        <v>694.14</v>
      </c>
      <c r="EL66" s="93">
        <f t="shared" ca="1" si="111"/>
        <v>5337.25</v>
      </c>
      <c r="EM66" s="93">
        <f t="shared" ca="1" si="111"/>
        <v>5522.25</v>
      </c>
      <c r="EN66" s="92">
        <f t="shared" ca="1" si="113"/>
        <v>4527</v>
      </c>
      <c r="EO66" s="92">
        <f t="shared" ca="1" si="113"/>
        <v>4728.2</v>
      </c>
      <c r="EP66" s="92">
        <f t="shared" ca="1" si="113"/>
        <v>2726.26</v>
      </c>
      <c r="EQ66" s="92">
        <f t="shared" ca="1" si="113"/>
        <v>7011.8200000000006</v>
      </c>
      <c r="ER66" s="92">
        <f t="shared" ca="1" si="113"/>
        <v>7092.3</v>
      </c>
      <c r="ES66" s="92">
        <f t="shared" ca="1" si="113"/>
        <v>5895.16</v>
      </c>
      <c r="ET66" s="92">
        <f t="shared" ca="1" si="113"/>
        <v>6549.06</v>
      </c>
      <c r="EU66" s="92">
        <f t="shared" ca="1" si="113"/>
        <v>7645.6</v>
      </c>
      <c r="EV66" s="92">
        <f t="shared" ca="1" si="113"/>
        <v>7132.54</v>
      </c>
      <c r="EW66" s="92">
        <f t="shared" ca="1" si="113"/>
        <v>7202.96</v>
      </c>
      <c r="EX66" s="92">
        <f t="shared" ca="1" si="113"/>
        <v>7202.96</v>
      </c>
      <c r="EY66" s="92">
        <f t="shared" ca="1" si="113"/>
        <v>7424.2800000000007</v>
      </c>
      <c r="EZ66" s="92">
        <f t="shared" ca="1" si="113"/>
        <v>7424.2800000000007</v>
      </c>
      <c r="FA66" s="92">
        <f t="shared" ca="1" si="113"/>
        <v>7202.96</v>
      </c>
      <c r="FB66" s="92">
        <f t="shared" ca="1" si="113"/>
        <v>7092.3</v>
      </c>
      <c r="FC66" s="92">
        <f t="shared" ca="1" si="82"/>
        <v>3138.7200000000003</v>
      </c>
      <c r="FD66" s="92">
        <f t="shared" ca="1" si="82"/>
        <v>6549.06</v>
      </c>
      <c r="FE66" s="92">
        <f t="shared" ca="1" si="82"/>
        <v>3138.7200000000003</v>
      </c>
      <c r="FF66" s="92">
        <f t="shared" ca="1" si="82"/>
        <v>6539</v>
      </c>
      <c r="FG66" s="92">
        <f t="shared" ca="1" si="82"/>
        <v>6237.2000000000007</v>
      </c>
      <c r="FH66" s="92">
        <f t="shared" ca="1" si="82"/>
        <v>0</v>
      </c>
      <c r="FI66" s="92">
        <f t="shared" ca="1" si="82"/>
        <v>0</v>
      </c>
      <c r="FJ66" s="92">
        <f t="shared" ca="1" si="117"/>
        <v>0</v>
      </c>
      <c r="FK66" s="92">
        <f t="shared" ca="1" si="117"/>
        <v>0</v>
      </c>
      <c r="FL66" s="92">
        <f t="shared" ca="1" si="117"/>
        <v>0</v>
      </c>
      <c r="FM66" s="92">
        <f t="shared" ca="1" si="117"/>
        <v>0</v>
      </c>
      <c r="FN66" s="94">
        <f t="shared" ca="1" si="118"/>
        <v>6000</v>
      </c>
      <c r="FO66" s="94">
        <f t="shared" ca="1" si="119"/>
        <v>1000</v>
      </c>
      <c r="FP66" s="95">
        <f t="shared" ca="1" si="112"/>
        <v>30</v>
      </c>
      <c r="FQ66" s="95">
        <f t="shared" ca="1" si="112"/>
        <v>21.206030150753769</v>
      </c>
      <c r="FR66" s="95">
        <f t="shared" ca="1" si="96"/>
        <v>31.000000000000004</v>
      </c>
      <c r="FS66" s="95">
        <f t="shared" ca="1" si="96"/>
        <v>29.680851063829792</v>
      </c>
      <c r="FT66" s="95">
        <f t="shared" ca="1" si="96"/>
        <v>75.498154981549803</v>
      </c>
      <c r="FU66" s="95">
        <f t="shared" ca="1" si="96"/>
        <v>11.018651362984217</v>
      </c>
      <c r="FV66" s="95">
        <f t="shared" ca="1" si="96"/>
        <v>37.106382978723403</v>
      </c>
      <c r="FW66" s="95">
        <f t="shared" ca="1" si="96"/>
        <v>27.90102389078498</v>
      </c>
      <c r="FX66" s="95">
        <f t="shared" ca="1" si="96"/>
        <v>24.193548387096772</v>
      </c>
      <c r="FY66" s="95">
        <f t="shared" ca="1" si="96"/>
        <v>55.736842105263158</v>
      </c>
      <c r="FZ66" s="95">
        <f t="shared" ca="1" si="96"/>
        <v>112.21438645980255</v>
      </c>
      <c r="GA66" s="95">
        <f t="shared" ca="1" si="96"/>
        <v>81.410614525139664</v>
      </c>
      <c r="GB66" s="95">
        <f t="shared" ca="1" si="96"/>
        <v>51.410614525139671</v>
      </c>
      <c r="GC66" s="95">
        <f t="shared" ca="1" si="96"/>
        <v>183.3739837398374</v>
      </c>
      <c r="GD66" s="95">
        <f t="shared" ca="1" si="96"/>
        <v>153.3739837398374</v>
      </c>
      <c r="GE66" s="95">
        <f t="shared" ca="1" si="96"/>
        <v>127.16480446927375</v>
      </c>
      <c r="GF66" s="95">
        <f t="shared" ca="1" si="96"/>
        <v>98.680851063829792</v>
      </c>
      <c r="GG66" s="95">
        <f t="shared" ca="1" si="90"/>
        <v>155.19230769230768</v>
      </c>
      <c r="GH66" s="95">
        <f t="shared" ca="1" si="90"/>
        <v>106.08294930875576</v>
      </c>
      <c r="GI66" s="95">
        <f t="shared" ca="1" si="97"/>
        <v>158.75</v>
      </c>
      <c r="GJ66" s="95">
        <f t="shared" ca="1" si="97"/>
        <v>61.800000000000004</v>
      </c>
      <c r="GK66" s="95">
        <f t="shared" ca="1" si="97"/>
        <v>33.338709677419352</v>
      </c>
      <c r="GL66" s="95">
        <f t="shared" ca="1" si="97"/>
        <v>0</v>
      </c>
      <c r="GM66" s="95">
        <f t="shared" ca="1" si="97"/>
        <v>0</v>
      </c>
      <c r="GN66" s="95">
        <f t="shared" ca="1" si="97"/>
        <v>0</v>
      </c>
      <c r="GO66" s="95">
        <f t="shared" ca="1" si="97"/>
        <v>0</v>
      </c>
      <c r="GP66" s="95">
        <f t="shared" ca="1" si="97"/>
        <v>0</v>
      </c>
      <c r="GQ66" s="95">
        <f t="shared" ca="1" si="97"/>
        <v>0</v>
      </c>
      <c r="GS66" s="7">
        <v>16.388932549999996</v>
      </c>
      <c r="GT66" s="96">
        <f t="shared" ca="1" si="120"/>
        <v>4321.4829015816485</v>
      </c>
      <c r="GU66" s="96">
        <f t="shared" ca="1" si="120"/>
        <v>11114.662665691547</v>
      </c>
      <c r="GV66" s="96">
        <f t="shared" ca="1" si="120"/>
        <v>11242.234116660748</v>
      </c>
      <c r="GW66" s="96">
        <f t="shared" ca="1" si="120"/>
        <v>9344.6087834938971</v>
      </c>
      <c r="GX66" s="96">
        <f t="shared" ca="1" si="120"/>
        <v>10381.126822618648</v>
      </c>
      <c r="GY66" s="96">
        <f t="shared" ca="1" si="120"/>
        <v>12119.287842073996</v>
      </c>
      <c r="GZ66" s="96">
        <f t="shared" ca="1" si="120"/>
        <v>11306.019842145346</v>
      </c>
      <c r="HA66" s="96">
        <f t="shared" ca="1" si="120"/>
        <v>11417.644861743398</v>
      </c>
      <c r="HB66" s="96">
        <f t="shared" ca="1" si="120"/>
        <v>11417.644861743398</v>
      </c>
      <c r="HC66" s="96">
        <f t="shared" ca="1" si="120"/>
        <v>11768.466351908697</v>
      </c>
      <c r="HD66" s="96">
        <f t="shared" ca="1" si="121"/>
        <v>11768.466351908697</v>
      </c>
      <c r="HE66" s="96">
        <f t="shared" ca="1" si="121"/>
        <v>11417.644861743398</v>
      </c>
      <c r="HF66" s="96">
        <f t="shared" ca="1" si="120"/>
        <v>11242.234116660748</v>
      </c>
      <c r="HG66" s="96">
        <f t="shared" ca="1" si="120"/>
        <v>4975.2865877987988</v>
      </c>
      <c r="HH66" s="96">
        <f t="shared" ca="1" si="120"/>
        <v>10381.126822618648</v>
      </c>
      <c r="HI66" s="96">
        <f t="shared" ca="1" si="121"/>
        <v>4975.2865877987988</v>
      </c>
      <c r="HJ66" s="96">
        <f t="shared" ca="1" si="121"/>
        <v>10365.180391247497</v>
      </c>
      <c r="HK66" s="96">
        <f t="shared" ca="1" si="121"/>
        <v>9886.7874501129991</v>
      </c>
      <c r="HL66" s="96">
        <f t="shared" ca="1" si="121"/>
        <v>0</v>
      </c>
      <c r="HM66" s="96">
        <f t="shared" ca="1" si="121"/>
        <v>0</v>
      </c>
      <c r="HN66" s="96">
        <f t="shared" ca="1" si="121"/>
        <v>0</v>
      </c>
      <c r="HO66" s="96">
        <f t="shared" ca="1" si="121"/>
        <v>0</v>
      </c>
      <c r="HP66" s="96">
        <f t="shared" ca="1" si="121"/>
        <v>0</v>
      </c>
      <c r="HQ66" s="96">
        <f t="shared" ca="1" si="121"/>
        <v>0</v>
      </c>
      <c r="HS66" s="97">
        <f t="shared" ca="1" si="21"/>
        <v>11177.251999099997</v>
      </c>
    </row>
    <row r="67" spans="1:227" ht="17.25" thickTop="1" thickBot="1" x14ac:dyDescent="0.3">
      <c r="A67" s="16" t="s">
        <v>45</v>
      </c>
      <c r="B67" s="73" t="s">
        <v>440</v>
      </c>
      <c r="C67" s="73" t="s">
        <v>440</v>
      </c>
      <c r="D67" s="74" t="s">
        <v>1</v>
      </c>
      <c r="E67" s="74" t="s">
        <v>341</v>
      </c>
      <c r="F67" s="73"/>
      <c r="G67" s="75">
        <f t="shared" ca="1" si="115"/>
        <v>152</v>
      </c>
      <c r="H67" s="75">
        <v>66</v>
      </c>
      <c r="I67" s="75">
        <f t="shared" ca="1" si="102"/>
        <v>218</v>
      </c>
      <c r="J67" s="76">
        <f ca="1">[1]Parameters!$C$3+G67</f>
        <v>45983</v>
      </c>
      <c r="K67" s="77">
        <f t="shared" ca="1" si="103"/>
        <v>11</v>
      </c>
      <c r="L67" s="77">
        <f t="shared" ca="1" si="104"/>
        <v>2025</v>
      </c>
      <c r="M67" s="76">
        <f ca="1">[1]Parameters!$C$3+I67</f>
        <v>46049</v>
      </c>
      <c r="N67" s="77">
        <f t="shared" ca="1" si="25"/>
        <v>1</v>
      </c>
      <c r="O67" s="77">
        <f t="shared" ca="1" si="26"/>
        <v>2026</v>
      </c>
      <c r="P67" s="78">
        <v>0.9</v>
      </c>
      <c r="Q67" s="79" t="str">
        <f ca="1">VLOOKUP(A67,[1]ABC!N:T,7,0)</f>
        <v>C</v>
      </c>
      <c r="R67" s="80">
        <f t="shared" ca="1" si="99"/>
        <v>27.810864641099741</v>
      </c>
      <c r="S67" s="81">
        <v>8.75</v>
      </c>
      <c r="T67" s="82">
        <f t="shared" ca="1" si="10"/>
        <v>600</v>
      </c>
      <c r="U67" s="83">
        <f t="shared" ca="1" si="116"/>
        <v>640</v>
      </c>
      <c r="V67" s="80">
        <v>1000</v>
      </c>
      <c r="W67" s="80">
        <f t="shared" ca="1" si="27"/>
        <v>1000</v>
      </c>
      <c r="X67" s="80"/>
      <c r="Y67" s="84">
        <v>1.37</v>
      </c>
      <c r="Z67" s="85">
        <v>471</v>
      </c>
      <c r="AA67" s="85">
        <v>633</v>
      </c>
      <c r="AB67" s="85">
        <v>671</v>
      </c>
      <c r="AC67" s="85">
        <v>490</v>
      </c>
      <c r="AD67" s="85">
        <v>1128</v>
      </c>
      <c r="AE67" s="85">
        <v>344</v>
      </c>
      <c r="AF67" s="85">
        <v>1025</v>
      </c>
      <c r="AG67" s="85">
        <v>807</v>
      </c>
      <c r="AH67" s="85">
        <v>334</v>
      </c>
      <c r="AI67" s="75">
        <v>1429</v>
      </c>
      <c r="AJ67" s="75">
        <f t="shared" ca="1" si="110"/>
        <v>2669</v>
      </c>
      <c r="AK67" s="75">
        <f t="shared" ca="1" si="110"/>
        <v>1627</v>
      </c>
      <c r="AL67" s="75">
        <f t="shared" ca="1" si="110"/>
        <v>1084</v>
      </c>
      <c r="AM67" s="75">
        <f t="shared" ca="1" si="110"/>
        <v>2563</v>
      </c>
      <c r="AN67" s="75">
        <f t="shared" ca="1" si="110"/>
        <v>2042</v>
      </c>
      <c r="AO67" s="75">
        <f t="shared" ca="1" si="110"/>
        <v>1543</v>
      </c>
      <c r="AP67" s="75">
        <f t="shared" ca="1" si="110"/>
        <v>4044</v>
      </c>
      <c r="AQ67" s="75">
        <f t="shared" ca="1" si="110"/>
        <v>3339</v>
      </c>
      <c r="AR67" s="75">
        <f t="shared" ca="1" si="110"/>
        <v>2989</v>
      </c>
      <c r="AS67" s="75">
        <f t="shared" ca="1" si="110"/>
        <v>2338</v>
      </c>
      <c r="AT67" s="75">
        <f t="shared" ca="1" si="110"/>
        <v>1988</v>
      </c>
      <c r="AU67" s="75">
        <f t="shared" ca="1" si="110"/>
        <v>1338</v>
      </c>
      <c r="AV67" s="75">
        <f t="shared" ca="1" si="110"/>
        <v>718</v>
      </c>
      <c r="AW67" s="75">
        <f t="shared" ca="1" si="110"/>
        <v>718</v>
      </c>
      <c r="AX67" s="75">
        <f t="shared" ca="1" si="110"/>
        <v>718</v>
      </c>
      <c r="AY67" s="75">
        <f t="shared" ca="1" si="54"/>
        <v>718</v>
      </c>
      <c r="AZ67" s="75">
        <f t="shared" ca="1" si="12"/>
        <v>718</v>
      </c>
      <c r="BA67" s="75">
        <f t="shared" ca="1" si="12"/>
        <v>718</v>
      </c>
      <c r="BB67" s="166"/>
      <c r="BC67" s="86">
        <v>471</v>
      </c>
      <c r="BD67" s="86">
        <v>908</v>
      </c>
      <c r="BE67" s="86">
        <v>490</v>
      </c>
      <c r="BF67" s="86">
        <v>500</v>
      </c>
      <c r="BG67" s="86">
        <v>506</v>
      </c>
      <c r="BH67" s="86">
        <v>710</v>
      </c>
      <c r="BI67" s="86">
        <v>705</v>
      </c>
      <c r="BJ67" s="86">
        <v>651</v>
      </c>
      <c r="BK67" s="86">
        <v>651</v>
      </c>
      <c r="BL67" s="86">
        <v>760</v>
      </c>
      <c r="BM67" s="86">
        <v>1042</v>
      </c>
      <c r="BN67" s="86">
        <v>543</v>
      </c>
      <c r="BO67" s="86">
        <v>521</v>
      </c>
      <c r="BP67" s="86">
        <v>521</v>
      </c>
      <c r="BQ67" s="86">
        <v>499</v>
      </c>
      <c r="BR67" s="86">
        <v>499</v>
      </c>
      <c r="BS67" s="86">
        <v>705</v>
      </c>
      <c r="BT67" s="86">
        <v>350</v>
      </c>
      <c r="BU67" s="86">
        <v>651</v>
      </c>
      <c r="BV67" s="86">
        <v>350</v>
      </c>
      <c r="BW67" s="86">
        <v>650</v>
      </c>
      <c r="BX67" s="86">
        <v>620</v>
      </c>
      <c r="BY67" s="86">
        <v>0</v>
      </c>
      <c r="BZ67" s="86">
        <v>0</v>
      </c>
      <c r="CA67" s="86">
        <v>0</v>
      </c>
      <c r="CB67" s="86">
        <v>0</v>
      </c>
      <c r="CC67" s="86">
        <v>0</v>
      </c>
      <c r="CD67" s="86">
        <v>0</v>
      </c>
      <c r="CE67" s="86">
        <f t="shared" ca="1" si="28"/>
        <v>182.12031103725818</v>
      </c>
      <c r="CF67" s="87"/>
      <c r="CG67" s="86">
        <v>0</v>
      </c>
      <c r="CH67" s="86">
        <v>0</v>
      </c>
      <c r="CI67" s="86">
        <v>0</v>
      </c>
      <c r="CJ67" s="86">
        <v>0</v>
      </c>
      <c r="CK67" s="86">
        <v>0</v>
      </c>
      <c r="CL67" s="86">
        <v>0</v>
      </c>
      <c r="CM67" s="86">
        <v>0</v>
      </c>
      <c r="CN67" s="86">
        <v>0</v>
      </c>
      <c r="CO67" s="89">
        <v>2000</v>
      </c>
      <c r="CP67" s="89">
        <v>0</v>
      </c>
      <c r="CQ67" s="99">
        <v>0</v>
      </c>
      <c r="CR67" s="99">
        <f ca="1">1000+1000</f>
        <v>2000</v>
      </c>
      <c r="CS67" s="86">
        <v>0</v>
      </c>
      <c r="CT67" s="100">
        <v>0</v>
      </c>
      <c r="CU67" s="99">
        <v>3000</v>
      </c>
      <c r="CV67" s="90">
        <v>0</v>
      </c>
      <c r="CW67" s="90">
        <v>0</v>
      </c>
      <c r="CX67" s="90">
        <v>0</v>
      </c>
      <c r="CY67" s="90">
        <v>0</v>
      </c>
      <c r="CZ67" s="90">
        <v>0</v>
      </c>
      <c r="DA67" s="90">
        <v>0</v>
      </c>
      <c r="DB67" s="90">
        <v>0</v>
      </c>
      <c r="DC67" s="90">
        <v>0</v>
      </c>
      <c r="DD67" s="90">
        <v>0</v>
      </c>
      <c r="DE67" s="90">
        <v>0</v>
      </c>
      <c r="DF67" s="90">
        <v>0</v>
      </c>
      <c r="DG67" s="86">
        <v>0</v>
      </c>
      <c r="DI67" s="91">
        <f ca="1">VLOOKUP(A67,'[2]2-Relatório'!$A:$J,9,0)</f>
        <v>10.08</v>
      </c>
      <c r="DJ67" s="92">
        <f t="shared" ca="1" si="89"/>
        <v>6763.68</v>
      </c>
      <c r="DK67" s="92">
        <f t="shared" ca="1" si="89"/>
        <v>4939.2</v>
      </c>
      <c r="DL67" s="92">
        <f t="shared" ca="1" si="89"/>
        <v>11370.24</v>
      </c>
      <c r="DM67" s="92">
        <f t="shared" ca="1" si="89"/>
        <v>3467.52</v>
      </c>
      <c r="DN67" s="92">
        <f t="shared" ca="1" si="89"/>
        <v>10332</v>
      </c>
      <c r="DO67" s="92">
        <f t="shared" ca="1" si="89"/>
        <v>8134.56</v>
      </c>
      <c r="DP67" s="92">
        <f t="shared" ca="1" si="89"/>
        <v>3366.72</v>
      </c>
      <c r="DQ67" s="92">
        <f t="shared" ca="1" si="88"/>
        <v>14404.32</v>
      </c>
      <c r="DR67" s="92">
        <f t="shared" ca="1" si="88"/>
        <v>26903.52</v>
      </c>
      <c r="DS67" s="92">
        <f t="shared" ca="1" si="88"/>
        <v>16400.16</v>
      </c>
      <c r="DT67" s="92">
        <f t="shared" ca="1" si="88"/>
        <v>10926.72</v>
      </c>
      <c r="DU67" s="92">
        <f t="shared" ca="1" si="88"/>
        <v>25835.040000000001</v>
      </c>
      <c r="DV67" s="92">
        <f t="shared" ca="1" si="88"/>
        <v>20583.36</v>
      </c>
      <c r="DW67" s="92">
        <f t="shared" ca="1" si="88"/>
        <v>15553.44</v>
      </c>
      <c r="DX67" s="92">
        <f t="shared" ca="1" si="88"/>
        <v>40763.519999999997</v>
      </c>
      <c r="DY67" s="92">
        <f t="shared" ca="1" si="88"/>
        <v>33657.120000000003</v>
      </c>
      <c r="DZ67" s="92">
        <f t="shared" ca="1" si="75"/>
        <v>30129.119999999999</v>
      </c>
      <c r="EA67" s="92">
        <f t="shared" ca="1" si="75"/>
        <v>23567.040000000001</v>
      </c>
      <c r="EB67" s="92">
        <f t="shared" ca="1" si="75"/>
        <v>20039.04</v>
      </c>
      <c r="EC67" s="92">
        <f t="shared" ca="1" si="75"/>
        <v>13487.04</v>
      </c>
      <c r="ED67" s="92">
        <f t="shared" ca="1" si="75"/>
        <v>7237.44</v>
      </c>
      <c r="EE67" s="92">
        <f t="shared" ca="1" si="75"/>
        <v>7237.44</v>
      </c>
      <c r="EF67" s="92">
        <f t="shared" ca="1" si="75"/>
        <v>7237.44</v>
      </c>
      <c r="EG67" s="92">
        <f t="shared" ca="1" si="73"/>
        <v>7237.44</v>
      </c>
      <c r="EH67" s="92">
        <f t="shared" ca="1" si="73"/>
        <v>7237.44</v>
      </c>
      <c r="EI67" s="92">
        <f t="shared" ca="1" si="73"/>
        <v>7237.44</v>
      </c>
      <c r="EL67" s="93">
        <f t="shared" ca="1" si="111"/>
        <v>4121.25</v>
      </c>
      <c r="EM67" s="93">
        <f t="shared" ca="1" si="111"/>
        <v>7945</v>
      </c>
      <c r="EN67" s="92">
        <f t="shared" ca="1" si="113"/>
        <v>4939.2</v>
      </c>
      <c r="EO67" s="92">
        <f t="shared" ca="1" si="113"/>
        <v>5040</v>
      </c>
      <c r="EP67" s="92">
        <f t="shared" ca="1" si="113"/>
        <v>5100.4800000000005</v>
      </c>
      <c r="EQ67" s="92">
        <f t="shared" ca="1" si="113"/>
        <v>7156.8</v>
      </c>
      <c r="ER67" s="92">
        <f t="shared" ca="1" si="113"/>
        <v>7106.4</v>
      </c>
      <c r="ES67" s="92">
        <f t="shared" ca="1" si="113"/>
        <v>6562.08</v>
      </c>
      <c r="ET67" s="92">
        <f t="shared" ca="1" si="113"/>
        <v>6562.08</v>
      </c>
      <c r="EU67" s="92">
        <f t="shared" ca="1" si="113"/>
        <v>7660.8</v>
      </c>
      <c r="EV67" s="92">
        <f t="shared" ca="1" si="113"/>
        <v>10503.36</v>
      </c>
      <c r="EW67" s="92">
        <f t="shared" ca="1" si="113"/>
        <v>5473.44</v>
      </c>
      <c r="EX67" s="92">
        <f t="shared" ca="1" si="113"/>
        <v>5251.68</v>
      </c>
      <c r="EY67" s="92">
        <f t="shared" ca="1" si="113"/>
        <v>5251.68</v>
      </c>
      <c r="EZ67" s="92">
        <f t="shared" ca="1" si="113"/>
        <v>5029.92</v>
      </c>
      <c r="FA67" s="92">
        <f t="shared" ca="1" si="113"/>
        <v>5029.92</v>
      </c>
      <c r="FB67" s="92">
        <f t="shared" ca="1" si="113"/>
        <v>7106.4</v>
      </c>
      <c r="FC67" s="92">
        <f t="shared" ca="1" si="82"/>
        <v>3528</v>
      </c>
      <c r="FD67" s="92">
        <f t="shared" ca="1" si="82"/>
        <v>6562.08</v>
      </c>
      <c r="FE67" s="92">
        <f t="shared" ca="1" si="82"/>
        <v>3528</v>
      </c>
      <c r="FF67" s="92">
        <f t="shared" ca="1" si="82"/>
        <v>6552</v>
      </c>
      <c r="FG67" s="92">
        <f t="shared" ca="1" si="82"/>
        <v>6249.6</v>
      </c>
      <c r="FH67" s="92">
        <f t="shared" ca="1" si="82"/>
        <v>0</v>
      </c>
      <c r="FI67" s="92">
        <f t="shared" ca="1" si="82"/>
        <v>0</v>
      </c>
      <c r="FJ67" s="92">
        <f t="shared" ca="1" si="117"/>
        <v>0</v>
      </c>
      <c r="FK67" s="92">
        <f t="shared" ca="1" si="117"/>
        <v>0</v>
      </c>
      <c r="FL67" s="92">
        <f t="shared" ca="1" si="117"/>
        <v>0</v>
      </c>
      <c r="FM67" s="92">
        <f t="shared" ca="1" si="117"/>
        <v>0</v>
      </c>
      <c r="FN67" s="94">
        <f t="shared" ca="1" si="118"/>
        <v>7000</v>
      </c>
      <c r="FO67" s="94">
        <f t="shared" ca="1" si="119"/>
        <v>0</v>
      </c>
      <c r="FP67" s="95">
        <f t="shared" ca="1" si="112"/>
        <v>30</v>
      </c>
      <c r="FQ67" s="95">
        <f t="shared" ca="1" si="112"/>
        <v>20.91409691629956</v>
      </c>
      <c r="FR67" s="95">
        <f t="shared" ca="1" si="96"/>
        <v>41.081632653061234</v>
      </c>
      <c r="FS67" s="95">
        <f t="shared" ca="1" si="96"/>
        <v>29.4</v>
      </c>
      <c r="FT67" s="95">
        <f t="shared" ca="1" si="96"/>
        <v>66.877470355731219</v>
      </c>
      <c r="FU67" s="95">
        <f t="shared" ca="1" si="96"/>
        <v>14.535211267605632</v>
      </c>
      <c r="FV67" s="95">
        <f t="shared" ca="1" si="96"/>
        <v>43.617021276595743</v>
      </c>
      <c r="FW67" s="95">
        <f t="shared" ca="1" si="96"/>
        <v>37.1889400921659</v>
      </c>
      <c r="FX67" s="95">
        <f t="shared" ca="1" si="96"/>
        <v>15.391705069124422</v>
      </c>
      <c r="FY67" s="95">
        <f t="shared" ca="1" si="96"/>
        <v>56.407894736842103</v>
      </c>
      <c r="FZ67" s="95">
        <f t="shared" ca="1" si="96"/>
        <v>76.842610364683296</v>
      </c>
      <c r="GA67" s="95">
        <f t="shared" ca="1" si="96"/>
        <v>89.889502762430951</v>
      </c>
      <c r="GB67" s="95">
        <f t="shared" ca="1" si="96"/>
        <v>62.418426103646823</v>
      </c>
      <c r="GC67" s="95">
        <f t="shared" ca="1" si="96"/>
        <v>147.58157389635318</v>
      </c>
      <c r="GD67" s="95">
        <f t="shared" ca="1" si="96"/>
        <v>122.76553106212424</v>
      </c>
      <c r="GE67" s="95">
        <f t="shared" ca="1" si="96"/>
        <v>92.765531062124239</v>
      </c>
      <c r="GF67" s="95">
        <f t="shared" ca="1" si="96"/>
        <v>172.08510638297872</v>
      </c>
      <c r="GG67" s="95">
        <f t="shared" ca="1" si="90"/>
        <v>286.20000000000005</v>
      </c>
      <c r="GH67" s="95">
        <f t="shared" ca="1" si="90"/>
        <v>137.74193548387095</v>
      </c>
      <c r="GI67" s="95">
        <f t="shared" ca="1" si="97"/>
        <v>200.4</v>
      </c>
      <c r="GJ67" s="95">
        <f t="shared" ca="1" si="97"/>
        <v>91.753846153846169</v>
      </c>
      <c r="GK67" s="95">
        <f t="shared" ca="1" si="97"/>
        <v>64.741935483870975</v>
      </c>
      <c r="GL67" s="95">
        <f t="shared" ca="1" si="97"/>
        <v>0</v>
      </c>
      <c r="GM67" s="95">
        <f t="shared" ca="1" si="97"/>
        <v>0</v>
      </c>
      <c r="GN67" s="95">
        <f t="shared" ca="1" si="97"/>
        <v>0</v>
      </c>
      <c r="GO67" s="95">
        <f t="shared" ca="1" si="97"/>
        <v>0</v>
      </c>
      <c r="GP67" s="95">
        <f t="shared" ca="1" si="97"/>
        <v>0</v>
      </c>
      <c r="GQ67" s="95">
        <f t="shared" ca="1" si="97"/>
        <v>0</v>
      </c>
      <c r="GS67" s="7">
        <v>16.869683259999995</v>
      </c>
      <c r="GT67" s="96">
        <f t="shared" ca="1" si="120"/>
        <v>8305.5861168618776</v>
      </c>
      <c r="GU67" s="96">
        <f t="shared" ca="1" si="120"/>
        <v>11654.083286505796</v>
      </c>
      <c r="GV67" s="96">
        <f t="shared" ca="1" si="120"/>
        <v>11572.012277445898</v>
      </c>
      <c r="GW67" s="96">
        <f t="shared" ca="1" si="120"/>
        <v>10685.645379598976</v>
      </c>
      <c r="GX67" s="96">
        <f t="shared" ca="1" si="120"/>
        <v>10685.645379598976</v>
      </c>
      <c r="GY67" s="96">
        <f t="shared" ca="1" si="120"/>
        <v>12474.793377104796</v>
      </c>
      <c r="GZ67" s="96">
        <f t="shared" ca="1" si="120"/>
        <v>17103.598288083158</v>
      </c>
      <c r="HA67" s="96">
        <f t="shared" ca="1" si="120"/>
        <v>8912.9115839051374</v>
      </c>
      <c r="HB67" s="96">
        <f t="shared" ca="1" si="120"/>
        <v>8551.799144041579</v>
      </c>
      <c r="HC67" s="96">
        <f t="shared" ca="1" si="120"/>
        <v>8551.799144041579</v>
      </c>
      <c r="HD67" s="96">
        <f t="shared" ca="1" si="121"/>
        <v>8190.686704178017</v>
      </c>
      <c r="HE67" s="96">
        <f t="shared" ca="1" si="121"/>
        <v>8190.686704178017</v>
      </c>
      <c r="HF67" s="96">
        <f t="shared" ca="1" si="120"/>
        <v>11572.012277445898</v>
      </c>
      <c r="HG67" s="96">
        <f t="shared" ca="1" si="120"/>
        <v>5744.9706341929977</v>
      </c>
      <c r="HH67" s="96">
        <f t="shared" ca="1" si="120"/>
        <v>10685.645379598976</v>
      </c>
      <c r="HI67" s="96">
        <f t="shared" ca="1" si="121"/>
        <v>5744.9706341929977</v>
      </c>
      <c r="HJ67" s="96">
        <f t="shared" ca="1" si="121"/>
        <v>10669.231177786996</v>
      </c>
      <c r="HK67" s="96">
        <f t="shared" ca="1" si="121"/>
        <v>10176.805123427597</v>
      </c>
      <c r="HL67" s="96">
        <f t="shared" ca="1" si="121"/>
        <v>0</v>
      </c>
      <c r="HM67" s="96">
        <f t="shared" ca="1" si="121"/>
        <v>0</v>
      </c>
      <c r="HN67" s="96">
        <f t="shared" ca="1" si="121"/>
        <v>0</v>
      </c>
      <c r="HO67" s="96">
        <f t="shared" ca="1" si="121"/>
        <v>0</v>
      </c>
      <c r="HP67" s="96">
        <f t="shared" ca="1" si="121"/>
        <v>0</v>
      </c>
      <c r="HQ67" s="96">
        <f t="shared" ca="1" si="121"/>
        <v>0</v>
      </c>
      <c r="HS67" s="97">
        <f t="shared" ca="1" si="21"/>
        <v>19029.002717279993</v>
      </c>
    </row>
    <row r="68" spans="1:227" ht="17.25" thickTop="1" thickBot="1" x14ac:dyDescent="0.3">
      <c r="A68" s="16" t="s">
        <v>37</v>
      </c>
      <c r="B68" s="73" t="s">
        <v>441</v>
      </c>
      <c r="C68" s="73" t="s">
        <v>441</v>
      </c>
      <c r="D68" s="74" t="s">
        <v>1</v>
      </c>
      <c r="E68" s="74" t="s">
        <v>341</v>
      </c>
      <c r="F68" s="73"/>
      <c r="G68" s="75">
        <f t="shared" ca="1" si="115"/>
        <v>152</v>
      </c>
      <c r="H68" s="75">
        <v>66</v>
      </c>
      <c r="I68" s="75">
        <f t="shared" ca="1" si="102"/>
        <v>218</v>
      </c>
      <c r="J68" s="76">
        <f ca="1">[1]Parameters!$C$3+G68</f>
        <v>45983</v>
      </c>
      <c r="K68" s="77">
        <f t="shared" ca="1" si="103"/>
        <v>11</v>
      </c>
      <c r="L68" s="77">
        <f t="shared" ca="1" si="104"/>
        <v>2025</v>
      </c>
      <c r="M68" s="76">
        <f ca="1">[1]Parameters!$C$3+I68</f>
        <v>46049</v>
      </c>
      <c r="N68" s="77">
        <f t="shared" ca="1" si="25"/>
        <v>1</v>
      </c>
      <c r="O68" s="77">
        <f t="shared" ca="1" si="26"/>
        <v>2026</v>
      </c>
      <c r="P68" s="78">
        <v>0.9</v>
      </c>
      <c r="Q68" s="79" t="str">
        <f ca="1">VLOOKUP(A68,[1]ABC!N:T,7,0)</f>
        <v>C</v>
      </c>
      <c r="R68" s="80">
        <f t="shared" ca="1" si="99"/>
        <v>43.132274416310715</v>
      </c>
      <c r="S68" s="81">
        <v>9.0399999999999991</v>
      </c>
      <c r="T68" s="82">
        <f t="shared" ca="1" si="10"/>
        <v>700</v>
      </c>
      <c r="U68" s="83">
        <f t="shared" ca="1" si="116"/>
        <v>1070</v>
      </c>
      <c r="V68" s="80">
        <v>1000</v>
      </c>
      <c r="W68" s="80">
        <f t="shared" ca="1" si="27"/>
        <v>1000</v>
      </c>
      <c r="X68" s="80"/>
      <c r="Y68" s="84">
        <v>1.37</v>
      </c>
      <c r="Z68" s="85">
        <v>671</v>
      </c>
      <c r="AA68" s="85">
        <v>1191</v>
      </c>
      <c r="AB68" s="85">
        <v>629</v>
      </c>
      <c r="AC68" s="85">
        <v>856</v>
      </c>
      <c r="AD68" s="85">
        <v>1189</v>
      </c>
      <c r="AE68" s="85">
        <v>407</v>
      </c>
      <c r="AF68" s="85">
        <v>1088</v>
      </c>
      <c r="AG68" s="85">
        <v>994</v>
      </c>
      <c r="AH68" s="85">
        <v>354</v>
      </c>
      <c r="AI68" s="75">
        <v>2572</v>
      </c>
      <c r="AJ68" s="75">
        <f t="shared" ca="1" si="110"/>
        <v>3373</v>
      </c>
      <c r="AK68" s="75">
        <f t="shared" ca="1" si="110"/>
        <v>2439</v>
      </c>
      <c r="AL68" s="75">
        <f t="shared" ca="1" si="110"/>
        <v>1458</v>
      </c>
      <c r="AM68" s="75">
        <f t="shared" ca="1" si="110"/>
        <v>5477</v>
      </c>
      <c r="AN68" s="75">
        <f t="shared" ca="1" si="110"/>
        <v>4496</v>
      </c>
      <c r="AO68" s="75">
        <f t="shared" ca="1" si="110"/>
        <v>3624</v>
      </c>
      <c r="AP68" s="75">
        <f t="shared" ca="1" si="110"/>
        <v>6752</v>
      </c>
      <c r="AQ68" s="75">
        <f t="shared" ca="1" si="110"/>
        <v>5226</v>
      </c>
      <c r="AR68" s="75">
        <f t="shared" ca="1" si="110"/>
        <v>5136</v>
      </c>
      <c r="AS68" s="75">
        <f t="shared" ca="1" si="110"/>
        <v>3828</v>
      </c>
      <c r="AT68" s="75">
        <f t="shared" ca="1" si="110"/>
        <v>2958</v>
      </c>
      <c r="AU68" s="75">
        <f t="shared" ca="1" si="110"/>
        <v>1658</v>
      </c>
      <c r="AV68" s="75">
        <f t="shared" ca="1" si="110"/>
        <v>318</v>
      </c>
      <c r="AW68" s="75">
        <f t="shared" ca="1" si="110"/>
        <v>318</v>
      </c>
      <c r="AX68" s="75">
        <f t="shared" ca="1" si="110"/>
        <v>318</v>
      </c>
      <c r="AY68" s="75">
        <f t="shared" ca="1" si="54"/>
        <v>318</v>
      </c>
      <c r="AZ68" s="75">
        <f t="shared" ca="1" si="12"/>
        <v>318</v>
      </c>
      <c r="BA68" s="75">
        <f t="shared" ca="1" si="12"/>
        <v>318</v>
      </c>
      <c r="BB68" s="166"/>
      <c r="BC68" s="86">
        <v>671</v>
      </c>
      <c r="BD68" s="86">
        <v>1243</v>
      </c>
      <c r="BE68" s="86">
        <v>590</v>
      </c>
      <c r="BF68" s="86">
        <v>550</v>
      </c>
      <c r="BG68" s="86">
        <v>509</v>
      </c>
      <c r="BH68" s="86">
        <v>763</v>
      </c>
      <c r="BI68" s="86">
        <v>1526</v>
      </c>
      <c r="BJ68" s="86">
        <v>1090</v>
      </c>
      <c r="BK68" s="86">
        <v>1308</v>
      </c>
      <c r="BL68" s="86">
        <v>1199</v>
      </c>
      <c r="BM68" s="86">
        <v>934</v>
      </c>
      <c r="BN68" s="86">
        <v>981</v>
      </c>
      <c r="BO68" s="86">
        <v>981</v>
      </c>
      <c r="BP68" s="86">
        <v>981</v>
      </c>
      <c r="BQ68" s="86">
        <v>872</v>
      </c>
      <c r="BR68" s="86">
        <v>872</v>
      </c>
      <c r="BS68" s="86">
        <v>1526</v>
      </c>
      <c r="BT68" s="86">
        <v>1090</v>
      </c>
      <c r="BU68" s="86">
        <v>1308</v>
      </c>
      <c r="BV68" s="86">
        <v>870</v>
      </c>
      <c r="BW68" s="86">
        <v>1300</v>
      </c>
      <c r="BX68" s="86">
        <v>1340</v>
      </c>
      <c r="BY68" s="86">
        <v>0</v>
      </c>
      <c r="BZ68" s="86">
        <v>0</v>
      </c>
      <c r="CA68" s="86">
        <v>0</v>
      </c>
      <c r="CB68" s="86">
        <v>0</v>
      </c>
      <c r="CC68" s="86">
        <v>0</v>
      </c>
      <c r="CD68" s="86">
        <v>0</v>
      </c>
      <c r="CE68" s="86">
        <f t="shared" ca="1" si="28"/>
        <v>215.82887333279231</v>
      </c>
      <c r="CF68" s="87"/>
      <c r="CG68" s="86">
        <v>0</v>
      </c>
      <c r="CH68" s="86">
        <v>0</v>
      </c>
      <c r="CI68" s="86">
        <v>0</v>
      </c>
      <c r="CJ68" s="86">
        <v>0</v>
      </c>
      <c r="CK68" s="86">
        <v>0</v>
      </c>
      <c r="CL68" s="86">
        <v>0</v>
      </c>
      <c r="CM68" s="86">
        <v>0</v>
      </c>
      <c r="CN68" s="86">
        <v>0</v>
      </c>
      <c r="CO68" s="89">
        <v>2000</v>
      </c>
      <c r="CP68" s="89">
        <v>0</v>
      </c>
      <c r="CQ68" s="99">
        <v>0</v>
      </c>
      <c r="CR68" s="99">
        <f ca="1">2000+3000</f>
        <v>5000</v>
      </c>
      <c r="CS68" s="86">
        <v>0</v>
      </c>
      <c r="CT68" s="100">
        <v>0</v>
      </c>
      <c r="CU68" s="99">
        <v>4000</v>
      </c>
      <c r="CV68" s="90">
        <v>0</v>
      </c>
      <c r="CW68" s="90">
        <v>1000</v>
      </c>
      <c r="CX68" s="90">
        <v>0</v>
      </c>
      <c r="CY68" s="90">
        <v>0</v>
      </c>
      <c r="CZ68" s="90">
        <v>0</v>
      </c>
      <c r="DA68" s="90">
        <v>0</v>
      </c>
      <c r="DB68" s="90">
        <v>0</v>
      </c>
      <c r="DC68" s="90">
        <v>0</v>
      </c>
      <c r="DD68" s="90">
        <v>0</v>
      </c>
      <c r="DE68" s="90">
        <v>0</v>
      </c>
      <c r="DF68" s="90">
        <v>0</v>
      </c>
      <c r="DG68" s="86">
        <v>0</v>
      </c>
      <c r="DI68" s="91">
        <f ca="1">VLOOKUP(A68,'[2]2-Relatório'!$A:$J,9,0)</f>
        <v>9.85</v>
      </c>
      <c r="DJ68" s="92">
        <f t="shared" ca="1" si="89"/>
        <v>6195.65</v>
      </c>
      <c r="DK68" s="92">
        <f t="shared" ca="1" si="89"/>
        <v>8431.6</v>
      </c>
      <c r="DL68" s="92">
        <f t="shared" ca="1" si="89"/>
        <v>11711.65</v>
      </c>
      <c r="DM68" s="92">
        <f t="shared" ca="1" si="89"/>
        <v>4008.95</v>
      </c>
      <c r="DN68" s="92">
        <f t="shared" ca="1" si="89"/>
        <v>10716.8</v>
      </c>
      <c r="DO68" s="92">
        <f t="shared" ca="1" si="89"/>
        <v>9790.9</v>
      </c>
      <c r="DP68" s="92">
        <f t="shared" ca="1" si="89"/>
        <v>3486.9</v>
      </c>
      <c r="DQ68" s="92">
        <f t="shared" ca="1" si="88"/>
        <v>25334.2</v>
      </c>
      <c r="DR68" s="92">
        <f t="shared" ca="1" si="88"/>
        <v>33224.049999999996</v>
      </c>
      <c r="DS68" s="92">
        <f t="shared" ca="1" si="88"/>
        <v>24024.149999999998</v>
      </c>
      <c r="DT68" s="92">
        <f t="shared" ca="1" si="88"/>
        <v>14361.3</v>
      </c>
      <c r="DU68" s="92">
        <f t="shared" ca="1" si="88"/>
        <v>53948.45</v>
      </c>
      <c r="DV68" s="92">
        <f t="shared" ca="1" si="88"/>
        <v>44285.599999999999</v>
      </c>
      <c r="DW68" s="92">
        <f t="shared" ca="1" si="88"/>
        <v>35696.400000000001</v>
      </c>
      <c r="DX68" s="92">
        <f t="shared" ca="1" si="88"/>
        <v>66507.199999999997</v>
      </c>
      <c r="DY68" s="92">
        <f t="shared" ca="1" si="88"/>
        <v>51476.1</v>
      </c>
      <c r="DZ68" s="92">
        <f t="shared" ca="1" si="75"/>
        <v>50589.599999999999</v>
      </c>
      <c r="EA68" s="92">
        <f t="shared" ca="1" si="75"/>
        <v>37705.799999999996</v>
      </c>
      <c r="EB68" s="92">
        <f t="shared" ca="1" si="75"/>
        <v>29136.3</v>
      </c>
      <c r="EC68" s="92">
        <f t="shared" ca="1" si="75"/>
        <v>16331.3</v>
      </c>
      <c r="ED68" s="92">
        <f t="shared" ca="1" si="75"/>
        <v>3132.2999999999997</v>
      </c>
      <c r="EE68" s="92">
        <f t="shared" ca="1" si="75"/>
        <v>3132.2999999999997</v>
      </c>
      <c r="EF68" s="92">
        <f t="shared" ca="1" si="75"/>
        <v>3132.2999999999997</v>
      </c>
      <c r="EG68" s="92">
        <f t="shared" ca="1" si="73"/>
        <v>3132.2999999999997</v>
      </c>
      <c r="EH68" s="92">
        <f t="shared" ca="1" si="73"/>
        <v>3132.2999999999997</v>
      </c>
      <c r="EI68" s="92">
        <f t="shared" ca="1" si="73"/>
        <v>3132.2999999999997</v>
      </c>
      <c r="EL68" s="93">
        <f t="shared" ca="1" si="111"/>
        <v>6065.8399999999992</v>
      </c>
      <c r="EM68" s="93">
        <f t="shared" ca="1" si="111"/>
        <v>11236.72</v>
      </c>
      <c r="EN68" s="92">
        <f t="shared" ca="1" si="113"/>
        <v>5811.5</v>
      </c>
      <c r="EO68" s="92">
        <f t="shared" ca="1" si="113"/>
        <v>5417.5</v>
      </c>
      <c r="EP68" s="92">
        <f t="shared" ca="1" si="113"/>
        <v>5013.6499999999996</v>
      </c>
      <c r="EQ68" s="92">
        <f t="shared" ca="1" si="113"/>
        <v>7515.55</v>
      </c>
      <c r="ER68" s="92">
        <f t="shared" ca="1" si="113"/>
        <v>15031.1</v>
      </c>
      <c r="ES68" s="92">
        <f t="shared" ca="1" si="113"/>
        <v>10736.5</v>
      </c>
      <c r="ET68" s="92">
        <f t="shared" ca="1" si="113"/>
        <v>12883.8</v>
      </c>
      <c r="EU68" s="92">
        <f t="shared" ca="1" si="113"/>
        <v>11810.15</v>
      </c>
      <c r="EV68" s="92">
        <f t="shared" ca="1" si="113"/>
        <v>9199.9</v>
      </c>
      <c r="EW68" s="92">
        <f t="shared" ca="1" si="113"/>
        <v>9662.85</v>
      </c>
      <c r="EX68" s="92">
        <f t="shared" ca="1" si="113"/>
        <v>9662.85</v>
      </c>
      <c r="EY68" s="92">
        <f t="shared" ca="1" si="113"/>
        <v>9662.85</v>
      </c>
      <c r="EZ68" s="92">
        <f t="shared" ca="1" si="113"/>
        <v>8589.1999999999989</v>
      </c>
      <c r="FA68" s="92">
        <f t="shared" ca="1" si="113"/>
        <v>8589.1999999999989</v>
      </c>
      <c r="FB68" s="92">
        <f t="shared" ca="1" si="113"/>
        <v>15031.1</v>
      </c>
      <c r="FC68" s="92">
        <f t="shared" ca="1" si="82"/>
        <v>10736.5</v>
      </c>
      <c r="FD68" s="92">
        <f t="shared" ca="1" si="82"/>
        <v>12883.8</v>
      </c>
      <c r="FE68" s="92">
        <f t="shared" ca="1" si="82"/>
        <v>8569.5</v>
      </c>
      <c r="FF68" s="92">
        <f t="shared" ca="1" si="82"/>
        <v>12805</v>
      </c>
      <c r="FG68" s="92">
        <f t="shared" ca="1" si="82"/>
        <v>13199</v>
      </c>
      <c r="FH68" s="92">
        <f t="shared" ca="1" si="82"/>
        <v>0</v>
      </c>
      <c r="FI68" s="92">
        <f t="shared" ca="1" si="82"/>
        <v>0</v>
      </c>
      <c r="FJ68" s="92">
        <f t="shared" ca="1" si="117"/>
        <v>0</v>
      </c>
      <c r="FK68" s="92">
        <f t="shared" ca="1" si="117"/>
        <v>0</v>
      </c>
      <c r="FL68" s="92">
        <f t="shared" ca="1" si="117"/>
        <v>0</v>
      </c>
      <c r="FM68" s="92">
        <f t="shared" ca="1" si="117"/>
        <v>0</v>
      </c>
      <c r="FN68" s="94">
        <f t="shared" ca="1" si="118"/>
        <v>11000</v>
      </c>
      <c r="FO68" s="94">
        <f t="shared" ca="1" si="119"/>
        <v>1000</v>
      </c>
      <c r="FP68" s="95">
        <f t="shared" ca="1" si="112"/>
        <v>30</v>
      </c>
      <c r="FQ68" s="95">
        <f t="shared" ca="1" si="112"/>
        <v>28.744971842316975</v>
      </c>
      <c r="FR68" s="95">
        <f t="shared" ca="1" si="96"/>
        <v>31.983050847457626</v>
      </c>
      <c r="FS68" s="95">
        <f t="shared" ca="1" si="96"/>
        <v>46.690909090909095</v>
      </c>
      <c r="FT68" s="95">
        <f t="shared" ca="1" si="96"/>
        <v>70.078585461689585</v>
      </c>
      <c r="FU68" s="95">
        <f t="shared" ca="1" si="96"/>
        <v>16.002621231979028</v>
      </c>
      <c r="FV68" s="95">
        <f t="shared" ca="1" si="96"/>
        <v>21.389252948885972</v>
      </c>
      <c r="FW68" s="95">
        <f t="shared" ca="1" si="96"/>
        <v>27.357798165137616</v>
      </c>
      <c r="FX68" s="95">
        <f t="shared" ca="1" si="96"/>
        <v>8.1192660550458733</v>
      </c>
      <c r="FY68" s="95">
        <f t="shared" ca="1" si="96"/>
        <v>64.353628023352798</v>
      </c>
      <c r="FZ68" s="95">
        <f t="shared" ca="1" si="96"/>
        <v>108.34047109207707</v>
      </c>
      <c r="GA68" s="95">
        <f t="shared" ca="1" si="96"/>
        <v>74.587155963302735</v>
      </c>
      <c r="GB68" s="95">
        <f t="shared" ca="1" si="96"/>
        <v>44.587155963302749</v>
      </c>
      <c r="GC68" s="95">
        <f t="shared" ca="1" si="96"/>
        <v>167.49235474006116</v>
      </c>
      <c r="GD68" s="95">
        <f t="shared" ca="1" si="96"/>
        <v>154.67889908256882</v>
      </c>
      <c r="GE68" s="95">
        <f t="shared" ca="1" si="96"/>
        <v>124.67889908256882</v>
      </c>
      <c r="GF68" s="95">
        <f t="shared" ca="1" si="96"/>
        <v>132.73918741808649</v>
      </c>
      <c r="GG68" s="95">
        <f t="shared" ca="1" si="90"/>
        <v>143.83486238532109</v>
      </c>
      <c r="GH68" s="95">
        <f t="shared" ca="1" si="90"/>
        <v>117.79816513761467</v>
      </c>
      <c r="GI68" s="95">
        <f t="shared" ca="1" si="97"/>
        <v>131.99999999999997</v>
      </c>
      <c r="GJ68" s="95">
        <f t="shared" ca="1" si="97"/>
        <v>68.26153846153845</v>
      </c>
      <c r="GK68" s="95">
        <f t="shared" ca="1" si="97"/>
        <v>37.119402985074629</v>
      </c>
      <c r="GL68" s="95">
        <f t="shared" ca="1" si="97"/>
        <v>0</v>
      </c>
      <c r="GM68" s="95">
        <f t="shared" ca="1" si="97"/>
        <v>0</v>
      </c>
      <c r="GN68" s="95">
        <f t="shared" ca="1" si="97"/>
        <v>0</v>
      </c>
      <c r="GO68" s="95">
        <f t="shared" ca="1" si="97"/>
        <v>0</v>
      </c>
      <c r="GP68" s="95">
        <f t="shared" ca="1" si="97"/>
        <v>0</v>
      </c>
      <c r="GQ68" s="95">
        <f t="shared" ca="1" si="97"/>
        <v>0</v>
      </c>
      <c r="GS68" s="7">
        <v>16.533107809999997</v>
      </c>
      <c r="GT68" s="96">
        <f t="shared" ca="1" si="120"/>
        <v>8188.137374657168</v>
      </c>
      <c r="GU68" s="96">
        <f t="shared" ca="1" si="120"/>
        <v>12274.162705036188</v>
      </c>
      <c r="GV68" s="96">
        <f t="shared" ca="1" si="120"/>
        <v>24548.325410072375</v>
      </c>
      <c r="GW68" s="96">
        <f t="shared" ca="1" si="120"/>
        <v>17534.518150051699</v>
      </c>
      <c r="GX68" s="96">
        <f t="shared" ca="1" si="120"/>
        <v>21041.421780062035</v>
      </c>
      <c r="GY68" s="96">
        <f t="shared" ca="1" si="120"/>
        <v>19287.969965056865</v>
      </c>
      <c r="GZ68" s="96">
        <f t="shared" ca="1" si="120"/>
        <v>15024.990781787417</v>
      </c>
      <c r="HA68" s="96">
        <f t="shared" ca="1" si="120"/>
        <v>15781.066335046527</v>
      </c>
      <c r="HB68" s="96">
        <f t="shared" ca="1" si="120"/>
        <v>15781.066335046527</v>
      </c>
      <c r="HC68" s="96">
        <f t="shared" ca="1" si="120"/>
        <v>15781.066335046527</v>
      </c>
      <c r="HD68" s="96">
        <f t="shared" ca="1" si="121"/>
        <v>14027.614520041358</v>
      </c>
      <c r="HE68" s="96">
        <f t="shared" ca="1" si="121"/>
        <v>14027.614520041358</v>
      </c>
      <c r="HF68" s="96">
        <f t="shared" ca="1" si="120"/>
        <v>24548.325410072375</v>
      </c>
      <c r="HG68" s="96">
        <f t="shared" ca="1" si="120"/>
        <v>17534.518150051699</v>
      </c>
      <c r="HH68" s="96">
        <f t="shared" ca="1" si="120"/>
        <v>21041.421780062035</v>
      </c>
      <c r="HI68" s="96">
        <f t="shared" ca="1" si="121"/>
        <v>13995.441092243098</v>
      </c>
      <c r="HJ68" s="96">
        <f t="shared" ca="1" si="121"/>
        <v>20912.728068868993</v>
      </c>
      <c r="HK68" s="96">
        <f t="shared" ca="1" si="121"/>
        <v>21556.196624834196</v>
      </c>
      <c r="HL68" s="96">
        <f t="shared" ca="1" si="121"/>
        <v>0</v>
      </c>
      <c r="HM68" s="96">
        <f t="shared" ca="1" si="121"/>
        <v>0</v>
      </c>
      <c r="HN68" s="96">
        <f t="shared" ca="1" si="121"/>
        <v>0</v>
      </c>
      <c r="HO68" s="96">
        <f t="shared" ca="1" si="121"/>
        <v>0</v>
      </c>
      <c r="HP68" s="96">
        <f t="shared" ca="1" si="121"/>
        <v>0</v>
      </c>
      <c r="HQ68" s="96">
        <f t="shared" ca="1" si="121"/>
        <v>0</v>
      </c>
      <c r="HS68" s="97">
        <f t="shared" ca="1" si="21"/>
        <v>19657.865186089995</v>
      </c>
    </row>
    <row r="69" spans="1:227" ht="17.25" thickTop="1" thickBot="1" x14ac:dyDescent="0.3">
      <c r="A69" s="16" t="s">
        <v>39</v>
      </c>
      <c r="B69" s="73" t="s">
        <v>442</v>
      </c>
      <c r="C69" s="73" t="s">
        <v>442</v>
      </c>
      <c r="D69" s="74" t="s">
        <v>1</v>
      </c>
      <c r="E69" s="74" t="s">
        <v>341</v>
      </c>
      <c r="F69" s="73"/>
      <c r="G69" s="75">
        <f t="shared" ca="1" si="115"/>
        <v>152</v>
      </c>
      <c r="H69" s="75">
        <v>66</v>
      </c>
      <c r="I69" s="75">
        <f t="shared" ca="1" si="102"/>
        <v>218</v>
      </c>
      <c r="J69" s="76">
        <f ca="1">[1]Parameters!$C$3+G69</f>
        <v>45983</v>
      </c>
      <c r="K69" s="77">
        <f t="shared" ca="1" si="103"/>
        <v>11</v>
      </c>
      <c r="L69" s="77">
        <f t="shared" ca="1" si="104"/>
        <v>2025</v>
      </c>
      <c r="M69" s="76">
        <f ca="1">[1]Parameters!$C$3+I69</f>
        <v>46049</v>
      </c>
      <c r="N69" s="77">
        <f t="shared" ca="1" si="25"/>
        <v>1</v>
      </c>
      <c r="O69" s="77">
        <f t="shared" ca="1" si="26"/>
        <v>2026</v>
      </c>
      <c r="P69" s="78">
        <v>0.9</v>
      </c>
      <c r="Q69" s="79" t="str">
        <f ca="1">VLOOKUP(A69,[1]ABC!N:T,7,0)</f>
        <v>C</v>
      </c>
      <c r="R69" s="80">
        <f t="shared" ca="1" si="99"/>
        <v>31.41512924882381</v>
      </c>
      <c r="S69" s="81">
        <v>9.1300000000000008</v>
      </c>
      <c r="T69" s="82">
        <f t="shared" ref="T69:T74" ca="1" si="122">ROUND((FLOOR(NORMINV(P69,0,1)*SQRT(I69/30)*CE69,1))/100,0)*100</f>
        <v>400</v>
      </c>
      <c r="U69" s="83">
        <f t="shared" ca="1" si="116"/>
        <v>1020</v>
      </c>
      <c r="V69" s="80">
        <v>1000</v>
      </c>
      <c r="W69" s="80">
        <f t="shared" ca="1" si="27"/>
        <v>1000</v>
      </c>
      <c r="X69" s="80"/>
      <c r="Y69" s="84">
        <v>1.37</v>
      </c>
      <c r="Z69" s="85">
        <v>768</v>
      </c>
      <c r="AA69" s="85">
        <v>716</v>
      </c>
      <c r="AB69" s="85">
        <v>509</v>
      </c>
      <c r="AC69" s="85">
        <v>611</v>
      </c>
      <c r="AD69" s="85">
        <v>1150</v>
      </c>
      <c r="AE69" s="85">
        <v>351</v>
      </c>
      <c r="AF69" s="85">
        <v>1280</v>
      </c>
      <c r="AG69" s="85">
        <v>834</v>
      </c>
      <c r="AH69" s="85">
        <v>265</v>
      </c>
      <c r="AI69" s="75">
        <v>1703</v>
      </c>
      <c r="AJ69" s="75">
        <f t="shared" ca="1" si="110"/>
        <v>3722</v>
      </c>
      <c r="AK69" s="75">
        <f t="shared" ca="1" si="110"/>
        <v>2654</v>
      </c>
      <c r="AL69" s="75">
        <f t="shared" ca="1" si="110"/>
        <v>1586</v>
      </c>
      <c r="AM69" s="75">
        <f t="shared" ca="1" si="110"/>
        <v>7563</v>
      </c>
      <c r="AN69" s="75">
        <f t="shared" ca="1" si="110"/>
        <v>6604</v>
      </c>
      <c r="AO69" s="75">
        <f t="shared" ca="1" si="110"/>
        <v>5623</v>
      </c>
      <c r="AP69" s="75">
        <f t="shared" ca="1" si="110"/>
        <v>5751</v>
      </c>
      <c r="AQ69" s="75">
        <f t="shared" ca="1" si="110"/>
        <v>4552</v>
      </c>
      <c r="AR69" s="75">
        <f t="shared" ca="1" si="110"/>
        <v>4680</v>
      </c>
      <c r="AS69" s="75">
        <f t="shared" ca="1" si="110"/>
        <v>3590</v>
      </c>
      <c r="AT69" s="75">
        <f t="shared" ca="1" si="110"/>
        <v>2730</v>
      </c>
      <c r="AU69" s="75">
        <f t="shared" ca="1" si="110"/>
        <v>1621</v>
      </c>
      <c r="AV69" s="75">
        <f t="shared" ca="1" si="110"/>
        <v>612</v>
      </c>
      <c r="AW69" s="75">
        <f t="shared" ca="1" si="110"/>
        <v>612</v>
      </c>
      <c r="AX69" s="75">
        <f t="shared" ca="1" si="110"/>
        <v>612</v>
      </c>
      <c r="AY69" s="75">
        <f t="shared" ca="1" si="54"/>
        <v>612</v>
      </c>
      <c r="AZ69" s="75">
        <f t="shared" ca="1" si="54"/>
        <v>612</v>
      </c>
      <c r="BA69" s="75">
        <f t="shared" ca="1" si="54"/>
        <v>612</v>
      </c>
      <c r="BB69" s="166"/>
      <c r="BC69" s="86">
        <v>753</v>
      </c>
      <c r="BD69" s="86">
        <v>771</v>
      </c>
      <c r="BE69" s="86">
        <v>590</v>
      </c>
      <c r="BF69" s="86">
        <v>620</v>
      </c>
      <c r="BG69" s="86">
        <v>516</v>
      </c>
      <c r="BH69" s="86">
        <v>763</v>
      </c>
      <c r="BI69" s="86">
        <v>1199</v>
      </c>
      <c r="BJ69" s="86">
        <v>872</v>
      </c>
      <c r="BK69" s="86">
        <v>1090</v>
      </c>
      <c r="BL69" s="86">
        <v>981</v>
      </c>
      <c r="BM69" s="86">
        <v>1068</v>
      </c>
      <c r="BN69" s="86">
        <v>1068</v>
      </c>
      <c r="BO69" s="86">
        <v>1068</v>
      </c>
      <c r="BP69" s="86">
        <v>959</v>
      </c>
      <c r="BQ69" s="86">
        <v>981</v>
      </c>
      <c r="BR69" s="86">
        <v>872</v>
      </c>
      <c r="BS69" s="86">
        <v>1199</v>
      </c>
      <c r="BT69" s="86">
        <v>872</v>
      </c>
      <c r="BU69" s="86">
        <v>1090</v>
      </c>
      <c r="BV69" s="86">
        <v>860</v>
      </c>
      <c r="BW69" s="86">
        <v>1109</v>
      </c>
      <c r="BX69" s="86">
        <v>1009</v>
      </c>
      <c r="BY69" s="86">
        <v>0</v>
      </c>
      <c r="BZ69" s="86">
        <v>0</v>
      </c>
      <c r="CA69" s="86">
        <v>0</v>
      </c>
      <c r="CB69" s="86">
        <v>0</v>
      </c>
      <c r="CC69" s="86">
        <v>0</v>
      </c>
      <c r="CD69" s="86">
        <v>0</v>
      </c>
      <c r="CE69" s="86">
        <f t="shared" ca="1" si="28"/>
        <v>102.82802421569016</v>
      </c>
      <c r="CF69" s="87"/>
      <c r="CG69" s="86">
        <v>0</v>
      </c>
      <c r="CH69" s="86">
        <v>0</v>
      </c>
      <c r="CI69" s="86">
        <v>0</v>
      </c>
      <c r="CJ69" s="86">
        <v>0</v>
      </c>
      <c r="CK69" s="86">
        <v>0</v>
      </c>
      <c r="CL69" s="86">
        <v>0</v>
      </c>
      <c r="CM69" s="86">
        <v>0</v>
      </c>
      <c r="CN69" s="86">
        <v>0</v>
      </c>
      <c r="CO69" s="89">
        <v>3000</v>
      </c>
      <c r="CP69" s="89">
        <v>0</v>
      </c>
      <c r="CQ69" s="99">
        <v>0</v>
      </c>
      <c r="CR69" s="99">
        <f ca="1">2000+5045</f>
        <v>7045</v>
      </c>
      <c r="CS69" s="86">
        <v>0</v>
      </c>
      <c r="CT69" s="100">
        <v>0</v>
      </c>
      <c r="CU69" s="100">
        <v>1000</v>
      </c>
      <c r="CV69" s="90">
        <v>0</v>
      </c>
      <c r="CW69" s="90">
        <v>1000</v>
      </c>
      <c r="CX69" s="90">
        <v>0</v>
      </c>
      <c r="CY69" s="90">
        <v>0</v>
      </c>
      <c r="CZ69" s="90">
        <v>0</v>
      </c>
      <c r="DA69" s="90">
        <v>0</v>
      </c>
      <c r="DB69" s="90">
        <v>0</v>
      </c>
      <c r="DC69" s="90">
        <v>0</v>
      </c>
      <c r="DD69" s="90">
        <v>0</v>
      </c>
      <c r="DE69" s="90">
        <v>0</v>
      </c>
      <c r="DF69" s="90">
        <v>0</v>
      </c>
      <c r="DG69" s="86">
        <v>0</v>
      </c>
      <c r="DI69" s="91">
        <f ca="1">VLOOKUP(A69,'[2]2-Relatório'!$A:$J,9,0)</f>
        <v>9.66</v>
      </c>
      <c r="DJ69" s="92">
        <f t="shared" ca="1" si="89"/>
        <v>4916.9400000000005</v>
      </c>
      <c r="DK69" s="92">
        <f t="shared" ca="1" si="89"/>
        <v>5902.26</v>
      </c>
      <c r="DL69" s="92">
        <f t="shared" ca="1" si="89"/>
        <v>11109</v>
      </c>
      <c r="DM69" s="92">
        <f t="shared" ca="1" si="89"/>
        <v>3390.66</v>
      </c>
      <c r="DN69" s="92">
        <f t="shared" ca="1" si="89"/>
        <v>12364.8</v>
      </c>
      <c r="DO69" s="92">
        <f t="shared" ca="1" si="89"/>
        <v>8056.4400000000005</v>
      </c>
      <c r="DP69" s="92">
        <f t="shared" ca="1" si="89"/>
        <v>2559.9</v>
      </c>
      <c r="DQ69" s="92">
        <f t="shared" ca="1" si="88"/>
        <v>16450.98</v>
      </c>
      <c r="DR69" s="92">
        <f t="shared" ca="1" si="88"/>
        <v>35954.520000000004</v>
      </c>
      <c r="DS69" s="92">
        <f t="shared" ca="1" si="88"/>
        <v>25637.64</v>
      </c>
      <c r="DT69" s="92">
        <f t="shared" ca="1" si="88"/>
        <v>15320.76</v>
      </c>
      <c r="DU69" s="92">
        <f t="shared" ca="1" si="88"/>
        <v>73058.58</v>
      </c>
      <c r="DV69" s="92">
        <f t="shared" ca="1" si="88"/>
        <v>63794.64</v>
      </c>
      <c r="DW69" s="92">
        <f t="shared" ca="1" si="88"/>
        <v>54318.18</v>
      </c>
      <c r="DX69" s="92">
        <f t="shared" ca="1" si="88"/>
        <v>55554.66</v>
      </c>
      <c r="DY69" s="92">
        <f t="shared" ca="1" si="88"/>
        <v>43972.32</v>
      </c>
      <c r="DZ69" s="92">
        <f t="shared" ca="1" si="75"/>
        <v>45208.800000000003</v>
      </c>
      <c r="EA69" s="92">
        <f t="shared" ca="1" si="75"/>
        <v>34679.4</v>
      </c>
      <c r="EB69" s="92">
        <f t="shared" ca="1" si="75"/>
        <v>26371.8</v>
      </c>
      <c r="EC69" s="92">
        <f t="shared" ca="1" si="75"/>
        <v>15658.86</v>
      </c>
      <c r="ED69" s="92">
        <f t="shared" ca="1" si="75"/>
        <v>5911.92</v>
      </c>
      <c r="EE69" s="92">
        <f t="shared" ca="1" si="75"/>
        <v>5911.92</v>
      </c>
      <c r="EF69" s="92">
        <f t="shared" ca="1" si="75"/>
        <v>5911.92</v>
      </c>
      <c r="EG69" s="92">
        <f t="shared" ca="1" si="75"/>
        <v>5911.92</v>
      </c>
      <c r="EH69" s="92">
        <f t="shared" ca="1" si="75"/>
        <v>5911.92</v>
      </c>
      <c r="EI69" s="92">
        <f t="shared" ca="1" si="75"/>
        <v>5911.92</v>
      </c>
      <c r="EL69" s="93">
        <f t="shared" ca="1" si="111"/>
        <v>6874.89</v>
      </c>
      <c r="EM69" s="93">
        <f t="shared" ca="1" si="111"/>
        <v>7039.2300000000005</v>
      </c>
      <c r="EN69" s="92">
        <f t="shared" ca="1" si="113"/>
        <v>5699.4</v>
      </c>
      <c r="EO69" s="92">
        <f t="shared" ca="1" si="113"/>
        <v>5989.2</v>
      </c>
      <c r="EP69" s="92">
        <f t="shared" ca="1" si="113"/>
        <v>4984.5600000000004</v>
      </c>
      <c r="EQ69" s="92">
        <f t="shared" ca="1" si="113"/>
        <v>7370.58</v>
      </c>
      <c r="ER69" s="92">
        <f t="shared" ca="1" si="113"/>
        <v>11582.34</v>
      </c>
      <c r="ES69" s="92">
        <f t="shared" ca="1" si="113"/>
        <v>8423.52</v>
      </c>
      <c r="ET69" s="92">
        <f t="shared" ca="1" si="113"/>
        <v>10529.4</v>
      </c>
      <c r="EU69" s="92">
        <f t="shared" ca="1" si="113"/>
        <v>9476.4600000000009</v>
      </c>
      <c r="EV69" s="92">
        <f t="shared" ca="1" si="113"/>
        <v>10316.880000000001</v>
      </c>
      <c r="EW69" s="92">
        <f t="shared" ca="1" si="113"/>
        <v>10316.880000000001</v>
      </c>
      <c r="EX69" s="92">
        <f t="shared" ca="1" si="113"/>
        <v>10316.880000000001</v>
      </c>
      <c r="EY69" s="92">
        <f t="shared" ca="1" si="113"/>
        <v>9263.94</v>
      </c>
      <c r="EZ69" s="92">
        <f t="shared" ca="1" si="113"/>
        <v>9476.4600000000009</v>
      </c>
      <c r="FA69" s="92">
        <f t="shared" ca="1" si="113"/>
        <v>8423.52</v>
      </c>
      <c r="FB69" s="92">
        <f t="shared" ca="1" si="113"/>
        <v>11582.34</v>
      </c>
      <c r="FC69" s="92">
        <f t="shared" ca="1" si="82"/>
        <v>8423.52</v>
      </c>
      <c r="FD69" s="92">
        <f t="shared" ca="1" si="82"/>
        <v>10529.4</v>
      </c>
      <c r="FE69" s="92">
        <f t="shared" ca="1" si="82"/>
        <v>8307.6</v>
      </c>
      <c r="FF69" s="92">
        <f t="shared" ca="1" si="82"/>
        <v>10712.94</v>
      </c>
      <c r="FG69" s="92">
        <f t="shared" ca="1" si="82"/>
        <v>9746.94</v>
      </c>
      <c r="FH69" s="92">
        <f t="shared" ca="1" si="82"/>
        <v>0</v>
      </c>
      <c r="FI69" s="92">
        <f t="shared" ca="1" si="82"/>
        <v>0</v>
      </c>
      <c r="FJ69" s="92">
        <f t="shared" ca="1" si="117"/>
        <v>0</v>
      </c>
      <c r="FK69" s="92">
        <f t="shared" ca="1" si="117"/>
        <v>0</v>
      </c>
      <c r="FL69" s="92">
        <f t="shared" ca="1" si="117"/>
        <v>0</v>
      </c>
      <c r="FM69" s="92">
        <f t="shared" ca="1" si="117"/>
        <v>0</v>
      </c>
      <c r="FN69" s="94">
        <f t="shared" ca="1" si="118"/>
        <v>11045</v>
      </c>
      <c r="FO69" s="94">
        <f t="shared" ca="1" si="119"/>
        <v>1000</v>
      </c>
      <c r="FP69" s="95">
        <f t="shared" ca="1" si="112"/>
        <v>30.597609561752989</v>
      </c>
      <c r="FQ69" s="95">
        <f t="shared" ca="1" si="112"/>
        <v>27.859922178988327</v>
      </c>
      <c r="FR69" s="95">
        <f t="shared" ca="1" si="96"/>
        <v>25.881355932203395</v>
      </c>
      <c r="FS69" s="95">
        <f t="shared" ca="1" si="96"/>
        <v>29.56451612903226</v>
      </c>
      <c r="FT69" s="95">
        <f t="shared" ca="1" si="96"/>
        <v>66.860465116279073</v>
      </c>
      <c r="FU69" s="95">
        <f t="shared" ca="1" si="96"/>
        <v>13.800786369593709</v>
      </c>
      <c r="FV69" s="95">
        <f t="shared" ca="1" si="96"/>
        <v>32.026688907422852</v>
      </c>
      <c r="FW69" s="95">
        <f t="shared" ca="1" si="96"/>
        <v>28.692660550458715</v>
      </c>
      <c r="FX69" s="95">
        <f t="shared" ca="1" si="96"/>
        <v>7.2935779816513762</v>
      </c>
      <c r="FY69" s="95">
        <f t="shared" ca="1" si="96"/>
        <v>52.079510703363908</v>
      </c>
      <c r="FZ69" s="95">
        <f t="shared" ca="1" si="96"/>
        <v>104.55056179775281</v>
      </c>
      <c r="GA69" s="95">
        <f t="shared" ca="1" si="96"/>
        <v>74.550561797752792</v>
      </c>
      <c r="GB69" s="95">
        <f t="shared" ca="1" si="96"/>
        <v>44.550561797752806</v>
      </c>
      <c r="GC69" s="95">
        <f t="shared" ca="1" si="96"/>
        <v>236.59019812304484</v>
      </c>
      <c r="GD69" s="95">
        <f t="shared" ca="1" si="96"/>
        <v>201.95718654434251</v>
      </c>
      <c r="GE69" s="95">
        <f t="shared" ca="1" si="96"/>
        <v>193.45183486238531</v>
      </c>
      <c r="GF69" s="95">
        <f t="shared" ca="1" si="96"/>
        <v>143.89491242702252</v>
      </c>
      <c r="GG69" s="95">
        <f t="shared" ca="1" si="90"/>
        <v>156.60550458715596</v>
      </c>
      <c r="GH69" s="95">
        <f t="shared" ca="1" si="90"/>
        <v>128.80733944954127</v>
      </c>
      <c r="GI69" s="95">
        <f t="shared" ca="1" si="97"/>
        <v>125.23255813953489</v>
      </c>
      <c r="GJ69" s="95">
        <f t="shared" ca="1" si="97"/>
        <v>73.850315599639316</v>
      </c>
      <c r="GK69" s="95">
        <f t="shared" ca="1" si="97"/>
        <v>48.196233894945493</v>
      </c>
      <c r="GL69" s="95">
        <f t="shared" ca="1" si="97"/>
        <v>0</v>
      </c>
      <c r="GM69" s="95">
        <f t="shared" ca="1" si="97"/>
        <v>0</v>
      </c>
      <c r="GN69" s="95">
        <f t="shared" ca="1" si="97"/>
        <v>0</v>
      </c>
      <c r="GO69" s="95">
        <f t="shared" ca="1" si="97"/>
        <v>0</v>
      </c>
      <c r="GP69" s="95">
        <f t="shared" ca="1" si="97"/>
        <v>0</v>
      </c>
      <c r="GQ69" s="95">
        <f t="shared" ca="1" si="97"/>
        <v>0</v>
      </c>
      <c r="GS69" s="7">
        <v>16.215113870000003</v>
      </c>
      <c r="GT69" s="96">
        <f t="shared" ca="1" si="120"/>
        <v>8141.0897904831618</v>
      </c>
      <c r="GU69" s="96">
        <f t="shared" ca="1" si="120"/>
        <v>12038.084321974133</v>
      </c>
      <c r="GV69" s="96">
        <f t="shared" ca="1" si="120"/>
        <v>18916.989648816492</v>
      </c>
      <c r="GW69" s="96">
        <f t="shared" ca="1" si="120"/>
        <v>13757.810653684723</v>
      </c>
      <c r="GX69" s="96">
        <f t="shared" ca="1" si="120"/>
        <v>17197.263317105902</v>
      </c>
      <c r="GY69" s="96">
        <f t="shared" ca="1" si="120"/>
        <v>15477.536985395314</v>
      </c>
      <c r="GZ69" s="96">
        <f t="shared" ca="1" si="120"/>
        <v>16850.162589604683</v>
      </c>
      <c r="HA69" s="96">
        <f t="shared" ca="1" si="120"/>
        <v>16850.162589604683</v>
      </c>
      <c r="HB69" s="96">
        <f t="shared" ca="1" si="120"/>
        <v>16850.162589604683</v>
      </c>
      <c r="HC69" s="96">
        <f t="shared" ca="1" si="120"/>
        <v>15130.436257894093</v>
      </c>
      <c r="HD69" s="96">
        <f t="shared" ca="1" si="121"/>
        <v>15477.536985395314</v>
      </c>
      <c r="HE69" s="96">
        <f t="shared" ca="1" si="121"/>
        <v>13757.810653684723</v>
      </c>
      <c r="HF69" s="96">
        <f t="shared" ca="1" si="120"/>
        <v>18916.989648816492</v>
      </c>
      <c r="HG69" s="96">
        <f t="shared" ca="1" si="120"/>
        <v>13757.810653684723</v>
      </c>
      <c r="HH69" s="96">
        <f t="shared" ca="1" si="120"/>
        <v>17197.263317105902</v>
      </c>
      <c r="HI69" s="96">
        <f t="shared" ca="1" si="121"/>
        <v>13568.482984138602</v>
      </c>
      <c r="HJ69" s="96">
        <f t="shared" ca="1" si="121"/>
        <v>17497.032127220595</v>
      </c>
      <c r="HK69" s="96">
        <f t="shared" ca="1" si="121"/>
        <v>15919.301547669593</v>
      </c>
      <c r="HL69" s="96">
        <f t="shared" ca="1" si="121"/>
        <v>0</v>
      </c>
      <c r="HM69" s="96">
        <f t="shared" ca="1" si="121"/>
        <v>0</v>
      </c>
      <c r="HN69" s="96">
        <f t="shared" ca="1" si="121"/>
        <v>0</v>
      </c>
      <c r="HO69" s="96">
        <f t="shared" ca="1" si="121"/>
        <v>0</v>
      </c>
      <c r="HP69" s="96">
        <f t="shared" ca="1" si="121"/>
        <v>0</v>
      </c>
      <c r="HQ69" s="96">
        <f t="shared" ca="1" si="121"/>
        <v>0</v>
      </c>
      <c r="HS69" s="97">
        <f t="shared" ref="HS69:HS74" ca="1" si="123">$GS69*AD69</f>
        <v>18647.380950500003</v>
      </c>
    </row>
    <row r="70" spans="1:227" ht="17.25" thickTop="1" thickBot="1" x14ac:dyDescent="0.3">
      <c r="A70" s="16" t="s">
        <v>41</v>
      </c>
      <c r="B70" s="73" t="s">
        <v>443</v>
      </c>
      <c r="C70" s="73" t="s">
        <v>443</v>
      </c>
      <c r="D70" s="74" t="s">
        <v>1</v>
      </c>
      <c r="E70" s="74" t="s">
        <v>341</v>
      </c>
      <c r="F70" s="73"/>
      <c r="G70" s="75">
        <f t="shared" ca="1" si="115"/>
        <v>152</v>
      </c>
      <c r="H70" s="75">
        <v>66</v>
      </c>
      <c r="I70" s="75">
        <f t="shared" ca="1" si="102"/>
        <v>218</v>
      </c>
      <c r="J70" s="76">
        <f ca="1">[1]Parameters!$C$3+G70</f>
        <v>45983</v>
      </c>
      <c r="K70" s="77">
        <f t="shared" ca="1" si="103"/>
        <v>11</v>
      </c>
      <c r="L70" s="77">
        <f t="shared" ca="1" si="104"/>
        <v>2025</v>
      </c>
      <c r="M70" s="76">
        <f ca="1">[1]Parameters!$C$3+I70</f>
        <v>46049</v>
      </c>
      <c r="N70" s="77">
        <f t="shared" ref="N70:N74" ca="1" si="124">MONTH(M70)</f>
        <v>1</v>
      </c>
      <c r="O70" s="77">
        <f t="shared" ref="O70:O74" ca="1" si="125">YEAR(M70)</f>
        <v>2026</v>
      </c>
      <c r="P70" s="78">
        <v>0.9</v>
      </c>
      <c r="Q70" s="79" t="str">
        <f ca="1">VLOOKUP(A70,[1]ABC!N:T,7,0)</f>
        <v>C</v>
      </c>
      <c r="R70" s="80">
        <f t="shared" ca="1" si="99"/>
        <v>30.578953985416138</v>
      </c>
      <c r="S70" s="81">
        <v>9.1999999999999993</v>
      </c>
      <c r="T70" s="82">
        <f t="shared" ca="1" si="122"/>
        <v>600</v>
      </c>
      <c r="U70" s="83">
        <f t="shared" ca="1" si="116"/>
        <v>670</v>
      </c>
      <c r="V70" s="80">
        <v>1000</v>
      </c>
      <c r="W70" s="80">
        <f t="shared" ref="W70:W74" ca="1" si="126">IF(U70&gt;=V70,(ROUND(U70/V70,0))*V70,V70)</f>
        <v>1000</v>
      </c>
      <c r="X70" s="80"/>
      <c r="Y70" s="84">
        <v>1.37</v>
      </c>
      <c r="Z70" s="85">
        <v>672</v>
      </c>
      <c r="AA70" s="85">
        <v>470</v>
      </c>
      <c r="AB70" s="85">
        <v>483</v>
      </c>
      <c r="AC70" s="85">
        <v>341</v>
      </c>
      <c r="AD70" s="85">
        <v>622</v>
      </c>
      <c r="AE70" s="85">
        <v>221</v>
      </c>
      <c r="AF70" s="85">
        <v>841</v>
      </c>
      <c r="AG70" s="85">
        <v>706</v>
      </c>
      <c r="AH70" s="85">
        <v>204</v>
      </c>
      <c r="AI70" s="75">
        <v>3327</v>
      </c>
      <c r="AJ70" s="75">
        <f t="shared" ca="1" si="110"/>
        <v>2455</v>
      </c>
      <c r="AK70" s="75">
        <f t="shared" ca="1" si="110"/>
        <v>2142</v>
      </c>
      <c r="AL70" s="75">
        <f t="shared" ca="1" si="110"/>
        <v>1488</v>
      </c>
      <c r="AM70" s="75">
        <f t="shared" ca="1" si="110"/>
        <v>4834</v>
      </c>
      <c r="AN70" s="75">
        <f t="shared" ca="1" si="110"/>
        <v>4224</v>
      </c>
      <c r="AO70" s="75">
        <f t="shared" ca="1" si="110"/>
        <v>3614</v>
      </c>
      <c r="AP70" s="75">
        <f t="shared" ca="1" si="110"/>
        <v>4004</v>
      </c>
      <c r="AQ70" s="75">
        <f t="shared" ca="1" si="110"/>
        <v>3132</v>
      </c>
      <c r="AR70" s="75">
        <f t="shared" ca="1" si="110"/>
        <v>3478</v>
      </c>
      <c r="AS70" s="75">
        <f t="shared" ca="1" si="110"/>
        <v>2606</v>
      </c>
      <c r="AT70" s="75">
        <f t="shared" ca="1" si="110"/>
        <v>2194</v>
      </c>
      <c r="AU70" s="75">
        <f t="shared" ca="1" si="110"/>
        <v>1324</v>
      </c>
      <c r="AV70" s="75">
        <f t="shared" ca="1" si="110"/>
        <v>534</v>
      </c>
      <c r="AW70" s="75">
        <f t="shared" ca="1" si="110"/>
        <v>534</v>
      </c>
      <c r="AX70" s="75">
        <f t="shared" ca="1" si="110"/>
        <v>534</v>
      </c>
      <c r="AY70" s="75">
        <f t="shared" ca="1" si="54"/>
        <v>534</v>
      </c>
      <c r="AZ70" s="75">
        <f t="shared" ca="1" si="54"/>
        <v>534</v>
      </c>
      <c r="BA70" s="75">
        <f t="shared" ca="1" si="54"/>
        <v>534</v>
      </c>
      <c r="BB70" s="166"/>
      <c r="BC70" s="86">
        <v>672</v>
      </c>
      <c r="BD70" s="86">
        <v>525</v>
      </c>
      <c r="BE70" s="86">
        <v>320</v>
      </c>
      <c r="BF70" s="86">
        <v>440</v>
      </c>
      <c r="BG70" s="86">
        <v>404</v>
      </c>
      <c r="BH70" s="86">
        <v>763</v>
      </c>
      <c r="BI70" s="86">
        <v>872</v>
      </c>
      <c r="BJ70" s="86">
        <v>654</v>
      </c>
      <c r="BK70" s="86">
        <v>872</v>
      </c>
      <c r="BL70" s="86">
        <v>872</v>
      </c>
      <c r="BM70" s="86">
        <v>313</v>
      </c>
      <c r="BN70" s="86">
        <v>654</v>
      </c>
      <c r="BO70" s="86">
        <v>654</v>
      </c>
      <c r="BP70" s="86">
        <v>610</v>
      </c>
      <c r="BQ70" s="86">
        <v>610</v>
      </c>
      <c r="BR70" s="86">
        <v>610</v>
      </c>
      <c r="BS70" s="86">
        <v>872</v>
      </c>
      <c r="BT70" s="86">
        <v>654</v>
      </c>
      <c r="BU70" s="86">
        <v>872</v>
      </c>
      <c r="BV70" s="86">
        <v>412</v>
      </c>
      <c r="BW70" s="86">
        <v>870</v>
      </c>
      <c r="BX70" s="86">
        <v>790</v>
      </c>
      <c r="BY70" s="86">
        <v>0</v>
      </c>
      <c r="BZ70" s="86">
        <v>0</v>
      </c>
      <c r="CA70" s="86">
        <v>0</v>
      </c>
      <c r="CB70" s="86">
        <v>0</v>
      </c>
      <c r="CC70" s="86">
        <v>0</v>
      </c>
      <c r="CD70" s="86">
        <v>0</v>
      </c>
      <c r="CE70" s="86">
        <f t="shared" ref="CE70:CE74" ca="1" si="127">STDEV(BL70:BX70)</f>
        <v>178.38700366597081</v>
      </c>
      <c r="CF70" s="87"/>
      <c r="CG70" s="86">
        <v>0</v>
      </c>
      <c r="CH70" s="86">
        <v>0</v>
      </c>
      <c r="CI70" s="86">
        <v>0</v>
      </c>
      <c r="CJ70" s="86">
        <v>0</v>
      </c>
      <c r="CK70" s="86">
        <v>0</v>
      </c>
      <c r="CL70" s="86">
        <v>0</v>
      </c>
      <c r="CM70" s="86">
        <v>0</v>
      </c>
      <c r="CN70" s="86">
        <v>0</v>
      </c>
      <c r="CO70" s="89">
        <v>0</v>
      </c>
      <c r="CP70" s="89">
        <v>0</v>
      </c>
      <c r="CQ70" s="99">
        <v>0</v>
      </c>
      <c r="CR70" s="99">
        <f ca="1">2000+2000</f>
        <v>4000</v>
      </c>
      <c r="CS70" s="86">
        <v>0</v>
      </c>
      <c r="CT70" s="100">
        <v>0</v>
      </c>
      <c r="CU70" s="100">
        <v>1000</v>
      </c>
      <c r="CV70" s="90">
        <v>0</v>
      </c>
      <c r="CW70" s="90">
        <v>1000</v>
      </c>
      <c r="CX70" s="90">
        <v>0</v>
      </c>
      <c r="CY70" s="90">
        <v>0</v>
      </c>
      <c r="CZ70" s="90">
        <v>0</v>
      </c>
      <c r="DA70" s="90">
        <v>0</v>
      </c>
      <c r="DB70" s="90">
        <v>0</v>
      </c>
      <c r="DC70" s="90">
        <v>0</v>
      </c>
      <c r="DD70" s="90">
        <v>0</v>
      </c>
      <c r="DE70" s="90">
        <v>0</v>
      </c>
      <c r="DF70" s="90">
        <v>0</v>
      </c>
      <c r="DG70" s="86">
        <v>0</v>
      </c>
      <c r="DI70" s="91">
        <f ca="1">VLOOKUP(A70,'[2]2-Relatório'!$A:$J,9,0)</f>
        <v>10.39</v>
      </c>
      <c r="DJ70" s="92">
        <f t="shared" ca="1" si="89"/>
        <v>5018.37</v>
      </c>
      <c r="DK70" s="92">
        <f t="shared" ca="1" si="89"/>
        <v>3542.9900000000002</v>
      </c>
      <c r="DL70" s="92">
        <f t="shared" ca="1" si="89"/>
        <v>6462.58</v>
      </c>
      <c r="DM70" s="92">
        <f t="shared" ca="1" si="89"/>
        <v>2296.19</v>
      </c>
      <c r="DN70" s="92">
        <f t="shared" ca="1" si="89"/>
        <v>8737.99</v>
      </c>
      <c r="DO70" s="92">
        <f t="shared" ca="1" si="89"/>
        <v>7335.34</v>
      </c>
      <c r="DP70" s="92">
        <f t="shared" ca="1" si="89"/>
        <v>2119.56</v>
      </c>
      <c r="DQ70" s="92">
        <f t="shared" ca="1" si="88"/>
        <v>34567.53</v>
      </c>
      <c r="DR70" s="92">
        <f t="shared" ca="1" si="88"/>
        <v>25507.45</v>
      </c>
      <c r="DS70" s="92">
        <f t="shared" ca="1" si="88"/>
        <v>22255.38</v>
      </c>
      <c r="DT70" s="92">
        <f t="shared" ca="1" si="88"/>
        <v>15460.320000000002</v>
      </c>
      <c r="DU70" s="92">
        <f t="shared" ca="1" si="88"/>
        <v>50225.26</v>
      </c>
      <c r="DV70" s="92">
        <f t="shared" ca="1" si="88"/>
        <v>43887.360000000001</v>
      </c>
      <c r="DW70" s="92">
        <f t="shared" ca="1" si="88"/>
        <v>37549.46</v>
      </c>
      <c r="DX70" s="92">
        <f t="shared" ca="1" si="88"/>
        <v>41601.560000000005</v>
      </c>
      <c r="DY70" s="92">
        <f t="shared" ca="1" si="88"/>
        <v>32541.480000000003</v>
      </c>
      <c r="DZ70" s="92">
        <f t="shared" ca="1" si="88"/>
        <v>36136.420000000006</v>
      </c>
      <c r="EA70" s="92">
        <f t="shared" ca="1" si="88"/>
        <v>27076.34</v>
      </c>
      <c r="EB70" s="92">
        <f t="shared" ca="1" si="88"/>
        <v>22795.66</v>
      </c>
      <c r="EC70" s="92">
        <f t="shared" ca="1" si="88"/>
        <v>13756.36</v>
      </c>
      <c r="ED70" s="92">
        <f t="shared" ca="1" si="88"/>
        <v>5548.26</v>
      </c>
      <c r="EE70" s="92">
        <f t="shared" ca="1" si="88"/>
        <v>5548.26</v>
      </c>
      <c r="EF70" s="92">
        <f t="shared" ca="1" si="88"/>
        <v>5548.26</v>
      </c>
      <c r="EG70" s="92">
        <f t="shared" ref="EG70:EI74" ca="1" si="128">AY70*$DI70</f>
        <v>5548.26</v>
      </c>
      <c r="EH70" s="92">
        <f t="shared" ca="1" si="128"/>
        <v>5548.26</v>
      </c>
      <c r="EI70" s="92">
        <f t="shared" ca="1" si="128"/>
        <v>5548.26</v>
      </c>
      <c r="EL70" s="93">
        <f t="shared" ca="1" si="111"/>
        <v>6182.4</v>
      </c>
      <c r="EM70" s="93">
        <f t="shared" ca="1" si="111"/>
        <v>4830</v>
      </c>
      <c r="EN70" s="92">
        <f t="shared" ca="1" si="113"/>
        <v>3324.8</v>
      </c>
      <c r="EO70" s="92">
        <f t="shared" ca="1" si="113"/>
        <v>4571.6000000000004</v>
      </c>
      <c r="EP70" s="92">
        <f t="shared" ca="1" si="113"/>
        <v>4197.5600000000004</v>
      </c>
      <c r="EQ70" s="92">
        <f t="shared" ca="1" si="113"/>
        <v>7927.5700000000006</v>
      </c>
      <c r="ER70" s="92">
        <f t="shared" ca="1" si="113"/>
        <v>9060.08</v>
      </c>
      <c r="ES70" s="92">
        <f t="shared" ca="1" si="113"/>
        <v>6795.06</v>
      </c>
      <c r="ET70" s="92">
        <f t="shared" ca="1" si="113"/>
        <v>9060.08</v>
      </c>
      <c r="EU70" s="92">
        <f t="shared" ca="1" si="113"/>
        <v>9060.08</v>
      </c>
      <c r="EV70" s="92">
        <f t="shared" ca="1" si="113"/>
        <v>3252.07</v>
      </c>
      <c r="EW70" s="92">
        <f t="shared" ca="1" si="113"/>
        <v>6795.06</v>
      </c>
      <c r="EX70" s="92">
        <f t="shared" ca="1" si="113"/>
        <v>6795.06</v>
      </c>
      <c r="EY70" s="92">
        <f t="shared" ca="1" si="113"/>
        <v>6337.9000000000005</v>
      </c>
      <c r="EZ70" s="92">
        <f t="shared" ca="1" si="113"/>
        <v>6337.9000000000005</v>
      </c>
      <c r="FA70" s="92">
        <f t="shared" ca="1" si="113"/>
        <v>6337.9000000000005</v>
      </c>
      <c r="FB70" s="92">
        <f t="shared" ca="1" si="113"/>
        <v>9060.08</v>
      </c>
      <c r="FC70" s="92">
        <f t="shared" ca="1" si="82"/>
        <v>6795.06</v>
      </c>
      <c r="FD70" s="92">
        <f t="shared" ca="1" si="82"/>
        <v>9060.08</v>
      </c>
      <c r="FE70" s="92">
        <f t="shared" ca="1" si="82"/>
        <v>4280.68</v>
      </c>
      <c r="FF70" s="92">
        <f t="shared" ca="1" si="82"/>
        <v>9039.3000000000011</v>
      </c>
      <c r="FG70" s="92">
        <f t="shared" ca="1" si="82"/>
        <v>8208.1</v>
      </c>
      <c r="FH70" s="92">
        <f t="shared" ca="1" si="82"/>
        <v>0</v>
      </c>
      <c r="FI70" s="92">
        <f t="shared" ca="1" si="82"/>
        <v>0</v>
      </c>
      <c r="FJ70" s="92">
        <f t="shared" ca="1" si="117"/>
        <v>0</v>
      </c>
      <c r="FK70" s="92">
        <f t="shared" ca="1" si="117"/>
        <v>0</v>
      </c>
      <c r="FL70" s="92">
        <f t="shared" ca="1" si="117"/>
        <v>0</v>
      </c>
      <c r="FM70" s="92">
        <f t="shared" ca="1" si="117"/>
        <v>0</v>
      </c>
      <c r="FN70" s="94">
        <f t="shared" ca="1" si="118"/>
        <v>5000</v>
      </c>
      <c r="FO70" s="94">
        <f t="shared" ca="1" si="119"/>
        <v>1000</v>
      </c>
      <c r="FP70" s="95">
        <f t="shared" ca="1" si="112"/>
        <v>30</v>
      </c>
      <c r="FQ70" s="95">
        <f t="shared" ca="1" si="112"/>
        <v>26.857142857142858</v>
      </c>
      <c r="FR70" s="95">
        <f t="shared" ca="1" si="96"/>
        <v>45.28125</v>
      </c>
      <c r="FS70" s="95">
        <f t="shared" ca="1" si="96"/>
        <v>23.25</v>
      </c>
      <c r="FT70" s="95">
        <f t="shared" ca="1" si="96"/>
        <v>46.188118811881182</v>
      </c>
      <c r="FU70" s="95">
        <f t="shared" ca="1" si="96"/>
        <v>8.6893840104849271</v>
      </c>
      <c r="FV70" s="95">
        <f t="shared" ca="1" si="96"/>
        <v>28.933486238532108</v>
      </c>
      <c r="FW70" s="95">
        <f t="shared" ca="1" si="96"/>
        <v>32.38532110091743</v>
      </c>
      <c r="FX70" s="95">
        <f t="shared" ca="1" si="96"/>
        <v>7.0183486238532105</v>
      </c>
      <c r="FY70" s="95">
        <f t="shared" ca="1" si="96"/>
        <v>114.46100917431193</v>
      </c>
      <c r="FZ70" s="95">
        <f t="shared" ca="1" si="96"/>
        <v>235.30351437699679</v>
      </c>
      <c r="GA70" s="95">
        <f t="shared" ca="1" si="96"/>
        <v>98.256880733944953</v>
      </c>
      <c r="GB70" s="95">
        <f t="shared" ca="1" si="96"/>
        <v>68.256880733944953</v>
      </c>
      <c r="GC70" s="95">
        <f t="shared" ca="1" si="96"/>
        <v>237.73770491803279</v>
      </c>
      <c r="GD70" s="95">
        <f t="shared" ca="1" si="96"/>
        <v>207.73770491803276</v>
      </c>
      <c r="GE70" s="95">
        <f t="shared" ca="1" si="96"/>
        <v>177.73770491803276</v>
      </c>
      <c r="GF70" s="95">
        <f t="shared" ca="1" si="96"/>
        <v>137.75229357798167</v>
      </c>
      <c r="GG70" s="95">
        <f t="shared" ca="1" si="90"/>
        <v>143.6697247706422</v>
      </c>
      <c r="GH70" s="95">
        <f t="shared" ca="1" si="90"/>
        <v>119.65596330275231</v>
      </c>
      <c r="GI70" s="95">
        <f t="shared" ca="1" si="97"/>
        <v>189.75728155339803</v>
      </c>
      <c r="GJ70" s="95">
        <f t="shared" ca="1" si="97"/>
        <v>75.655172413793096</v>
      </c>
      <c r="GK70" s="95">
        <f t="shared" ca="1" si="97"/>
        <v>50.278481012658233</v>
      </c>
      <c r="GL70" s="95">
        <f t="shared" ca="1" si="97"/>
        <v>0</v>
      </c>
      <c r="GM70" s="95">
        <f t="shared" ca="1" si="97"/>
        <v>0</v>
      </c>
      <c r="GN70" s="95">
        <f t="shared" ca="1" si="97"/>
        <v>0</v>
      </c>
      <c r="GO70" s="95">
        <f t="shared" ca="1" si="97"/>
        <v>0</v>
      </c>
      <c r="GP70" s="95">
        <f t="shared" ca="1" si="97"/>
        <v>0</v>
      </c>
      <c r="GQ70" s="95">
        <f t="shared" ca="1" si="97"/>
        <v>0</v>
      </c>
      <c r="GS70" s="7">
        <v>16.395275019999996</v>
      </c>
      <c r="GT70" s="96">
        <f t="shared" ca="1" si="120"/>
        <v>6444.8514481618386</v>
      </c>
      <c r="GU70" s="96">
        <f t="shared" ca="1" si="120"/>
        <v>12171.835779572977</v>
      </c>
      <c r="GV70" s="96">
        <f t="shared" ca="1" si="120"/>
        <v>13910.669462369118</v>
      </c>
      <c r="GW70" s="96">
        <f t="shared" ca="1" si="120"/>
        <v>10433.002096776836</v>
      </c>
      <c r="GX70" s="96">
        <f t="shared" ca="1" si="120"/>
        <v>13910.669462369118</v>
      </c>
      <c r="GY70" s="96">
        <f t="shared" ca="1" si="120"/>
        <v>13910.669462369118</v>
      </c>
      <c r="GZ70" s="96">
        <f t="shared" ca="1" si="120"/>
        <v>4993.1646120659789</v>
      </c>
      <c r="HA70" s="96">
        <f t="shared" ca="1" si="120"/>
        <v>10433.002096776836</v>
      </c>
      <c r="HB70" s="96">
        <f t="shared" ca="1" si="120"/>
        <v>10433.002096776836</v>
      </c>
      <c r="HC70" s="96">
        <f t="shared" ca="1" si="120"/>
        <v>9731.0875826205975</v>
      </c>
      <c r="HD70" s="96">
        <f t="shared" ca="1" si="121"/>
        <v>9731.0875826205975</v>
      </c>
      <c r="HE70" s="96">
        <f t="shared" ca="1" si="121"/>
        <v>9731.0875826205975</v>
      </c>
      <c r="HF70" s="96">
        <f t="shared" ca="1" si="120"/>
        <v>13910.669462369118</v>
      </c>
      <c r="HG70" s="96">
        <f t="shared" ca="1" si="120"/>
        <v>10433.002096776836</v>
      </c>
      <c r="HH70" s="96">
        <f t="shared" ca="1" si="120"/>
        <v>13910.669462369118</v>
      </c>
      <c r="HI70" s="96">
        <f t="shared" ca="1" si="121"/>
        <v>6572.4722689175178</v>
      </c>
      <c r="HJ70" s="96">
        <f t="shared" ca="1" si="121"/>
        <v>13878.764257180197</v>
      </c>
      <c r="HK70" s="96">
        <f t="shared" ca="1" si="121"/>
        <v>12602.556049623397</v>
      </c>
      <c r="HL70" s="96">
        <f t="shared" ca="1" si="121"/>
        <v>0</v>
      </c>
      <c r="HM70" s="96">
        <f t="shared" ca="1" si="121"/>
        <v>0</v>
      </c>
      <c r="HN70" s="96">
        <f t="shared" ca="1" si="121"/>
        <v>0</v>
      </c>
      <c r="HO70" s="96">
        <f t="shared" ca="1" si="121"/>
        <v>0</v>
      </c>
      <c r="HP70" s="96">
        <f t="shared" ca="1" si="121"/>
        <v>0</v>
      </c>
      <c r="HQ70" s="96">
        <f t="shared" ca="1" si="121"/>
        <v>0</v>
      </c>
      <c r="HS70" s="97">
        <f t="shared" ca="1" si="123"/>
        <v>10197.861062439997</v>
      </c>
    </row>
    <row r="71" spans="1:227" s="29" customFormat="1" ht="17.25" thickTop="1" thickBot="1" x14ac:dyDescent="0.3">
      <c r="A71" s="129" t="s">
        <v>74</v>
      </c>
      <c r="B71" s="130" t="s">
        <v>444</v>
      </c>
      <c r="C71" s="130" t="s">
        <v>445</v>
      </c>
      <c r="D71" s="131" t="s">
        <v>0</v>
      </c>
      <c r="E71" s="131" t="s">
        <v>349</v>
      </c>
      <c r="F71" s="130"/>
      <c r="G71" s="75">
        <f t="shared" ref="G71:G74" ca="1" si="129">127+6</f>
        <v>133</v>
      </c>
      <c r="H71" s="75">
        <v>133</v>
      </c>
      <c r="I71" s="75">
        <f t="shared" ca="1" si="102"/>
        <v>266</v>
      </c>
      <c r="J71" s="133">
        <f ca="1">[1]Parameters!$C$3+G71</f>
        <v>45964</v>
      </c>
      <c r="K71" s="134">
        <f t="shared" ca="1" si="103"/>
        <v>11</v>
      </c>
      <c r="L71" s="134">
        <f t="shared" ca="1" si="104"/>
        <v>2025</v>
      </c>
      <c r="M71" s="133">
        <f ca="1">[1]Parameters!$C$3+I71</f>
        <v>46097</v>
      </c>
      <c r="N71" s="134">
        <f t="shared" ca="1" si="124"/>
        <v>3</v>
      </c>
      <c r="O71" s="134">
        <f t="shared" ca="1" si="125"/>
        <v>2026</v>
      </c>
      <c r="P71" s="135">
        <v>0.95</v>
      </c>
      <c r="Q71" s="136" t="str">
        <f ca="1">VLOOKUP(A71,[1]ABC!A:G,7,0)</f>
        <v>C</v>
      </c>
      <c r="R71" s="137">
        <f t="shared" ca="1" si="99"/>
        <v>0</v>
      </c>
      <c r="S71" s="151">
        <v>107.96</v>
      </c>
      <c r="T71" s="152">
        <f t="shared" ca="1" si="122"/>
        <v>1100</v>
      </c>
      <c r="U71" s="140">
        <f t="shared" ca="1" si="116"/>
        <v>1100</v>
      </c>
      <c r="V71" s="137">
        <v>1340</v>
      </c>
      <c r="W71" s="137">
        <f t="shared" ca="1" si="126"/>
        <v>1340</v>
      </c>
      <c r="X71" s="137"/>
      <c r="Y71" s="141">
        <v>15.72</v>
      </c>
      <c r="Z71" s="85">
        <v>0</v>
      </c>
      <c r="AA71" s="85">
        <v>0</v>
      </c>
      <c r="AB71" s="85">
        <v>0</v>
      </c>
      <c r="AC71" s="85">
        <v>0</v>
      </c>
      <c r="AD71" s="85">
        <v>0</v>
      </c>
      <c r="AE71" s="85">
        <v>0</v>
      </c>
      <c r="AF71" s="85">
        <v>0</v>
      </c>
      <c r="AG71" s="85">
        <v>0</v>
      </c>
      <c r="AH71" s="85">
        <v>0</v>
      </c>
      <c r="AI71" s="75">
        <v>0</v>
      </c>
      <c r="AJ71" s="75">
        <f t="shared" ca="1" si="110"/>
        <v>0</v>
      </c>
      <c r="AK71" s="75">
        <f t="shared" ca="1" si="110"/>
        <v>0</v>
      </c>
      <c r="AL71" s="75">
        <f t="shared" ca="1" si="110"/>
        <v>901.1</v>
      </c>
      <c r="AM71" s="75">
        <f t="shared" ca="1" si="110"/>
        <v>436.90000000000003</v>
      </c>
      <c r="AN71" s="75">
        <f t="shared" ca="1" si="110"/>
        <v>1.3000000000000114</v>
      </c>
      <c r="AO71" s="75">
        <f t="shared" ca="1" si="110"/>
        <v>0</v>
      </c>
      <c r="AP71" s="75">
        <f t="shared" ca="1" si="110"/>
        <v>0</v>
      </c>
      <c r="AQ71" s="75">
        <f t="shared" ca="1" si="110"/>
        <v>1340</v>
      </c>
      <c r="AR71" s="75">
        <f t="shared" ca="1" si="110"/>
        <v>1340</v>
      </c>
      <c r="AS71" s="75">
        <f t="shared" ca="1" si="110"/>
        <v>1340</v>
      </c>
      <c r="AT71" s="75">
        <f t="shared" ca="1" si="110"/>
        <v>816</v>
      </c>
      <c r="AU71" s="75">
        <f t="shared" ca="1" si="110"/>
        <v>816</v>
      </c>
      <c r="AV71" s="75">
        <f t="shared" ca="1" si="110"/>
        <v>816</v>
      </c>
      <c r="AW71" s="75">
        <f t="shared" ca="1" si="110"/>
        <v>816</v>
      </c>
      <c r="AX71" s="75">
        <f t="shared" ca="1" si="110"/>
        <v>816</v>
      </c>
      <c r="AY71" s="75">
        <f t="shared" ca="1" si="54"/>
        <v>816</v>
      </c>
      <c r="AZ71" s="75">
        <f t="shared" ca="1" si="54"/>
        <v>816</v>
      </c>
      <c r="BA71" s="75">
        <f t="shared" ca="1" si="54"/>
        <v>816</v>
      </c>
      <c r="BB71" s="166"/>
      <c r="BC71" s="86">
        <v>0</v>
      </c>
      <c r="BD71" s="86">
        <v>0</v>
      </c>
      <c r="BE71" s="86">
        <v>0</v>
      </c>
      <c r="BF71" s="86">
        <v>0</v>
      </c>
      <c r="BG71" s="86">
        <v>129.24999999999997</v>
      </c>
      <c r="BH71" s="86">
        <v>219.47566666666671</v>
      </c>
      <c r="BI71" s="86">
        <v>292.79891666666668</v>
      </c>
      <c r="BJ71" s="86">
        <v>111.64999999999998</v>
      </c>
      <c r="BK71" s="142">
        <v>174.69375000000005</v>
      </c>
      <c r="BL71" s="142">
        <v>189.19450000000001</v>
      </c>
      <c r="BM71" s="142">
        <v>423.5</v>
      </c>
      <c r="BN71" s="142">
        <v>438.9</v>
      </c>
      <c r="BO71" s="142">
        <v>464.2</v>
      </c>
      <c r="BP71" s="142">
        <v>435.6</v>
      </c>
      <c r="BQ71" s="142">
        <v>453.2</v>
      </c>
      <c r="BR71" s="142">
        <v>456.5</v>
      </c>
      <c r="BS71" s="142">
        <v>0</v>
      </c>
      <c r="BT71" s="142">
        <v>0</v>
      </c>
      <c r="BU71" s="142">
        <v>0</v>
      </c>
      <c r="BV71" s="142">
        <v>524</v>
      </c>
      <c r="BW71" s="142">
        <v>0</v>
      </c>
      <c r="BX71" s="142">
        <v>0</v>
      </c>
      <c r="BY71" s="142">
        <v>0</v>
      </c>
      <c r="BZ71" s="142">
        <v>0</v>
      </c>
      <c r="CA71" s="142">
        <v>0</v>
      </c>
      <c r="CB71" s="142">
        <v>0</v>
      </c>
      <c r="CC71" s="142">
        <v>0</v>
      </c>
      <c r="CD71" s="142">
        <v>0</v>
      </c>
      <c r="CE71" s="86">
        <f t="shared" ca="1" si="127"/>
        <v>227.28769807853601</v>
      </c>
      <c r="CF71" s="143"/>
      <c r="CG71" s="86">
        <v>0</v>
      </c>
      <c r="CH71" s="86">
        <v>0</v>
      </c>
      <c r="CI71" s="86">
        <v>0</v>
      </c>
      <c r="CJ71" s="86">
        <v>0</v>
      </c>
      <c r="CK71" s="86">
        <v>0</v>
      </c>
      <c r="CL71" s="86">
        <v>0</v>
      </c>
      <c r="CM71" s="86">
        <v>0</v>
      </c>
      <c r="CN71" s="86">
        <v>0</v>
      </c>
      <c r="CO71" s="142">
        <v>0</v>
      </c>
      <c r="CP71" s="142">
        <v>0</v>
      </c>
      <c r="CQ71" s="142">
        <v>1340</v>
      </c>
      <c r="CR71" s="142">
        <v>0</v>
      </c>
      <c r="CS71" s="142">
        <v>0</v>
      </c>
      <c r="CT71" s="142">
        <v>0</v>
      </c>
      <c r="CU71" s="144">
        <v>0</v>
      </c>
      <c r="CV71" s="144">
        <v>1340</v>
      </c>
      <c r="CW71" s="142">
        <v>0</v>
      </c>
      <c r="CX71" s="90">
        <v>0</v>
      </c>
      <c r="CY71" s="90">
        <v>0</v>
      </c>
      <c r="CZ71" s="144">
        <v>0</v>
      </c>
      <c r="DA71" s="144">
        <v>0</v>
      </c>
      <c r="DB71" s="144">
        <v>0</v>
      </c>
      <c r="DC71" s="144">
        <v>0</v>
      </c>
      <c r="DD71" s="144">
        <v>0</v>
      </c>
      <c r="DE71" s="144">
        <v>0</v>
      </c>
      <c r="DF71" s="144">
        <v>0</v>
      </c>
      <c r="DG71" s="142">
        <v>0</v>
      </c>
      <c r="DI71" s="91">
        <f ca="1">VLOOKUP(A71,'[2]2-Relatório'!$A:$J,9,0)</f>
        <v>108.46</v>
      </c>
      <c r="DJ71" s="145">
        <f t="shared" ca="1" si="89"/>
        <v>0</v>
      </c>
      <c r="DK71" s="145">
        <f t="shared" ca="1" si="89"/>
        <v>0</v>
      </c>
      <c r="DL71" s="145">
        <f t="shared" ca="1" si="89"/>
        <v>0</v>
      </c>
      <c r="DM71" s="145">
        <f t="shared" ca="1" si="89"/>
        <v>0</v>
      </c>
      <c r="DN71" s="145">
        <f t="shared" ca="1" si="89"/>
        <v>0</v>
      </c>
      <c r="DO71" s="145">
        <f t="shared" ca="1" si="89"/>
        <v>0</v>
      </c>
      <c r="DP71" s="145">
        <f t="shared" ca="1" si="89"/>
        <v>0</v>
      </c>
      <c r="DQ71" s="145">
        <f t="shared" ca="1" si="88"/>
        <v>0</v>
      </c>
      <c r="DR71" s="145">
        <f t="shared" ca="1" si="88"/>
        <v>0</v>
      </c>
      <c r="DS71" s="145">
        <f t="shared" ca="1" si="88"/>
        <v>0</v>
      </c>
      <c r="DT71" s="145">
        <f t="shared" ca="1" si="88"/>
        <v>97733.305999999997</v>
      </c>
      <c r="DU71" s="145">
        <f t="shared" ca="1" si="88"/>
        <v>47386.173999999999</v>
      </c>
      <c r="DV71" s="145">
        <f t="shared" ca="1" si="88"/>
        <v>140.99800000000121</v>
      </c>
      <c r="DW71" s="145">
        <f t="shared" ca="1" si="88"/>
        <v>0</v>
      </c>
      <c r="DX71" s="145">
        <f t="shared" ca="1" si="88"/>
        <v>0</v>
      </c>
      <c r="DY71" s="145">
        <f t="shared" ca="1" si="88"/>
        <v>145336.4</v>
      </c>
      <c r="DZ71" s="145">
        <f t="shared" ca="1" si="88"/>
        <v>145336.4</v>
      </c>
      <c r="EA71" s="145">
        <f t="shared" ca="1" si="88"/>
        <v>145336.4</v>
      </c>
      <c r="EB71" s="145">
        <f t="shared" ca="1" si="88"/>
        <v>88503.360000000001</v>
      </c>
      <c r="EC71" s="145">
        <f t="shared" ca="1" si="88"/>
        <v>88503.360000000001</v>
      </c>
      <c r="ED71" s="145">
        <f t="shared" ca="1" si="88"/>
        <v>88503.360000000001</v>
      </c>
      <c r="EE71" s="145">
        <f t="shared" ca="1" si="88"/>
        <v>88503.360000000001</v>
      </c>
      <c r="EF71" s="145">
        <f t="shared" ca="1" si="88"/>
        <v>88503.360000000001</v>
      </c>
      <c r="EG71" s="145">
        <f t="shared" ca="1" si="128"/>
        <v>88503.360000000001</v>
      </c>
      <c r="EH71" s="145">
        <f t="shared" ca="1" si="128"/>
        <v>88503.360000000001</v>
      </c>
      <c r="EI71" s="145">
        <f t="shared" ca="1" si="128"/>
        <v>88503.360000000001</v>
      </c>
      <c r="EL71" s="146">
        <f t="shared" ca="1" si="111"/>
        <v>0</v>
      </c>
      <c r="EM71" s="146">
        <f t="shared" ca="1" si="111"/>
        <v>0</v>
      </c>
      <c r="EN71" s="145">
        <f t="shared" ca="1" si="113"/>
        <v>0</v>
      </c>
      <c r="EO71" s="145">
        <f t="shared" ca="1" si="113"/>
        <v>0</v>
      </c>
      <c r="EP71" s="145">
        <f t="shared" ca="1" si="113"/>
        <v>14018.454999999996</v>
      </c>
      <c r="EQ71" s="145">
        <f t="shared" ca="1" si="113"/>
        <v>23804.330806666669</v>
      </c>
      <c r="ER71" s="145">
        <f t="shared" ca="1" si="113"/>
        <v>31756.970501666667</v>
      </c>
      <c r="ES71" s="145">
        <f t="shared" ca="1" si="113"/>
        <v>12109.558999999997</v>
      </c>
      <c r="ET71" s="145">
        <f t="shared" ca="1" si="113"/>
        <v>18947.284125000006</v>
      </c>
      <c r="EU71" s="145">
        <f t="shared" ca="1" si="113"/>
        <v>20520.035469999999</v>
      </c>
      <c r="EV71" s="145">
        <f t="shared" ca="1" si="113"/>
        <v>45932.81</v>
      </c>
      <c r="EW71" s="145">
        <f t="shared" ca="1" si="113"/>
        <v>47603.093999999997</v>
      </c>
      <c r="EX71" s="145">
        <f t="shared" ca="1" si="113"/>
        <v>50347.131999999998</v>
      </c>
      <c r="EY71" s="145">
        <f t="shared" ca="1" si="113"/>
        <v>47245.175999999999</v>
      </c>
      <c r="EZ71" s="145">
        <f t="shared" ca="1" si="113"/>
        <v>49154.071999999993</v>
      </c>
      <c r="FA71" s="145">
        <f t="shared" ca="1" si="113"/>
        <v>49511.99</v>
      </c>
      <c r="FB71" s="145">
        <f t="shared" ca="1" si="113"/>
        <v>0</v>
      </c>
      <c r="FC71" s="145">
        <f t="shared" ca="1" si="82"/>
        <v>0</v>
      </c>
      <c r="FD71" s="145">
        <f t="shared" ca="1" si="82"/>
        <v>0</v>
      </c>
      <c r="FE71" s="145">
        <f t="shared" ca="1" si="82"/>
        <v>56833.039999999994</v>
      </c>
      <c r="FF71" s="145">
        <f t="shared" ca="1" si="82"/>
        <v>0</v>
      </c>
      <c r="FG71" s="92">
        <f t="shared" ca="1" si="82"/>
        <v>0</v>
      </c>
      <c r="FH71" s="92">
        <f t="shared" ca="1" si="82"/>
        <v>0</v>
      </c>
      <c r="FI71" s="92">
        <f t="shared" ca="1" si="82"/>
        <v>0</v>
      </c>
      <c r="FJ71" s="92">
        <f t="shared" ca="1" si="117"/>
        <v>0</v>
      </c>
      <c r="FK71" s="92">
        <f t="shared" ca="1" si="117"/>
        <v>0</v>
      </c>
      <c r="FL71" s="92">
        <f t="shared" ca="1" si="117"/>
        <v>0</v>
      </c>
      <c r="FM71" s="92">
        <f t="shared" ca="1" si="117"/>
        <v>0</v>
      </c>
      <c r="FN71" s="94">
        <f t="shared" ref="FN71:FN74" ca="1" si="130">SUM(CO71:CU71)</f>
        <v>1340</v>
      </c>
      <c r="FO71" s="94">
        <f t="shared" ca="1" si="119"/>
        <v>1340</v>
      </c>
      <c r="FP71" s="147">
        <f t="shared" ca="1" si="112"/>
        <v>0</v>
      </c>
      <c r="FQ71" s="147">
        <f t="shared" ca="1" si="112"/>
        <v>0</v>
      </c>
      <c r="FR71" s="147">
        <f t="shared" ca="1" si="96"/>
        <v>0</v>
      </c>
      <c r="FS71" s="147">
        <f t="shared" ca="1" si="96"/>
        <v>0</v>
      </c>
      <c r="FT71" s="147">
        <f t="shared" ca="1" si="96"/>
        <v>0</v>
      </c>
      <c r="FU71" s="147">
        <f t="shared" ca="1" si="96"/>
        <v>0</v>
      </c>
      <c r="FV71" s="147">
        <f t="shared" ca="1" si="96"/>
        <v>0</v>
      </c>
      <c r="FW71" s="147">
        <f t="shared" ca="1" si="96"/>
        <v>0</v>
      </c>
      <c r="FX71" s="95">
        <f t="shared" ca="1" si="96"/>
        <v>0</v>
      </c>
      <c r="FY71" s="95">
        <f t="shared" ca="1" si="96"/>
        <v>0</v>
      </c>
      <c r="FZ71" s="95">
        <f t="shared" ca="1" si="96"/>
        <v>0</v>
      </c>
      <c r="GA71" s="95">
        <f t="shared" ca="1" si="96"/>
        <v>0</v>
      </c>
      <c r="GB71" s="95">
        <f t="shared" ca="1" si="96"/>
        <v>58.235674278328304</v>
      </c>
      <c r="GC71" s="95">
        <f t="shared" ca="1" si="96"/>
        <v>30.089531680440771</v>
      </c>
      <c r="GD71" s="95">
        <f t="shared" ca="1" si="96"/>
        <v>8.6054721977052828E-2</v>
      </c>
      <c r="GE71" s="95">
        <f t="shared" ca="1" si="96"/>
        <v>0</v>
      </c>
      <c r="GF71" s="95">
        <f t="shared" ca="1" si="96"/>
        <v>0</v>
      </c>
      <c r="GG71" s="95">
        <f t="shared" ca="1" si="90"/>
        <v>0</v>
      </c>
      <c r="GH71" s="95">
        <f t="shared" ca="1" si="90"/>
        <v>0</v>
      </c>
      <c r="GI71" s="95">
        <f t="shared" ca="1" si="97"/>
        <v>76.717557251908403</v>
      </c>
      <c r="GJ71" s="95">
        <f t="shared" ca="1" si="97"/>
        <v>0</v>
      </c>
      <c r="GK71" s="95">
        <f t="shared" ca="1" si="97"/>
        <v>0</v>
      </c>
      <c r="GL71" s="147">
        <f t="shared" ca="1" si="97"/>
        <v>0</v>
      </c>
      <c r="GM71" s="147">
        <f t="shared" ca="1" si="97"/>
        <v>0</v>
      </c>
      <c r="GN71" s="147">
        <f t="shared" ca="1" si="97"/>
        <v>0</v>
      </c>
      <c r="GO71" s="147">
        <f t="shared" ca="1" si="97"/>
        <v>0</v>
      </c>
      <c r="GP71" s="147">
        <f t="shared" ca="1" si="97"/>
        <v>0</v>
      </c>
      <c r="GQ71" s="147">
        <f t="shared" ca="1" si="97"/>
        <v>0</v>
      </c>
      <c r="GS71" s="148">
        <v>221.50180881999998</v>
      </c>
      <c r="GT71" s="153">
        <f t="shared" ref="GT71:HI74" ca="1" si="131">$GS71*BG71</f>
        <v>28629.108789984992</v>
      </c>
      <c r="GU71" s="153">
        <f t="shared" ca="1" si="131"/>
        <v>48614.257158642053</v>
      </c>
      <c r="GV71" s="153">
        <f t="shared" ca="1" si="131"/>
        <v>64855.489662203108</v>
      </c>
      <c r="GW71" s="153">
        <f t="shared" ca="1" si="131"/>
        <v>24730.676954752991</v>
      </c>
      <c r="GX71" s="153">
        <f t="shared" ca="1" si="131"/>
        <v>38694.98161454888</v>
      </c>
      <c r="GY71" s="153">
        <f t="shared" ca="1" si="131"/>
        <v>41906.923968795491</v>
      </c>
      <c r="GZ71" s="153">
        <f t="shared" ca="1" si="131"/>
        <v>93806.01603526999</v>
      </c>
      <c r="HA71" s="153">
        <f t="shared" ca="1" si="131"/>
        <v>97217.143891097992</v>
      </c>
      <c r="HB71" s="153">
        <f t="shared" ca="1" si="131"/>
        <v>102821.13965424399</v>
      </c>
      <c r="HC71" s="153">
        <f t="shared" ca="1" si="131"/>
        <v>96486.187921991994</v>
      </c>
      <c r="HD71" s="153">
        <f t="shared" ca="1" si="131"/>
        <v>100384.61975722399</v>
      </c>
      <c r="HE71" s="153">
        <f t="shared" ca="1" si="131"/>
        <v>101115.57572632999</v>
      </c>
      <c r="HF71" s="153">
        <f t="shared" ca="1" si="131"/>
        <v>0</v>
      </c>
      <c r="HG71" s="153">
        <f t="shared" ca="1" si="131"/>
        <v>0</v>
      </c>
      <c r="HH71" s="153">
        <f t="shared" ca="1" si="131"/>
        <v>0</v>
      </c>
      <c r="HI71" s="153">
        <f t="shared" ca="1" si="131"/>
        <v>116066.94782167999</v>
      </c>
      <c r="HJ71" s="153">
        <f t="shared" ref="HD71:HQ74" ca="1" si="132">$GS71*BW71</f>
        <v>0</v>
      </c>
      <c r="HK71" s="153">
        <f t="shared" ca="1" si="132"/>
        <v>0</v>
      </c>
      <c r="HL71" s="153">
        <f t="shared" ca="1" si="132"/>
        <v>0</v>
      </c>
      <c r="HM71" s="153">
        <f t="shared" ca="1" si="132"/>
        <v>0</v>
      </c>
      <c r="HN71" s="153">
        <f t="shared" ca="1" si="132"/>
        <v>0</v>
      </c>
      <c r="HO71" s="153">
        <f t="shared" ca="1" si="132"/>
        <v>0</v>
      </c>
      <c r="HP71" s="153">
        <f t="shared" ca="1" si="132"/>
        <v>0</v>
      </c>
      <c r="HQ71" s="153">
        <f t="shared" ca="1" si="132"/>
        <v>0</v>
      </c>
      <c r="HS71" s="149">
        <f t="shared" ca="1" si="123"/>
        <v>0</v>
      </c>
    </row>
    <row r="72" spans="1:227" s="29" customFormat="1" ht="17.25" thickTop="1" thickBot="1" x14ac:dyDescent="0.3">
      <c r="A72" s="129" t="s">
        <v>48</v>
      </c>
      <c r="B72" s="130" t="s">
        <v>446</v>
      </c>
      <c r="C72" s="130" t="s">
        <v>446</v>
      </c>
      <c r="D72" s="131" t="s">
        <v>0</v>
      </c>
      <c r="E72" s="131" t="s">
        <v>349</v>
      </c>
      <c r="F72" s="130"/>
      <c r="G72" s="75">
        <f t="shared" ca="1" si="129"/>
        <v>133</v>
      </c>
      <c r="H72" s="75">
        <v>133</v>
      </c>
      <c r="I72" s="75">
        <f t="shared" ca="1" si="102"/>
        <v>266</v>
      </c>
      <c r="J72" s="133">
        <f ca="1">[1]Parameters!$C$3+G72</f>
        <v>45964</v>
      </c>
      <c r="K72" s="134">
        <f t="shared" ca="1" si="103"/>
        <v>11</v>
      </c>
      <c r="L72" s="134">
        <f t="shared" ca="1" si="104"/>
        <v>2025</v>
      </c>
      <c r="M72" s="133">
        <f ca="1">[1]Parameters!$C$3+I72</f>
        <v>46097</v>
      </c>
      <c r="N72" s="134">
        <f t="shared" ca="1" si="124"/>
        <v>3</v>
      </c>
      <c r="O72" s="134">
        <f t="shared" ca="1" si="125"/>
        <v>2026</v>
      </c>
      <c r="P72" s="135">
        <v>0.95</v>
      </c>
      <c r="Q72" s="136" t="str">
        <f ca="1">VLOOKUP(A72,[1]ABC!A:G,7,0)</f>
        <v>B</v>
      </c>
      <c r="R72" s="137">
        <f t="shared" ca="1" si="99"/>
        <v>0</v>
      </c>
      <c r="S72" s="151">
        <v>106.4</v>
      </c>
      <c r="T72" s="152">
        <f t="shared" ca="1" si="122"/>
        <v>4100</v>
      </c>
      <c r="U72" s="140">
        <f ca="1">IF((ROUND(AVERAGE(BI72:BR72)*2/100,0)*100)&lt;T72,T72,ROUND(AVERAGE(BI72:BR72)*2/100,0)*100)</f>
        <v>4100</v>
      </c>
      <c r="V72" s="137">
        <v>1340</v>
      </c>
      <c r="W72" s="137">
        <f t="shared" ca="1" si="126"/>
        <v>4020</v>
      </c>
      <c r="X72" s="137"/>
      <c r="Y72" s="141">
        <v>15.72</v>
      </c>
      <c r="Z72" s="85">
        <v>0</v>
      </c>
      <c r="AA72" s="85">
        <v>0</v>
      </c>
      <c r="AB72" s="85">
        <v>0</v>
      </c>
      <c r="AC72" s="85">
        <v>0</v>
      </c>
      <c r="AD72" s="85">
        <v>0</v>
      </c>
      <c r="AE72" s="85">
        <v>0</v>
      </c>
      <c r="AF72" s="85">
        <v>0</v>
      </c>
      <c r="AG72" s="85">
        <v>0</v>
      </c>
      <c r="AH72" s="85">
        <v>0</v>
      </c>
      <c r="AI72" s="75">
        <v>0</v>
      </c>
      <c r="AJ72" s="75">
        <f t="shared" ref="AJ72:AX74" ca="1" si="133">IF(AI72+CO72-BL72&lt;0,0,AI72+CO72-BL72)</f>
        <v>0</v>
      </c>
      <c r="AK72" s="75">
        <f t="shared" ca="1" si="133"/>
        <v>0</v>
      </c>
      <c r="AL72" s="75">
        <f t="shared" ca="1" si="133"/>
        <v>5282.1</v>
      </c>
      <c r="AM72" s="75">
        <f t="shared" ca="1" si="133"/>
        <v>3604.6000000000004</v>
      </c>
      <c r="AN72" s="75">
        <f t="shared" ca="1" si="133"/>
        <v>1968.9000000000003</v>
      </c>
      <c r="AO72" s="75">
        <f t="shared" ca="1" si="133"/>
        <v>170.40000000000032</v>
      </c>
      <c r="AP72" s="75">
        <f t="shared" ca="1" si="133"/>
        <v>0</v>
      </c>
      <c r="AQ72" s="75">
        <f t="shared" ca="1" si="133"/>
        <v>6700</v>
      </c>
      <c r="AR72" s="75">
        <f t="shared" ca="1" si="133"/>
        <v>6700</v>
      </c>
      <c r="AS72" s="75">
        <f t="shared" ca="1" si="133"/>
        <v>6700</v>
      </c>
      <c r="AT72" s="75">
        <f t="shared" ca="1" si="133"/>
        <v>5229</v>
      </c>
      <c r="AU72" s="75">
        <f t="shared" ca="1" si="133"/>
        <v>5229</v>
      </c>
      <c r="AV72" s="75">
        <f t="shared" ca="1" si="133"/>
        <v>5229</v>
      </c>
      <c r="AW72" s="75">
        <f t="shared" ca="1" si="133"/>
        <v>5229</v>
      </c>
      <c r="AX72" s="75">
        <f t="shared" ca="1" si="133"/>
        <v>5229</v>
      </c>
      <c r="AY72" s="75">
        <f t="shared" ca="1" si="54"/>
        <v>5229</v>
      </c>
      <c r="AZ72" s="75">
        <f t="shared" ca="1" si="54"/>
        <v>5229</v>
      </c>
      <c r="BA72" s="75">
        <f t="shared" ca="1" si="54"/>
        <v>5229</v>
      </c>
      <c r="BB72" s="166"/>
      <c r="BC72" s="86">
        <v>0</v>
      </c>
      <c r="BD72" s="86">
        <v>0</v>
      </c>
      <c r="BE72" s="86">
        <v>0</v>
      </c>
      <c r="BF72" s="86">
        <v>0</v>
      </c>
      <c r="BG72" s="86">
        <v>426.31462500000004</v>
      </c>
      <c r="BH72" s="86">
        <v>877.58824999999922</v>
      </c>
      <c r="BI72" s="86">
        <v>944.10341666666659</v>
      </c>
      <c r="BJ72" s="86">
        <v>611.11462499999993</v>
      </c>
      <c r="BK72" s="142">
        <v>685.1120833333332</v>
      </c>
      <c r="BL72" s="142">
        <v>910.76791666666622</v>
      </c>
      <c r="BM72" s="142">
        <v>2007.5</v>
      </c>
      <c r="BN72" s="142">
        <v>1417.9</v>
      </c>
      <c r="BO72" s="142">
        <v>1677.5</v>
      </c>
      <c r="BP72" s="142">
        <v>1635.7</v>
      </c>
      <c r="BQ72" s="142">
        <v>1798.5</v>
      </c>
      <c r="BR72" s="142">
        <v>1595</v>
      </c>
      <c r="BS72" s="142">
        <v>0</v>
      </c>
      <c r="BT72" s="142">
        <v>0</v>
      </c>
      <c r="BU72" s="142">
        <v>0</v>
      </c>
      <c r="BV72" s="142">
        <v>1471</v>
      </c>
      <c r="BW72" s="142">
        <v>0</v>
      </c>
      <c r="BX72" s="142">
        <v>0</v>
      </c>
      <c r="BY72" s="142">
        <v>0</v>
      </c>
      <c r="BZ72" s="142">
        <v>0</v>
      </c>
      <c r="CA72" s="142">
        <v>0</v>
      </c>
      <c r="CB72" s="142">
        <v>0</v>
      </c>
      <c r="CC72" s="142">
        <v>0</v>
      </c>
      <c r="CD72" s="142">
        <v>0</v>
      </c>
      <c r="CE72" s="86">
        <f t="shared" ca="1" si="127"/>
        <v>829.46113102161348</v>
      </c>
      <c r="CF72" s="143"/>
      <c r="CG72" s="86">
        <v>0</v>
      </c>
      <c r="CH72" s="86">
        <v>0</v>
      </c>
      <c r="CI72" s="86">
        <v>0</v>
      </c>
      <c r="CJ72" s="86">
        <v>0</v>
      </c>
      <c r="CK72" s="86">
        <v>0</v>
      </c>
      <c r="CL72" s="86">
        <v>0</v>
      </c>
      <c r="CM72" s="86">
        <v>0</v>
      </c>
      <c r="CN72" s="86">
        <v>0</v>
      </c>
      <c r="CO72" s="142">
        <v>0</v>
      </c>
      <c r="CP72" s="142">
        <v>0</v>
      </c>
      <c r="CQ72" s="142">
        <v>6700</v>
      </c>
      <c r="CR72" s="142">
        <v>0</v>
      </c>
      <c r="CS72" s="142">
        <v>0</v>
      </c>
      <c r="CT72" s="142">
        <v>0</v>
      </c>
      <c r="CU72" s="144">
        <v>0</v>
      </c>
      <c r="CV72" s="144">
        <v>6700</v>
      </c>
      <c r="CW72" s="142">
        <v>0</v>
      </c>
      <c r="CX72" s="90">
        <v>0</v>
      </c>
      <c r="CY72" s="90">
        <v>0</v>
      </c>
      <c r="CZ72" s="144">
        <v>0</v>
      </c>
      <c r="DA72" s="144">
        <v>0</v>
      </c>
      <c r="DB72" s="144">
        <v>0</v>
      </c>
      <c r="DC72" s="144">
        <v>0</v>
      </c>
      <c r="DD72" s="144">
        <v>0</v>
      </c>
      <c r="DE72" s="144">
        <v>0</v>
      </c>
      <c r="DF72" s="144">
        <v>0</v>
      </c>
      <c r="DG72" s="142">
        <v>0</v>
      </c>
      <c r="DI72" s="91">
        <f ca="1">VLOOKUP(A72,'[2]2-Relatório'!$A:$J,9,0)</f>
        <v>106.4</v>
      </c>
      <c r="DJ72" s="145">
        <f t="shared" ca="1" si="89"/>
        <v>0</v>
      </c>
      <c r="DK72" s="145">
        <f t="shared" ca="1" si="89"/>
        <v>0</v>
      </c>
      <c r="DL72" s="145">
        <f t="shared" ca="1" si="89"/>
        <v>0</v>
      </c>
      <c r="DM72" s="145">
        <f t="shared" ca="1" si="89"/>
        <v>0</v>
      </c>
      <c r="DN72" s="145">
        <f t="shared" ca="1" si="89"/>
        <v>0</v>
      </c>
      <c r="DO72" s="145">
        <f t="shared" ca="1" si="89"/>
        <v>0</v>
      </c>
      <c r="DP72" s="145">
        <f t="shared" ca="1" si="89"/>
        <v>0</v>
      </c>
      <c r="DQ72" s="145">
        <f t="shared" ca="1" si="88"/>
        <v>0</v>
      </c>
      <c r="DR72" s="145">
        <f t="shared" ca="1" si="88"/>
        <v>0</v>
      </c>
      <c r="DS72" s="145">
        <f t="shared" ca="1" si="88"/>
        <v>0</v>
      </c>
      <c r="DT72" s="145">
        <f t="shared" ca="1" si="88"/>
        <v>562015.44000000006</v>
      </c>
      <c r="DU72" s="145">
        <f t="shared" ca="1" si="88"/>
        <v>383529.44000000006</v>
      </c>
      <c r="DV72" s="145">
        <f t="shared" ca="1" si="88"/>
        <v>209490.96000000005</v>
      </c>
      <c r="DW72" s="145">
        <f t="shared" ca="1" si="88"/>
        <v>18130.560000000034</v>
      </c>
      <c r="DX72" s="145">
        <f t="shared" ref="DX72:EF74" ca="1" si="134">AP72*$DI72</f>
        <v>0</v>
      </c>
      <c r="DY72" s="145">
        <f t="shared" ca="1" si="134"/>
        <v>712880</v>
      </c>
      <c r="DZ72" s="145">
        <f t="shared" ca="1" si="134"/>
        <v>712880</v>
      </c>
      <c r="EA72" s="145">
        <f t="shared" ca="1" si="134"/>
        <v>712880</v>
      </c>
      <c r="EB72" s="145">
        <f t="shared" ca="1" si="134"/>
        <v>556365.6</v>
      </c>
      <c r="EC72" s="145">
        <f t="shared" ca="1" si="134"/>
        <v>556365.6</v>
      </c>
      <c r="ED72" s="145">
        <f t="shared" ca="1" si="134"/>
        <v>556365.6</v>
      </c>
      <c r="EE72" s="145">
        <f t="shared" ca="1" si="134"/>
        <v>556365.6</v>
      </c>
      <c r="EF72" s="145">
        <f t="shared" ca="1" si="134"/>
        <v>556365.6</v>
      </c>
      <c r="EG72" s="145">
        <f t="shared" ca="1" si="128"/>
        <v>556365.6</v>
      </c>
      <c r="EH72" s="145">
        <f t="shared" ca="1" si="128"/>
        <v>556365.6</v>
      </c>
      <c r="EI72" s="145">
        <f t="shared" ca="1" si="128"/>
        <v>556365.6</v>
      </c>
      <c r="EL72" s="146">
        <f t="shared" ca="1" si="111"/>
        <v>0</v>
      </c>
      <c r="EM72" s="146">
        <f t="shared" ca="1" si="111"/>
        <v>0</v>
      </c>
      <c r="EN72" s="145">
        <f t="shared" ca="1" si="113"/>
        <v>0</v>
      </c>
      <c r="EO72" s="145">
        <f t="shared" ca="1" si="113"/>
        <v>0</v>
      </c>
      <c r="EP72" s="145">
        <f t="shared" ca="1" si="113"/>
        <v>45359.876100000009</v>
      </c>
      <c r="EQ72" s="145">
        <f t="shared" ca="1" si="113"/>
        <v>93375.389799999917</v>
      </c>
      <c r="ER72" s="145">
        <f t="shared" ca="1" si="113"/>
        <v>100452.60353333333</v>
      </c>
      <c r="ES72" s="145">
        <f t="shared" ca="1" si="113"/>
        <v>65022.596099999995</v>
      </c>
      <c r="ET72" s="145">
        <f t="shared" ca="1" si="113"/>
        <v>72895.925666666662</v>
      </c>
      <c r="EU72" s="145">
        <f t="shared" ca="1" si="113"/>
        <v>96905.706333333292</v>
      </c>
      <c r="EV72" s="145">
        <f t="shared" ca="1" si="113"/>
        <v>213598</v>
      </c>
      <c r="EW72" s="145">
        <f t="shared" ca="1" si="113"/>
        <v>150864.56000000003</v>
      </c>
      <c r="EX72" s="145">
        <f t="shared" ca="1" si="113"/>
        <v>178486</v>
      </c>
      <c r="EY72" s="145">
        <f t="shared" ca="1" si="113"/>
        <v>174038.48</v>
      </c>
      <c r="EZ72" s="145">
        <f t="shared" ca="1" si="113"/>
        <v>191360.40000000002</v>
      </c>
      <c r="FA72" s="145">
        <f t="shared" ca="1" si="113"/>
        <v>169708</v>
      </c>
      <c r="FB72" s="145">
        <f t="shared" ca="1" si="113"/>
        <v>0</v>
      </c>
      <c r="FC72" s="145">
        <f t="shared" ca="1" si="82"/>
        <v>0</v>
      </c>
      <c r="FD72" s="145">
        <f t="shared" ca="1" si="82"/>
        <v>0</v>
      </c>
      <c r="FE72" s="145">
        <f t="shared" ca="1" si="82"/>
        <v>156514.4</v>
      </c>
      <c r="FF72" s="145">
        <f t="shared" ca="1" si="82"/>
        <v>0</v>
      </c>
      <c r="FG72" s="92">
        <f t="shared" ca="1" si="82"/>
        <v>0</v>
      </c>
      <c r="FH72" s="92">
        <f t="shared" ca="1" si="82"/>
        <v>0</v>
      </c>
      <c r="FI72" s="92">
        <f t="shared" ca="1" si="82"/>
        <v>0</v>
      </c>
      <c r="FJ72" s="92">
        <f t="shared" ca="1" si="117"/>
        <v>0</v>
      </c>
      <c r="FK72" s="92">
        <f t="shared" ca="1" si="117"/>
        <v>0</v>
      </c>
      <c r="FL72" s="92">
        <f t="shared" ca="1" si="117"/>
        <v>0</v>
      </c>
      <c r="FM72" s="92">
        <f t="shared" ca="1" si="117"/>
        <v>0</v>
      </c>
      <c r="FN72" s="94">
        <f t="shared" ca="1" si="130"/>
        <v>6700</v>
      </c>
      <c r="FO72" s="94">
        <f t="shared" ca="1" si="119"/>
        <v>6700</v>
      </c>
      <c r="FP72" s="147">
        <f t="shared" ca="1" si="112"/>
        <v>0</v>
      </c>
      <c r="FQ72" s="147">
        <f t="shared" ca="1" si="112"/>
        <v>0</v>
      </c>
      <c r="FR72" s="147">
        <f t="shared" ca="1" si="96"/>
        <v>0</v>
      </c>
      <c r="FS72" s="147">
        <f t="shared" ca="1" si="96"/>
        <v>0</v>
      </c>
      <c r="FT72" s="147">
        <f t="shared" ca="1" si="96"/>
        <v>0</v>
      </c>
      <c r="FU72" s="147">
        <f t="shared" ca="1" si="96"/>
        <v>0</v>
      </c>
      <c r="FV72" s="147">
        <f t="shared" ca="1" si="96"/>
        <v>0</v>
      </c>
      <c r="FW72" s="147">
        <f t="shared" ca="1" si="96"/>
        <v>0</v>
      </c>
      <c r="FX72" s="95">
        <f t="shared" ca="1" si="96"/>
        <v>0</v>
      </c>
      <c r="FY72" s="95">
        <f t="shared" ca="1" si="96"/>
        <v>0</v>
      </c>
      <c r="FZ72" s="95">
        <f t="shared" ca="1" si="96"/>
        <v>0</v>
      </c>
      <c r="GA72" s="95">
        <f t="shared" ca="1" si="96"/>
        <v>0</v>
      </c>
      <c r="GB72" s="95">
        <f t="shared" ca="1" si="96"/>
        <v>94.463785394932955</v>
      </c>
      <c r="GC72" s="95">
        <f t="shared" ca="1" si="96"/>
        <v>66.111145075502847</v>
      </c>
      <c r="GD72" s="95">
        <f t="shared" ca="1" si="96"/>
        <v>32.842368640533778</v>
      </c>
      <c r="GE72" s="95">
        <f t="shared" ca="1" si="96"/>
        <v>3.205015673981197</v>
      </c>
      <c r="GF72" s="95">
        <f t="shared" ca="1" si="96"/>
        <v>0</v>
      </c>
      <c r="GG72" s="95">
        <f t="shared" ca="1" si="90"/>
        <v>0</v>
      </c>
      <c r="GH72" s="95">
        <f t="shared" ca="1" si="90"/>
        <v>0</v>
      </c>
      <c r="GI72" s="95">
        <f t="shared" ca="1" si="97"/>
        <v>136.64174031271244</v>
      </c>
      <c r="GJ72" s="95">
        <f t="shared" ca="1" si="97"/>
        <v>0</v>
      </c>
      <c r="GK72" s="95">
        <f t="shared" ca="1" si="97"/>
        <v>0</v>
      </c>
      <c r="GL72" s="147">
        <f t="shared" ca="1" si="97"/>
        <v>0</v>
      </c>
      <c r="GM72" s="147">
        <f t="shared" ca="1" si="97"/>
        <v>0</v>
      </c>
      <c r="GN72" s="147">
        <f t="shared" ca="1" si="97"/>
        <v>0</v>
      </c>
      <c r="GO72" s="147">
        <f t="shared" ca="1" si="97"/>
        <v>0</v>
      </c>
      <c r="GP72" s="147">
        <f t="shared" ca="1" si="97"/>
        <v>0</v>
      </c>
      <c r="GQ72" s="147">
        <f t="shared" ca="1" si="97"/>
        <v>0</v>
      </c>
      <c r="GS72" s="148">
        <v>236.57644827999988</v>
      </c>
      <c r="GT72" s="153">
        <f t="shared" ca="1" si="131"/>
        <v>100855.99983232006</v>
      </c>
      <c r="GU72" s="153">
        <f t="shared" ca="1" si="131"/>
        <v>207616.71123726043</v>
      </c>
      <c r="GV72" s="153">
        <f t="shared" ca="1" si="131"/>
        <v>223352.63312401282</v>
      </c>
      <c r="GW72" s="153">
        <f t="shared" ca="1" si="131"/>
        <v>144575.32747446399</v>
      </c>
      <c r="GX72" s="153">
        <f t="shared" ca="1" si="131"/>
        <v>162081.38334871127</v>
      </c>
      <c r="GY72" s="153">
        <f t="shared" ca="1" si="131"/>
        <v>215466.23893237481</v>
      </c>
      <c r="GZ72" s="153">
        <f t="shared" ca="1" si="131"/>
        <v>474927.21992209979</v>
      </c>
      <c r="HA72" s="153">
        <f t="shared" ca="1" si="131"/>
        <v>335441.74601621187</v>
      </c>
      <c r="HB72" s="153">
        <f t="shared" ca="1" si="131"/>
        <v>396856.99198969977</v>
      </c>
      <c r="HC72" s="153">
        <f t="shared" ca="1" si="131"/>
        <v>386968.09645159583</v>
      </c>
      <c r="HD72" s="153">
        <f t="shared" ca="1" si="132"/>
        <v>425482.74223157979</v>
      </c>
      <c r="HE72" s="153">
        <f t="shared" ca="1" si="132"/>
        <v>377339.43500659982</v>
      </c>
      <c r="HF72" s="153">
        <f t="shared" ca="1" si="132"/>
        <v>0</v>
      </c>
      <c r="HG72" s="153">
        <f t="shared" ca="1" si="132"/>
        <v>0</v>
      </c>
      <c r="HH72" s="153">
        <f t="shared" ca="1" si="132"/>
        <v>0</v>
      </c>
      <c r="HI72" s="153">
        <f t="shared" ca="1" si="132"/>
        <v>348003.95541987981</v>
      </c>
      <c r="HJ72" s="153">
        <f t="shared" ca="1" si="132"/>
        <v>0</v>
      </c>
      <c r="HK72" s="153">
        <f t="shared" ca="1" si="132"/>
        <v>0</v>
      </c>
      <c r="HL72" s="153">
        <f t="shared" ca="1" si="132"/>
        <v>0</v>
      </c>
      <c r="HM72" s="153">
        <f t="shared" ca="1" si="132"/>
        <v>0</v>
      </c>
      <c r="HN72" s="153">
        <f t="shared" ca="1" si="132"/>
        <v>0</v>
      </c>
      <c r="HO72" s="153">
        <f t="shared" ca="1" si="132"/>
        <v>0</v>
      </c>
      <c r="HP72" s="153">
        <f t="shared" ca="1" si="132"/>
        <v>0</v>
      </c>
      <c r="HQ72" s="153">
        <f t="shared" ca="1" si="132"/>
        <v>0</v>
      </c>
      <c r="HS72" s="149">
        <f t="shared" ca="1" si="123"/>
        <v>0</v>
      </c>
    </row>
    <row r="73" spans="1:227" s="29" customFormat="1" ht="17.25" thickTop="1" thickBot="1" x14ac:dyDescent="0.3">
      <c r="A73" s="129" t="s">
        <v>81</v>
      </c>
      <c r="B73" s="130" t="s">
        <v>447</v>
      </c>
      <c r="C73" s="130" t="s">
        <v>448</v>
      </c>
      <c r="D73" s="131" t="s">
        <v>0</v>
      </c>
      <c r="E73" s="131" t="s">
        <v>349</v>
      </c>
      <c r="F73" s="130"/>
      <c r="G73" s="75">
        <f t="shared" ca="1" si="129"/>
        <v>133</v>
      </c>
      <c r="H73" s="75">
        <v>133</v>
      </c>
      <c r="I73" s="75">
        <f t="shared" ca="1" si="102"/>
        <v>266</v>
      </c>
      <c r="J73" s="133">
        <f ca="1">[1]Parameters!$C$3+G73</f>
        <v>45964</v>
      </c>
      <c r="K73" s="134">
        <f t="shared" ca="1" si="103"/>
        <v>11</v>
      </c>
      <c r="L73" s="134">
        <f t="shared" ca="1" si="104"/>
        <v>2025</v>
      </c>
      <c r="M73" s="133">
        <f ca="1">[1]Parameters!$C$3+I73</f>
        <v>46097</v>
      </c>
      <c r="N73" s="134">
        <f t="shared" ca="1" si="124"/>
        <v>3</v>
      </c>
      <c r="O73" s="134">
        <f t="shared" ca="1" si="125"/>
        <v>2026</v>
      </c>
      <c r="P73" s="135">
        <v>0.95</v>
      </c>
      <c r="Q73" s="136" t="str">
        <f ca="1">VLOOKUP(A73,[1]ABC!A:G,7,0)</f>
        <v>C</v>
      </c>
      <c r="R73" s="137">
        <f t="shared" ca="1" si="99"/>
        <v>0</v>
      </c>
      <c r="S73" s="151">
        <v>84.01</v>
      </c>
      <c r="T73" s="152">
        <f t="shared" ca="1" si="122"/>
        <v>900</v>
      </c>
      <c r="U73" s="140">
        <f ca="1">IF((ROUND(AVERAGE(BI73:BR73)/10,0)*10)&lt;T73,T73,ROUND(AVERAGE(BI73:BR73)/10,0)*10)</f>
        <v>900</v>
      </c>
      <c r="V73" s="137">
        <v>1340</v>
      </c>
      <c r="W73" s="137">
        <f t="shared" ca="1" si="126"/>
        <v>1340</v>
      </c>
      <c r="X73" s="137"/>
      <c r="Y73" s="141">
        <v>12.6</v>
      </c>
      <c r="Z73" s="85">
        <v>0</v>
      </c>
      <c r="AA73" s="85">
        <v>0</v>
      </c>
      <c r="AB73" s="85">
        <v>0</v>
      </c>
      <c r="AC73" s="85">
        <v>0</v>
      </c>
      <c r="AD73" s="85">
        <v>0</v>
      </c>
      <c r="AE73" s="85">
        <v>0</v>
      </c>
      <c r="AF73" s="85">
        <v>0</v>
      </c>
      <c r="AG73" s="85">
        <v>0</v>
      </c>
      <c r="AH73" s="85">
        <v>0</v>
      </c>
      <c r="AI73" s="75">
        <v>0</v>
      </c>
      <c r="AJ73" s="75">
        <f t="shared" ca="1" si="133"/>
        <v>0</v>
      </c>
      <c r="AK73" s="75">
        <f t="shared" ca="1" si="133"/>
        <v>0</v>
      </c>
      <c r="AL73" s="75">
        <f t="shared" ca="1" si="133"/>
        <v>0</v>
      </c>
      <c r="AM73" s="75">
        <f t="shared" ca="1" si="133"/>
        <v>0</v>
      </c>
      <c r="AN73" s="75">
        <f t="shared" ca="1" si="133"/>
        <v>0</v>
      </c>
      <c r="AO73" s="75">
        <f t="shared" ca="1" si="133"/>
        <v>0</v>
      </c>
      <c r="AP73" s="75">
        <f t="shared" ca="1" si="133"/>
        <v>0</v>
      </c>
      <c r="AQ73" s="75">
        <f t="shared" ca="1" si="133"/>
        <v>0</v>
      </c>
      <c r="AR73" s="75">
        <f t="shared" ca="1" si="133"/>
        <v>0</v>
      </c>
      <c r="AS73" s="75">
        <f t="shared" ca="1" si="133"/>
        <v>0</v>
      </c>
      <c r="AT73" s="75">
        <f t="shared" ca="1" si="133"/>
        <v>0</v>
      </c>
      <c r="AU73" s="75">
        <f t="shared" ca="1" si="133"/>
        <v>0</v>
      </c>
      <c r="AV73" s="75">
        <f t="shared" ca="1" si="133"/>
        <v>0</v>
      </c>
      <c r="AW73" s="75">
        <f t="shared" ca="1" si="133"/>
        <v>0</v>
      </c>
      <c r="AX73" s="75">
        <f t="shared" ca="1" si="133"/>
        <v>0</v>
      </c>
      <c r="AY73" s="75">
        <f t="shared" ca="1" si="54"/>
        <v>0</v>
      </c>
      <c r="AZ73" s="75">
        <f t="shared" ca="1" si="54"/>
        <v>0</v>
      </c>
      <c r="BA73" s="75">
        <f t="shared" ca="1" si="54"/>
        <v>0</v>
      </c>
      <c r="BB73" s="166"/>
      <c r="BC73" s="86">
        <v>0</v>
      </c>
      <c r="BD73" s="86">
        <v>0</v>
      </c>
      <c r="BE73" s="86">
        <v>0</v>
      </c>
      <c r="BF73" s="86">
        <v>0</v>
      </c>
      <c r="BG73" s="86">
        <v>106.33333333333334</v>
      </c>
      <c r="BH73" s="86">
        <v>171.21133333333339</v>
      </c>
      <c r="BI73" s="86">
        <v>205.20408333333339</v>
      </c>
      <c r="BJ73" s="86">
        <v>82.133333333333326</v>
      </c>
      <c r="BK73" s="142">
        <v>143.68291666666673</v>
      </c>
      <c r="BL73" s="142">
        <v>158.53383333333335</v>
      </c>
      <c r="BM73" s="142">
        <v>319</v>
      </c>
      <c r="BN73" s="142">
        <v>390.5</v>
      </c>
      <c r="BO73" s="142">
        <v>405.9</v>
      </c>
      <c r="BP73" s="142">
        <v>328.9</v>
      </c>
      <c r="BQ73" s="142">
        <v>409.2</v>
      </c>
      <c r="BR73" s="142">
        <v>357.5</v>
      </c>
      <c r="BS73" s="142">
        <v>0</v>
      </c>
      <c r="BT73" s="142">
        <v>0</v>
      </c>
      <c r="BU73" s="142">
        <v>409</v>
      </c>
      <c r="BV73" s="142">
        <v>329</v>
      </c>
      <c r="BW73" s="142">
        <v>0</v>
      </c>
      <c r="BX73" s="142">
        <v>0</v>
      </c>
      <c r="BY73" s="142">
        <v>0</v>
      </c>
      <c r="BZ73" s="142">
        <v>0</v>
      </c>
      <c r="CA73" s="142">
        <v>0</v>
      </c>
      <c r="CB73" s="142">
        <v>0</v>
      </c>
      <c r="CC73" s="142">
        <v>0</v>
      </c>
      <c r="CD73" s="142">
        <v>0</v>
      </c>
      <c r="CE73" s="86">
        <f t="shared" ca="1" si="127"/>
        <v>178.01192423932372</v>
      </c>
      <c r="CF73" s="143"/>
      <c r="CG73" s="86">
        <v>0</v>
      </c>
      <c r="CH73" s="86">
        <v>0</v>
      </c>
      <c r="CI73" s="86">
        <v>0</v>
      </c>
      <c r="CJ73" s="86">
        <v>0</v>
      </c>
      <c r="CK73" s="86">
        <v>0</v>
      </c>
      <c r="CL73" s="86">
        <v>0</v>
      </c>
      <c r="CM73" s="86">
        <v>0</v>
      </c>
      <c r="CN73" s="86">
        <v>0</v>
      </c>
      <c r="CO73" s="142">
        <v>0</v>
      </c>
      <c r="CP73" s="142">
        <v>0</v>
      </c>
      <c r="CQ73" s="142">
        <v>0</v>
      </c>
      <c r="CR73" s="142">
        <v>0</v>
      </c>
      <c r="CS73" s="142">
        <v>0</v>
      </c>
      <c r="CT73" s="142">
        <v>0</v>
      </c>
      <c r="CU73" s="144">
        <v>0</v>
      </c>
      <c r="CV73" s="144">
        <v>0</v>
      </c>
      <c r="CW73" s="142">
        <v>0</v>
      </c>
      <c r="CX73" s="90">
        <v>0</v>
      </c>
      <c r="CY73" s="90">
        <v>0</v>
      </c>
      <c r="CZ73" s="144">
        <v>0</v>
      </c>
      <c r="DA73" s="144">
        <v>0</v>
      </c>
      <c r="DB73" s="144">
        <v>0</v>
      </c>
      <c r="DC73" s="144">
        <v>0</v>
      </c>
      <c r="DD73" s="144">
        <v>0</v>
      </c>
      <c r="DE73" s="144">
        <v>0</v>
      </c>
      <c r="DF73" s="144">
        <v>0</v>
      </c>
      <c r="DG73" s="142">
        <v>0</v>
      </c>
      <c r="DI73" s="91">
        <f ca="1">VLOOKUP(A73,'[2]2-Relatório'!$A:$J,9,0)</f>
        <v>83.99</v>
      </c>
      <c r="DJ73" s="145">
        <f t="shared" ca="1" si="89"/>
        <v>0</v>
      </c>
      <c r="DK73" s="145">
        <f t="shared" ca="1" si="89"/>
        <v>0</v>
      </c>
      <c r="DL73" s="145">
        <f t="shared" ca="1" si="89"/>
        <v>0</v>
      </c>
      <c r="DM73" s="145">
        <f t="shared" ca="1" si="89"/>
        <v>0</v>
      </c>
      <c r="DN73" s="145">
        <f t="shared" ca="1" si="89"/>
        <v>0</v>
      </c>
      <c r="DO73" s="145">
        <f t="shared" ca="1" si="89"/>
        <v>0</v>
      </c>
      <c r="DP73" s="145">
        <f t="shared" ca="1" si="89"/>
        <v>0</v>
      </c>
      <c r="DQ73" s="145">
        <f t="shared" ca="1" si="89"/>
        <v>0</v>
      </c>
      <c r="DR73" s="145">
        <f t="shared" ca="1" si="89"/>
        <v>0</v>
      </c>
      <c r="DS73" s="145">
        <f t="shared" ca="1" si="89"/>
        <v>0</v>
      </c>
      <c r="DT73" s="145">
        <f t="shared" ca="1" si="89"/>
        <v>0</v>
      </c>
      <c r="DU73" s="145">
        <f t="shared" ca="1" si="89"/>
        <v>0</v>
      </c>
      <c r="DV73" s="145">
        <f t="shared" ca="1" si="89"/>
        <v>0</v>
      </c>
      <c r="DW73" s="145">
        <f t="shared" ca="1" si="89"/>
        <v>0</v>
      </c>
      <c r="DX73" s="145">
        <f t="shared" ca="1" si="134"/>
        <v>0</v>
      </c>
      <c r="DY73" s="145">
        <f t="shared" ca="1" si="134"/>
        <v>0</v>
      </c>
      <c r="DZ73" s="145">
        <f t="shared" ca="1" si="134"/>
        <v>0</v>
      </c>
      <c r="EA73" s="145">
        <f t="shared" ca="1" si="134"/>
        <v>0</v>
      </c>
      <c r="EB73" s="145">
        <f t="shared" ca="1" si="134"/>
        <v>0</v>
      </c>
      <c r="EC73" s="145">
        <f t="shared" ca="1" si="134"/>
        <v>0</v>
      </c>
      <c r="ED73" s="145">
        <f t="shared" ca="1" si="134"/>
        <v>0</v>
      </c>
      <c r="EE73" s="145">
        <f t="shared" ca="1" si="134"/>
        <v>0</v>
      </c>
      <c r="EF73" s="145">
        <f t="shared" ca="1" si="134"/>
        <v>0</v>
      </c>
      <c r="EG73" s="145">
        <f t="shared" ca="1" si="128"/>
        <v>0</v>
      </c>
      <c r="EH73" s="145">
        <f t="shared" ca="1" si="128"/>
        <v>0</v>
      </c>
      <c r="EI73" s="145">
        <f t="shared" ca="1" si="128"/>
        <v>0</v>
      </c>
      <c r="EL73" s="146">
        <f t="shared" ca="1" si="111"/>
        <v>0</v>
      </c>
      <c r="EM73" s="146">
        <f t="shared" ca="1" si="111"/>
        <v>0</v>
      </c>
      <c r="EN73" s="145">
        <f t="shared" ca="1" si="113"/>
        <v>0</v>
      </c>
      <c r="EO73" s="145">
        <f t="shared" ca="1" si="113"/>
        <v>0</v>
      </c>
      <c r="EP73" s="145">
        <f t="shared" ca="1" si="113"/>
        <v>8930.9366666666665</v>
      </c>
      <c r="EQ73" s="145">
        <f t="shared" ca="1" si="113"/>
        <v>14380.039886666671</v>
      </c>
      <c r="ER73" s="145">
        <f t="shared" ca="1" si="113"/>
        <v>17235.090959166671</v>
      </c>
      <c r="ES73" s="145">
        <f t="shared" ca="1" si="113"/>
        <v>6898.3786666666656</v>
      </c>
      <c r="ET73" s="145">
        <f t="shared" ca="1" si="113"/>
        <v>12067.928170833338</v>
      </c>
      <c r="EU73" s="145">
        <f t="shared" ca="1" si="113"/>
        <v>13315.256661666666</v>
      </c>
      <c r="EV73" s="145">
        <f t="shared" ca="1" si="113"/>
        <v>26792.809999999998</v>
      </c>
      <c r="EW73" s="145">
        <f t="shared" ca="1" si="113"/>
        <v>32798.095000000001</v>
      </c>
      <c r="EX73" s="145">
        <f t="shared" ca="1" si="113"/>
        <v>34091.540999999997</v>
      </c>
      <c r="EY73" s="145">
        <f t="shared" ca="1" si="113"/>
        <v>27624.310999999998</v>
      </c>
      <c r="EZ73" s="145">
        <f t="shared" ca="1" si="113"/>
        <v>34368.707999999999</v>
      </c>
      <c r="FA73" s="145">
        <f t="shared" ca="1" si="113"/>
        <v>30026.424999999999</v>
      </c>
      <c r="FB73" s="145">
        <f t="shared" ca="1" si="113"/>
        <v>0</v>
      </c>
      <c r="FC73" s="145">
        <f t="shared" ca="1" si="82"/>
        <v>0</v>
      </c>
      <c r="FD73" s="145">
        <f t="shared" ca="1" si="82"/>
        <v>34351.909999999996</v>
      </c>
      <c r="FE73" s="145">
        <f t="shared" ca="1" si="82"/>
        <v>27632.71</v>
      </c>
      <c r="FF73" s="145">
        <f t="shared" ca="1" si="82"/>
        <v>0</v>
      </c>
      <c r="FG73" s="92">
        <f t="shared" ca="1" si="82"/>
        <v>0</v>
      </c>
      <c r="FH73" s="92">
        <f t="shared" ca="1" si="82"/>
        <v>0</v>
      </c>
      <c r="FI73" s="92">
        <f t="shared" ca="1" si="82"/>
        <v>0</v>
      </c>
      <c r="FJ73" s="92">
        <f t="shared" ca="1" si="117"/>
        <v>0</v>
      </c>
      <c r="FK73" s="92">
        <f t="shared" ca="1" si="117"/>
        <v>0</v>
      </c>
      <c r="FL73" s="92">
        <f t="shared" ca="1" si="117"/>
        <v>0</v>
      </c>
      <c r="FM73" s="92">
        <f t="shared" ca="1" si="117"/>
        <v>0</v>
      </c>
      <c r="FN73" s="94">
        <f t="shared" ca="1" si="130"/>
        <v>0</v>
      </c>
      <c r="FO73" s="94">
        <f t="shared" ca="1" si="119"/>
        <v>0</v>
      </c>
      <c r="FP73" s="147">
        <f t="shared" ca="1" si="112"/>
        <v>0</v>
      </c>
      <c r="FQ73" s="147">
        <f t="shared" ca="1" si="112"/>
        <v>0</v>
      </c>
      <c r="FR73" s="147">
        <f t="shared" ca="1" si="96"/>
        <v>0</v>
      </c>
      <c r="FS73" s="147">
        <f t="shared" ca="1" si="96"/>
        <v>0</v>
      </c>
      <c r="FT73" s="147">
        <f t="shared" ca="1" si="96"/>
        <v>0</v>
      </c>
      <c r="FU73" s="147">
        <f t="shared" ca="1" si="96"/>
        <v>0</v>
      </c>
      <c r="FV73" s="147">
        <f t="shared" ca="1" si="96"/>
        <v>0</v>
      </c>
      <c r="FW73" s="147">
        <f t="shared" ca="1" si="96"/>
        <v>0</v>
      </c>
      <c r="FX73" s="95">
        <f t="shared" ca="1" si="96"/>
        <v>0</v>
      </c>
      <c r="FY73" s="95">
        <f t="shared" ca="1" si="96"/>
        <v>0</v>
      </c>
      <c r="FZ73" s="95">
        <f t="shared" ca="1" si="96"/>
        <v>0</v>
      </c>
      <c r="GA73" s="95">
        <f t="shared" ca="1" si="96"/>
        <v>0</v>
      </c>
      <c r="GB73" s="95">
        <f t="shared" ca="1" si="96"/>
        <v>0</v>
      </c>
      <c r="GC73" s="95">
        <f t="shared" ca="1" si="96"/>
        <v>0</v>
      </c>
      <c r="GD73" s="95">
        <f t="shared" ca="1" si="96"/>
        <v>0</v>
      </c>
      <c r="GE73" s="95">
        <f t="shared" ca="1" si="96"/>
        <v>0</v>
      </c>
      <c r="GF73" s="95">
        <f t="shared" ca="1" si="96"/>
        <v>0</v>
      </c>
      <c r="GG73" s="95">
        <f t="shared" ca="1" si="90"/>
        <v>0</v>
      </c>
      <c r="GH73" s="95">
        <f t="shared" ca="1" si="90"/>
        <v>0</v>
      </c>
      <c r="GI73" s="95">
        <f t="shared" ca="1" si="97"/>
        <v>0</v>
      </c>
      <c r="GJ73" s="95">
        <f t="shared" ca="1" si="97"/>
        <v>0</v>
      </c>
      <c r="GK73" s="95">
        <f t="shared" ca="1" si="97"/>
        <v>0</v>
      </c>
      <c r="GL73" s="147">
        <f t="shared" ca="1" si="97"/>
        <v>0</v>
      </c>
      <c r="GM73" s="147">
        <f t="shared" ca="1" si="97"/>
        <v>0</v>
      </c>
      <c r="GN73" s="147">
        <f t="shared" ca="1" si="97"/>
        <v>0</v>
      </c>
      <c r="GO73" s="147">
        <f t="shared" ca="1" si="97"/>
        <v>0</v>
      </c>
      <c r="GP73" s="147">
        <f t="shared" ca="1" si="97"/>
        <v>0</v>
      </c>
      <c r="GQ73" s="147">
        <f t="shared" ca="1" si="97"/>
        <v>0</v>
      </c>
      <c r="GS73" s="148">
        <v>169.97979481999991</v>
      </c>
      <c r="GT73" s="153">
        <f t="shared" ca="1" si="131"/>
        <v>18074.518182526659</v>
      </c>
      <c r="GU73" s="153">
        <f t="shared" ca="1" si="131"/>
        <v>29102.467310858621</v>
      </c>
      <c r="GV73" s="153">
        <f t="shared" ca="1" si="131"/>
        <v>34880.547981226169</v>
      </c>
      <c r="GW73" s="153">
        <f t="shared" ca="1" si="131"/>
        <v>13961.007147882658</v>
      </c>
      <c r="GX73" s="153">
        <f t="shared" ca="1" si="131"/>
        <v>24423.192694139158</v>
      </c>
      <c r="GY73" s="153">
        <f t="shared" ca="1" si="131"/>
        <v>26947.548462028066</v>
      </c>
      <c r="GZ73" s="153">
        <f t="shared" ca="1" si="131"/>
        <v>54223.554547579974</v>
      </c>
      <c r="HA73" s="153">
        <f t="shared" ca="1" si="131"/>
        <v>66377.109877209965</v>
      </c>
      <c r="HB73" s="153">
        <f t="shared" ca="1" si="131"/>
        <v>68994.798717437952</v>
      </c>
      <c r="HC73" s="153">
        <f t="shared" ca="1" si="131"/>
        <v>55906.354516297964</v>
      </c>
      <c r="HD73" s="153">
        <f t="shared" ca="1" si="132"/>
        <v>69555.732040343966</v>
      </c>
      <c r="HE73" s="153">
        <f t="shared" ca="1" si="132"/>
        <v>60767.776648149971</v>
      </c>
      <c r="HF73" s="153">
        <f t="shared" ca="1" si="132"/>
        <v>0</v>
      </c>
      <c r="HG73" s="153">
        <f t="shared" ca="1" si="132"/>
        <v>0</v>
      </c>
      <c r="HH73" s="153">
        <f t="shared" ca="1" si="132"/>
        <v>69521.736081379961</v>
      </c>
      <c r="HI73" s="153">
        <f t="shared" ca="1" si="132"/>
        <v>55923.352495779967</v>
      </c>
      <c r="HJ73" s="153">
        <f t="shared" ca="1" si="132"/>
        <v>0</v>
      </c>
      <c r="HK73" s="153">
        <f t="shared" ca="1" si="132"/>
        <v>0</v>
      </c>
      <c r="HL73" s="153">
        <f t="shared" ca="1" si="132"/>
        <v>0</v>
      </c>
      <c r="HM73" s="153">
        <f t="shared" ca="1" si="132"/>
        <v>0</v>
      </c>
      <c r="HN73" s="153">
        <f t="shared" ca="1" si="132"/>
        <v>0</v>
      </c>
      <c r="HO73" s="153">
        <f t="shared" ca="1" si="132"/>
        <v>0</v>
      </c>
      <c r="HP73" s="153">
        <f t="shared" ca="1" si="132"/>
        <v>0</v>
      </c>
      <c r="HQ73" s="153">
        <f t="shared" ca="1" si="132"/>
        <v>0</v>
      </c>
      <c r="HS73" s="149">
        <f t="shared" ca="1" si="123"/>
        <v>0</v>
      </c>
    </row>
    <row r="74" spans="1:227" s="29" customFormat="1" ht="17.25" thickTop="1" thickBot="1" x14ac:dyDescent="0.3">
      <c r="A74" s="129" t="s">
        <v>82</v>
      </c>
      <c r="B74" s="130" t="s">
        <v>449</v>
      </c>
      <c r="C74" s="130" t="s">
        <v>449</v>
      </c>
      <c r="D74" s="131" t="s">
        <v>0</v>
      </c>
      <c r="E74" s="131" t="s">
        <v>349</v>
      </c>
      <c r="F74" s="130"/>
      <c r="G74" s="75">
        <f t="shared" ca="1" si="129"/>
        <v>133</v>
      </c>
      <c r="H74" s="75">
        <v>133</v>
      </c>
      <c r="I74" s="75">
        <f t="shared" ca="1" si="102"/>
        <v>266</v>
      </c>
      <c r="J74" s="133">
        <f ca="1">[1]Parameters!$C$3+G74</f>
        <v>45964</v>
      </c>
      <c r="K74" s="134">
        <f t="shared" ca="1" si="103"/>
        <v>11</v>
      </c>
      <c r="L74" s="134">
        <f t="shared" ca="1" si="104"/>
        <v>2025</v>
      </c>
      <c r="M74" s="133">
        <f ca="1">[1]Parameters!$C$3+I74</f>
        <v>46097</v>
      </c>
      <c r="N74" s="134">
        <f t="shared" ca="1" si="124"/>
        <v>3</v>
      </c>
      <c r="O74" s="134">
        <f t="shared" ca="1" si="125"/>
        <v>2026</v>
      </c>
      <c r="P74" s="135">
        <v>0.95</v>
      </c>
      <c r="Q74" s="136" t="str">
        <f ca="1">VLOOKUP(A74,[1]ABC!A:G,7,0)</f>
        <v>C</v>
      </c>
      <c r="R74" s="137">
        <f t="shared" ca="1" si="99"/>
        <v>0</v>
      </c>
      <c r="S74" s="151">
        <v>99.97</v>
      </c>
      <c r="T74" s="152">
        <f t="shared" ca="1" si="122"/>
        <v>800</v>
      </c>
      <c r="U74" s="140">
        <f ca="1">IF((ROUND(AVERAGE(BI74:BR74)/10,0)*10)&lt;T74,T74,ROUND(AVERAGE(BI74:BR74)/10,0)*10)</f>
        <v>800</v>
      </c>
      <c r="V74" s="137">
        <v>1340</v>
      </c>
      <c r="W74" s="137">
        <f t="shared" ca="1" si="126"/>
        <v>1340</v>
      </c>
      <c r="X74" s="137"/>
      <c r="Y74" s="141">
        <v>14.28</v>
      </c>
      <c r="Z74" s="85">
        <v>0</v>
      </c>
      <c r="AA74" s="85">
        <v>0</v>
      </c>
      <c r="AB74" s="85">
        <v>0</v>
      </c>
      <c r="AC74" s="85">
        <v>0</v>
      </c>
      <c r="AD74" s="85">
        <v>0</v>
      </c>
      <c r="AE74" s="85">
        <v>0</v>
      </c>
      <c r="AF74" s="85">
        <v>0</v>
      </c>
      <c r="AG74" s="85">
        <v>0</v>
      </c>
      <c r="AH74" s="85">
        <v>0</v>
      </c>
      <c r="AI74" s="75">
        <v>0</v>
      </c>
      <c r="AJ74" s="75">
        <f t="shared" ca="1" si="133"/>
        <v>0</v>
      </c>
      <c r="AK74" s="75">
        <f t="shared" ca="1" si="133"/>
        <v>0</v>
      </c>
      <c r="AL74" s="75">
        <f t="shared" ca="1" si="133"/>
        <v>1018.8</v>
      </c>
      <c r="AM74" s="75">
        <f t="shared" ca="1" si="133"/>
        <v>661.3</v>
      </c>
      <c r="AN74" s="75">
        <f t="shared" ca="1" si="133"/>
        <v>332.4</v>
      </c>
      <c r="AO74" s="75">
        <f t="shared" ca="1" si="133"/>
        <v>0</v>
      </c>
      <c r="AP74" s="75">
        <f t="shared" ca="1" si="133"/>
        <v>0</v>
      </c>
      <c r="AQ74" s="75">
        <f t="shared" ca="1" si="133"/>
        <v>1340</v>
      </c>
      <c r="AR74" s="75">
        <f t="shared" ca="1" si="133"/>
        <v>1340</v>
      </c>
      <c r="AS74" s="75">
        <f t="shared" ca="1" si="133"/>
        <v>1340</v>
      </c>
      <c r="AT74" s="75">
        <f t="shared" ca="1" si="133"/>
        <v>1174</v>
      </c>
      <c r="AU74" s="75">
        <f t="shared" ca="1" si="133"/>
        <v>1174</v>
      </c>
      <c r="AV74" s="75">
        <f t="shared" ca="1" si="133"/>
        <v>1174</v>
      </c>
      <c r="AW74" s="75">
        <f t="shared" ca="1" si="133"/>
        <v>1174</v>
      </c>
      <c r="AX74" s="75">
        <f t="shared" ca="1" si="133"/>
        <v>1174</v>
      </c>
      <c r="AY74" s="75">
        <f t="shared" ca="1" si="54"/>
        <v>1174</v>
      </c>
      <c r="AZ74" s="75">
        <f t="shared" ca="1" si="54"/>
        <v>1174</v>
      </c>
      <c r="BA74" s="75">
        <f t="shared" ca="1" si="54"/>
        <v>1174</v>
      </c>
      <c r="BB74" s="166"/>
      <c r="BC74" s="86">
        <v>0</v>
      </c>
      <c r="BD74" s="86">
        <v>0</v>
      </c>
      <c r="BE74" s="86">
        <v>0</v>
      </c>
      <c r="BF74" s="86">
        <v>0</v>
      </c>
      <c r="BG74" s="86">
        <v>91.376083333333312</v>
      </c>
      <c r="BH74" s="86">
        <v>152.65090500000005</v>
      </c>
      <c r="BI74" s="86">
        <v>232.22561083333343</v>
      </c>
      <c r="BJ74" s="86">
        <v>73.776083333333361</v>
      </c>
      <c r="BK74" s="142">
        <v>132.42345416666672</v>
      </c>
      <c r="BL74" s="142">
        <v>139.60646333333329</v>
      </c>
      <c r="BM74" s="142">
        <v>313.5</v>
      </c>
      <c r="BN74" s="142">
        <v>321.2</v>
      </c>
      <c r="BO74" s="142">
        <v>357.5</v>
      </c>
      <c r="BP74" s="142">
        <v>328.9</v>
      </c>
      <c r="BQ74" s="142">
        <v>360.8</v>
      </c>
      <c r="BR74" s="142">
        <v>332.2</v>
      </c>
      <c r="BS74" s="142">
        <v>0</v>
      </c>
      <c r="BT74" s="142">
        <v>0</v>
      </c>
      <c r="BU74" s="142">
        <v>0</v>
      </c>
      <c r="BV74" s="142">
        <v>166</v>
      </c>
      <c r="BW74" s="142">
        <v>0</v>
      </c>
      <c r="BX74" s="142">
        <v>0</v>
      </c>
      <c r="BY74" s="142">
        <v>0</v>
      </c>
      <c r="BZ74" s="142">
        <v>0</v>
      </c>
      <c r="CA74" s="142">
        <v>0</v>
      </c>
      <c r="CB74" s="142">
        <v>0</v>
      </c>
      <c r="CC74" s="142">
        <v>0</v>
      </c>
      <c r="CD74" s="142">
        <v>0</v>
      </c>
      <c r="CE74" s="86">
        <f t="shared" ca="1" si="127"/>
        <v>161.00895129255645</v>
      </c>
      <c r="CF74" s="143"/>
      <c r="CG74" s="86">
        <v>0</v>
      </c>
      <c r="CH74" s="86">
        <v>0</v>
      </c>
      <c r="CI74" s="86">
        <v>0</v>
      </c>
      <c r="CJ74" s="86">
        <v>0</v>
      </c>
      <c r="CK74" s="86">
        <v>0</v>
      </c>
      <c r="CL74" s="86">
        <v>0</v>
      </c>
      <c r="CM74" s="86">
        <v>0</v>
      </c>
      <c r="CN74" s="86">
        <v>0</v>
      </c>
      <c r="CO74" s="142">
        <v>0</v>
      </c>
      <c r="CP74" s="142">
        <v>0</v>
      </c>
      <c r="CQ74" s="142">
        <v>1340</v>
      </c>
      <c r="CR74" s="142">
        <v>0</v>
      </c>
      <c r="CS74" s="142">
        <v>0</v>
      </c>
      <c r="CT74" s="142">
        <v>0</v>
      </c>
      <c r="CU74" s="144">
        <v>0</v>
      </c>
      <c r="CV74" s="144">
        <v>1340</v>
      </c>
      <c r="CW74" s="142">
        <v>0</v>
      </c>
      <c r="CX74" s="90">
        <v>0</v>
      </c>
      <c r="CY74" s="90">
        <v>0</v>
      </c>
      <c r="CZ74" s="144">
        <v>0</v>
      </c>
      <c r="DA74" s="144">
        <v>0</v>
      </c>
      <c r="DB74" s="144">
        <v>0</v>
      </c>
      <c r="DC74" s="144">
        <v>0</v>
      </c>
      <c r="DD74" s="144">
        <v>0</v>
      </c>
      <c r="DE74" s="144">
        <v>0</v>
      </c>
      <c r="DF74" s="144">
        <v>0</v>
      </c>
      <c r="DG74" s="142">
        <v>0</v>
      </c>
      <c r="DI74" s="91">
        <f ca="1">VLOOKUP(A74,'[2]2-Relatório'!$A:$J,9,0)</f>
        <v>99.99</v>
      </c>
      <c r="DJ74" s="145">
        <f t="shared" ca="1" si="89"/>
        <v>0</v>
      </c>
      <c r="DK74" s="145">
        <f t="shared" ca="1" si="89"/>
        <v>0</v>
      </c>
      <c r="DL74" s="145">
        <f t="shared" ca="1" si="89"/>
        <v>0</v>
      </c>
      <c r="DM74" s="145">
        <f t="shared" ca="1" si="89"/>
        <v>0</v>
      </c>
      <c r="DN74" s="145">
        <f t="shared" ca="1" si="89"/>
        <v>0</v>
      </c>
      <c r="DO74" s="145">
        <f t="shared" ca="1" si="89"/>
        <v>0</v>
      </c>
      <c r="DP74" s="145">
        <f t="shared" ca="1" si="89"/>
        <v>0</v>
      </c>
      <c r="DQ74" s="145">
        <f t="shared" ca="1" si="89"/>
        <v>0</v>
      </c>
      <c r="DR74" s="145">
        <f t="shared" ca="1" si="89"/>
        <v>0</v>
      </c>
      <c r="DS74" s="145">
        <f t="shared" ca="1" si="89"/>
        <v>0</v>
      </c>
      <c r="DT74" s="145">
        <f t="shared" ca="1" si="89"/>
        <v>101869.81199999999</v>
      </c>
      <c r="DU74" s="145">
        <f t="shared" ca="1" si="89"/>
        <v>66123.386999999988</v>
      </c>
      <c r="DV74" s="145">
        <f t="shared" ca="1" si="89"/>
        <v>33236.675999999999</v>
      </c>
      <c r="DW74" s="145">
        <f t="shared" ca="1" si="89"/>
        <v>0</v>
      </c>
      <c r="DX74" s="145">
        <f t="shared" ca="1" si="134"/>
        <v>0</v>
      </c>
      <c r="DY74" s="145">
        <f t="shared" ca="1" si="134"/>
        <v>133986.6</v>
      </c>
      <c r="DZ74" s="145">
        <f t="shared" ca="1" si="134"/>
        <v>133986.6</v>
      </c>
      <c r="EA74" s="145">
        <f t="shared" ca="1" si="134"/>
        <v>133986.6</v>
      </c>
      <c r="EB74" s="145">
        <f t="shared" ca="1" si="134"/>
        <v>117388.26</v>
      </c>
      <c r="EC74" s="145">
        <f t="shared" ca="1" si="134"/>
        <v>117388.26</v>
      </c>
      <c r="ED74" s="145">
        <f t="shared" ca="1" si="134"/>
        <v>117388.26</v>
      </c>
      <c r="EE74" s="145">
        <f t="shared" ca="1" si="134"/>
        <v>117388.26</v>
      </c>
      <c r="EF74" s="145">
        <f t="shared" ca="1" si="134"/>
        <v>117388.26</v>
      </c>
      <c r="EG74" s="145">
        <f t="shared" ca="1" si="128"/>
        <v>117388.26</v>
      </c>
      <c r="EH74" s="145">
        <f t="shared" ca="1" si="128"/>
        <v>117388.26</v>
      </c>
      <c r="EI74" s="145">
        <f t="shared" ca="1" si="128"/>
        <v>117388.26</v>
      </c>
      <c r="EL74" s="146">
        <f t="shared" ca="1" si="111"/>
        <v>0</v>
      </c>
      <c r="EM74" s="146">
        <f t="shared" ca="1" si="111"/>
        <v>0</v>
      </c>
      <c r="EN74" s="145">
        <f t="shared" ref="EN74:FC100" ca="1" si="135">$DI74*BE74</f>
        <v>0</v>
      </c>
      <c r="EO74" s="145">
        <f t="shared" ca="1" si="135"/>
        <v>0</v>
      </c>
      <c r="EP74" s="145">
        <f t="shared" ca="1" si="135"/>
        <v>9136.6945724999969</v>
      </c>
      <c r="EQ74" s="145">
        <f t="shared" ca="1" si="135"/>
        <v>15263.563990950004</v>
      </c>
      <c r="ER74" s="145">
        <f t="shared" ca="1" si="135"/>
        <v>23220.23882722501</v>
      </c>
      <c r="ES74" s="145">
        <f t="shared" ca="1" si="135"/>
        <v>7376.8705725000027</v>
      </c>
      <c r="ET74" s="145">
        <f t="shared" ca="1" si="135"/>
        <v>13241.021182125005</v>
      </c>
      <c r="EU74" s="145">
        <f t="shared" ca="1" si="135"/>
        <v>13959.250268699996</v>
      </c>
      <c r="EV74" s="145">
        <f t="shared" ca="1" si="135"/>
        <v>31346.864999999998</v>
      </c>
      <c r="EW74" s="145">
        <f t="shared" ca="1" si="135"/>
        <v>32116.787999999997</v>
      </c>
      <c r="EX74" s="145">
        <f t="shared" ca="1" si="135"/>
        <v>35746.424999999996</v>
      </c>
      <c r="EY74" s="145">
        <f t="shared" ca="1" si="135"/>
        <v>32886.710999999996</v>
      </c>
      <c r="EZ74" s="145">
        <f t="shared" ca="1" si="135"/>
        <v>36076.392</v>
      </c>
      <c r="FA74" s="145">
        <f t="shared" ca="1" si="135"/>
        <v>33216.678</v>
      </c>
      <c r="FB74" s="145">
        <f t="shared" ca="1" si="135"/>
        <v>0</v>
      </c>
      <c r="FC74" s="145">
        <f t="shared" ca="1" si="135"/>
        <v>0</v>
      </c>
      <c r="FD74" s="145">
        <f t="shared" ref="FD74:FI100" ca="1" si="136">$DI74*BU74</f>
        <v>0</v>
      </c>
      <c r="FE74" s="145">
        <f t="shared" ca="1" si="136"/>
        <v>16598.34</v>
      </c>
      <c r="FF74" s="145">
        <f t="shared" ca="1" si="136"/>
        <v>0</v>
      </c>
      <c r="FG74" s="92">
        <f t="shared" ca="1" si="136"/>
        <v>0</v>
      </c>
      <c r="FH74" s="92">
        <f t="shared" ca="1" si="136"/>
        <v>0</v>
      </c>
      <c r="FI74" s="92">
        <f t="shared" ca="1" si="136"/>
        <v>0</v>
      </c>
      <c r="FJ74" s="92">
        <f t="shared" ca="1" si="117"/>
        <v>0</v>
      </c>
      <c r="FK74" s="92">
        <f t="shared" ca="1" si="117"/>
        <v>0</v>
      </c>
      <c r="FL74" s="92">
        <f t="shared" ca="1" si="117"/>
        <v>0</v>
      </c>
      <c r="FM74" s="92">
        <f t="shared" ca="1" si="117"/>
        <v>0</v>
      </c>
      <c r="FN74" s="94">
        <f t="shared" ca="1" si="130"/>
        <v>1340</v>
      </c>
      <c r="FO74" s="94">
        <f t="shared" ca="1" si="119"/>
        <v>1340</v>
      </c>
      <c r="FP74" s="147">
        <f t="shared" ca="1" si="112"/>
        <v>0</v>
      </c>
      <c r="FQ74" s="147">
        <f t="shared" ca="1" si="112"/>
        <v>0</v>
      </c>
      <c r="FR74" s="147">
        <f t="shared" ca="1" si="96"/>
        <v>0</v>
      </c>
      <c r="FS74" s="147">
        <f t="shared" ca="1" si="96"/>
        <v>0</v>
      </c>
      <c r="FT74" s="147">
        <f t="shared" ca="1" si="96"/>
        <v>0</v>
      </c>
      <c r="FU74" s="147">
        <f t="shared" ca="1" si="96"/>
        <v>0</v>
      </c>
      <c r="FV74" s="147">
        <f t="shared" ca="1" si="96"/>
        <v>0</v>
      </c>
      <c r="FW74" s="147">
        <f t="shared" ca="1" si="96"/>
        <v>0</v>
      </c>
      <c r="FX74" s="95">
        <f t="shared" ca="1" si="96"/>
        <v>0</v>
      </c>
      <c r="FY74" s="95">
        <f t="shared" ca="1" si="96"/>
        <v>0</v>
      </c>
      <c r="FZ74" s="95">
        <f t="shared" ca="1" si="96"/>
        <v>0</v>
      </c>
      <c r="GA74" s="95">
        <f t="shared" ca="1" si="96"/>
        <v>0</v>
      </c>
      <c r="GB74" s="95">
        <f t="shared" ca="1" si="96"/>
        <v>85.493706293706296</v>
      </c>
      <c r="GC74" s="95">
        <f t="shared" ca="1" si="96"/>
        <v>60.319245971419882</v>
      </c>
      <c r="GD74" s="95">
        <f t="shared" ca="1" si="96"/>
        <v>27.638580931263856</v>
      </c>
      <c r="GE74" s="95">
        <f t="shared" ca="1" si="96"/>
        <v>0</v>
      </c>
      <c r="GF74" s="95">
        <f t="shared" ca="1" si="96"/>
        <v>0</v>
      </c>
      <c r="GG74" s="95">
        <f t="shared" ca="1" si="90"/>
        <v>0</v>
      </c>
      <c r="GH74" s="95">
        <f t="shared" ca="1" si="90"/>
        <v>0</v>
      </c>
      <c r="GI74" s="95">
        <f t="shared" ca="1" si="97"/>
        <v>242.1686746987952</v>
      </c>
      <c r="GJ74" s="95">
        <f t="shared" ca="1" si="97"/>
        <v>0</v>
      </c>
      <c r="GK74" s="95">
        <f t="shared" ca="1" si="97"/>
        <v>0</v>
      </c>
      <c r="GL74" s="147">
        <f t="shared" ca="1" si="97"/>
        <v>0</v>
      </c>
      <c r="GM74" s="147">
        <f t="shared" ca="1" si="97"/>
        <v>0</v>
      </c>
      <c r="GN74" s="147">
        <f t="shared" ca="1" si="97"/>
        <v>0</v>
      </c>
      <c r="GO74" s="147">
        <f t="shared" ca="1" si="97"/>
        <v>0</v>
      </c>
      <c r="GP74" s="147">
        <f t="shared" ca="1" si="97"/>
        <v>0</v>
      </c>
      <c r="GQ74" s="147">
        <f t="shared" ca="1" si="97"/>
        <v>0</v>
      </c>
      <c r="GS74" s="148">
        <v>227.97074673</v>
      </c>
      <c r="GT74" s="153">
        <f t="shared" ca="1" si="131"/>
        <v>20831.073950762704</v>
      </c>
      <c r="GU74" s="153">
        <f t="shared" ca="1" si="131"/>
        <v>34799.940801860306</v>
      </c>
      <c r="GV74" s="153">
        <f t="shared" ca="1" si="131"/>
        <v>52940.645911505402</v>
      </c>
      <c r="GW74" s="153">
        <f t="shared" ca="1" si="131"/>
        <v>16818.788808314715</v>
      </c>
      <c r="GX74" s="153">
        <f t="shared" ca="1" si="131"/>
        <v>30188.67373094094</v>
      </c>
      <c r="GY74" s="153">
        <f t="shared" ca="1" si="131"/>
        <v>31826.189694434357</v>
      </c>
      <c r="GZ74" s="153">
        <f t="shared" ca="1" si="131"/>
        <v>71468.829099855007</v>
      </c>
      <c r="HA74" s="153">
        <f t="shared" ca="1" si="131"/>
        <v>73224.203849675992</v>
      </c>
      <c r="HB74" s="153">
        <f t="shared" ca="1" si="131"/>
        <v>81499.541955975001</v>
      </c>
      <c r="HC74" s="153">
        <f t="shared" ca="1" si="131"/>
        <v>74979.578599496992</v>
      </c>
      <c r="HD74" s="153">
        <f t="shared" ca="1" si="132"/>
        <v>82251.845420184007</v>
      </c>
      <c r="HE74" s="153">
        <f t="shared" ca="1" si="132"/>
        <v>75731.882063705998</v>
      </c>
      <c r="HF74" s="153">
        <f t="shared" ca="1" si="132"/>
        <v>0</v>
      </c>
      <c r="HG74" s="153">
        <f t="shared" ca="1" si="132"/>
        <v>0</v>
      </c>
      <c r="HH74" s="153">
        <f t="shared" ca="1" si="132"/>
        <v>0</v>
      </c>
      <c r="HI74" s="153">
        <f t="shared" ca="1" si="132"/>
        <v>37843.14395718</v>
      </c>
      <c r="HJ74" s="153">
        <f t="shared" ca="1" si="132"/>
        <v>0</v>
      </c>
      <c r="HK74" s="153">
        <f t="shared" ca="1" si="132"/>
        <v>0</v>
      </c>
      <c r="HL74" s="153">
        <f t="shared" ca="1" si="132"/>
        <v>0</v>
      </c>
      <c r="HM74" s="153">
        <f t="shared" ca="1" si="132"/>
        <v>0</v>
      </c>
      <c r="HN74" s="153">
        <f t="shared" ca="1" si="132"/>
        <v>0</v>
      </c>
      <c r="HO74" s="153">
        <f t="shared" ca="1" si="132"/>
        <v>0</v>
      </c>
      <c r="HP74" s="153">
        <f t="shared" ca="1" si="132"/>
        <v>0</v>
      </c>
      <c r="HQ74" s="153">
        <f t="shared" ca="1" si="132"/>
        <v>0</v>
      </c>
      <c r="HS74" s="149">
        <f t="shared" ca="1" si="123"/>
        <v>0</v>
      </c>
    </row>
    <row r="75" spans="1:227" ht="15.75" thickTop="1" x14ac:dyDescent="0.25">
      <c r="A75" s="156"/>
      <c r="CQ75" s="159"/>
      <c r="CR75" s="24"/>
      <c r="CS75" s="24"/>
      <c r="CT75" s="24"/>
    </row>
    <row r="76" spans="1:227" ht="15" customHeight="1" x14ac:dyDescent="0.25">
      <c r="A76" s="156"/>
      <c r="CN76" s="160"/>
      <c r="CO76" s="161"/>
      <c r="CQ76" s="159"/>
      <c r="CR76" s="24"/>
      <c r="CT76" s="162"/>
    </row>
    <row r="77" spans="1:227" ht="15" hidden="1" customHeight="1" x14ac:dyDescent="0.25">
      <c r="CM77" s="163"/>
      <c r="CN77" s="161"/>
      <c r="CO77" s="161"/>
      <c r="CP77" s="94"/>
      <c r="CQ77" s="159"/>
      <c r="CR77" s="24"/>
      <c r="CS77" s="24"/>
      <c r="CT77" s="24"/>
      <c r="CU77" s="24"/>
    </row>
    <row r="78" spans="1:227" ht="33.75" customHeight="1" x14ac:dyDescent="0.25">
      <c r="AI78" s="167" t="s">
        <v>455</v>
      </c>
      <c r="AJ78" s="167"/>
      <c r="CN78" s="160"/>
      <c r="CO78" s="164"/>
      <c r="CQ78" s="159"/>
      <c r="CR78" s="24"/>
      <c r="CT78" s="162"/>
      <c r="CU78" s="162"/>
    </row>
    <row r="79" spans="1:227" ht="20.25" x14ac:dyDescent="0.25">
      <c r="AI79" s="172" t="s">
        <v>452</v>
      </c>
      <c r="AJ79" s="172"/>
      <c r="AL79" s="169" t="s">
        <v>453</v>
      </c>
      <c r="AM79" s="169"/>
      <c r="AN79" s="169"/>
      <c r="AO79" s="169"/>
      <c r="AP79" s="169"/>
      <c r="AQ79" s="169"/>
      <c r="AR79" s="169"/>
      <c r="AS79" s="169"/>
      <c r="AT79" s="169"/>
      <c r="AU79" s="170"/>
      <c r="CN79" s="94"/>
      <c r="CO79" s="94"/>
      <c r="CP79" s="94"/>
    </row>
    <row r="80" spans="1:227" ht="26.25" customHeight="1" x14ac:dyDescent="0.4">
      <c r="A80" s="173"/>
      <c r="AI80" s="172" t="s">
        <v>454</v>
      </c>
      <c r="AJ80" s="172"/>
      <c r="AL80" s="169" t="s">
        <v>456</v>
      </c>
      <c r="AM80" s="169"/>
      <c r="AN80" s="169"/>
      <c r="AO80" s="169"/>
      <c r="AP80" s="169"/>
      <c r="AQ80" s="169"/>
      <c r="AR80" s="169"/>
      <c r="AS80" s="169"/>
      <c r="AT80" s="169"/>
      <c r="AU80" s="170"/>
      <c r="FY80" s="197" t="s">
        <v>562</v>
      </c>
      <c r="FZ80" s="197"/>
      <c r="GB80" s="179" t="s">
        <v>565</v>
      </c>
      <c r="GC80" s="179"/>
      <c r="GD80" s="179"/>
      <c r="GE80" s="179"/>
      <c r="GF80" s="179"/>
      <c r="GG80" s="179"/>
      <c r="GH80" s="179"/>
      <c r="GI80" s="179"/>
      <c r="GJ80" s="180"/>
    </row>
    <row r="81" spans="1:194" ht="36" customHeight="1" x14ac:dyDescent="0.25">
      <c r="A81" s="168"/>
      <c r="B81" s="168"/>
      <c r="J81" s="169"/>
      <c r="K81" s="169"/>
      <c r="L81" s="169"/>
      <c r="M81" s="169"/>
      <c r="N81" s="169"/>
      <c r="O81" s="169"/>
      <c r="P81" s="169"/>
      <c r="Q81" s="169"/>
      <c r="R81" s="169"/>
      <c r="S81" s="170"/>
      <c r="CM81" t="s">
        <v>451</v>
      </c>
      <c r="FY81" s="197"/>
      <c r="FZ81" s="197"/>
      <c r="GB81" s="179"/>
      <c r="GC81" s="179"/>
      <c r="GD81" s="179"/>
      <c r="GE81" s="179"/>
      <c r="GF81" s="179"/>
      <c r="GG81" s="179"/>
      <c r="GH81" s="179"/>
      <c r="GI81" s="179"/>
    </row>
    <row r="82" spans="1:194" ht="30" customHeight="1" x14ac:dyDescent="0.25">
      <c r="A82" s="168"/>
      <c r="B82" s="168"/>
      <c r="J82" s="169"/>
      <c r="K82" s="169"/>
      <c r="L82" s="169"/>
      <c r="M82" s="169"/>
      <c r="N82" s="169"/>
      <c r="O82" s="169"/>
      <c r="P82" s="169"/>
      <c r="Q82" s="169"/>
      <c r="R82" s="169"/>
      <c r="S82" s="170"/>
      <c r="AI82" s="167" t="s">
        <v>457</v>
      </c>
      <c r="AJ82" s="167"/>
      <c r="AK82" s="178" t="s">
        <v>473</v>
      </c>
      <c r="AL82" s="178"/>
      <c r="AM82" s="178"/>
      <c r="AN82" s="178"/>
      <c r="AO82" s="178"/>
      <c r="AP82" s="178"/>
      <c r="AQ82" s="178"/>
      <c r="AR82" s="178"/>
      <c r="CN82" s="94"/>
      <c r="FY82" s="172" t="s">
        <v>563</v>
      </c>
      <c r="GB82" s="174" t="s">
        <v>571</v>
      </c>
    </row>
    <row r="83" spans="1:194" ht="15" customHeight="1" x14ac:dyDescent="0.25">
      <c r="A83" s="168"/>
      <c r="B83" s="168"/>
      <c r="AK83" s="177"/>
      <c r="AL83" s="177"/>
      <c r="AM83" s="177"/>
      <c r="AN83" s="177"/>
      <c r="AO83" s="177"/>
      <c r="AP83" s="177"/>
      <c r="AQ83" s="177"/>
      <c r="FY83" s="172" t="s">
        <v>564</v>
      </c>
      <c r="GB83" s="174" t="s">
        <v>572</v>
      </c>
    </row>
    <row r="84" spans="1:194" ht="20.25" x14ac:dyDescent="0.25">
      <c r="B84" s="165"/>
      <c r="AI84" s="172" t="s">
        <v>458</v>
      </c>
      <c r="GG84" s="198" t="s">
        <v>567</v>
      </c>
      <c r="GH84" s="198"/>
      <c r="GI84" s="198"/>
    </row>
    <row r="85" spans="1:194" ht="20.25" x14ac:dyDescent="0.25">
      <c r="B85" s="165"/>
      <c r="AI85" s="176" t="s">
        <v>464</v>
      </c>
      <c r="AJ85" s="176"/>
      <c r="AK85" s="174" t="s">
        <v>467</v>
      </c>
      <c r="AL85" s="174"/>
      <c r="AM85" s="174"/>
      <c r="AN85" s="174"/>
      <c r="AO85" s="174"/>
      <c r="AP85" s="174"/>
      <c r="AQ85" s="174"/>
      <c r="AR85" s="174"/>
      <c r="AS85" s="174"/>
      <c r="AT85" s="175"/>
      <c r="FY85" s="172" t="s">
        <v>566</v>
      </c>
      <c r="GB85" s="174" t="s">
        <v>477</v>
      </c>
      <c r="GC85" s="30"/>
      <c r="GD85" s="174" t="s">
        <v>568</v>
      </c>
      <c r="GK85" s="198" t="s">
        <v>573</v>
      </c>
      <c r="GL85" s="198"/>
    </row>
    <row r="86" spans="1:194" ht="20.25" x14ac:dyDescent="0.25">
      <c r="B86" s="165"/>
      <c r="AI86" s="171"/>
      <c r="AK86" s="174" t="s">
        <v>468</v>
      </c>
      <c r="AL86" s="174"/>
      <c r="AM86" s="174"/>
      <c r="AN86" s="174"/>
      <c r="AO86" s="174"/>
      <c r="AP86" s="174"/>
      <c r="AQ86" s="174"/>
      <c r="AR86" s="174"/>
      <c r="AS86" s="174"/>
      <c r="AT86" s="175"/>
      <c r="GB86" s="174" t="s">
        <v>479</v>
      </c>
      <c r="GD86" s="174" t="s">
        <v>569</v>
      </c>
      <c r="GK86" s="198" t="s">
        <v>574</v>
      </c>
      <c r="GL86" s="198"/>
    </row>
    <row r="87" spans="1:194" ht="20.25" x14ac:dyDescent="0.25">
      <c r="B87" s="165"/>
      <c r="AI87" s="171"/>
      <c r="AK87" s="174"/>
      <c r="AL87" s="174"/>
      <c r="AM87" s="174"/>
      <c r="AN87" s="174"/>
      <c r="AO87" s="174"/>
      <c r="AP87" s="174"/>
      <c r="AQ87" s="174"/>
      <c r="AR87" s="174"/>
      <c r="AS87" s="174"/>
      <c r="AT87" s="181"/>
      <c r="GB87" s="174" t="s">
        <v>484</v>
      </c>
      <c r="GD87" s="174" t="s">
        <v>570</v>
      </c>
      <c r="GK87" s="198" t="s">
        <v>575</v>
      </c>
      <c r="GL87" s="198"/>
    </row>
    <row r="88" spans="1:194" ht="20.25" x14ac:dyDescent="0.25">
      <c r="B88" s="165"/>
      <c r="AI88" s="171"/>
      <c r="AK88" s="174" t="s">
        <v>477</v>
      </c>
      <c r="AL88" s="174" t="s">
        <v>478</v>
      </c>
      <c r="AM88" s="174"/>
      <c r="AN88" s="174"/>
      <c r="AO88" s="174"/>
      <c r="AP88" s="174"/>
      <c r="AQ88" s="174"/>
      <c r="AR88" s="174"/>
      <c r="AS88" s="174"/>
      <c r="AT88" s="181"/>
    </row>
    <row r="89" spans="1:194" ht="20.25" x14ac:dyDescent="0.25">
      <c r="B89" s="165"/>
      <c r="AI89" s="171"/>
      <c r="AK89" s="174" t="s">
        <v>479</v>
      </c>
      <c r="AL89" s="174" t="s">
        <v>481</v>
      </c>
      <c r="AM89" s="174"/>
      <c r="AN89" s="174"/>
      <c r="AO89" s="174"/>
      <c r="AP89" s="174"/>
      <c r="AQ89" s="174"/>
      <c r="AR89" s="174"/>
      <c r="AS89" s="174"/>
      <c r="AT89" s="181"/>
    </row>
    <row r="90" spans="1:194" ht="20.25" x14ac:dyDescent="0.25">
      <c r="B90" s="165"/>
      <c r="AI90" s="171"/>
      <c r="AK90" s="174" t="s">
        <v>484</v>
      </c>
      <c r="AL90" s="174" t="s">
        <v>480</v>
      </c>
      <c r="AM90" s="174"/>
      <c r="AN90" s="174"/>
      <c r="AO90" s="174"/>
      <c r="AP90" s="174"/>
      <c r="AQ90" s="174"/>
      <c r="AR90" s="174"/>
      <c r="AS90" s="174"/>
      <c r="AT90" s="181"/>
    </row>
    <row r="91" spans="1:194" ht="15.75" customHeight="1" x14ac:dyDescent="0.25">
      <c r="B91" s="165"/>
      <c r="AI91" s="171"/>
    </row>
    <row r="92" spans="1:194" x14ac:dyDescent="0.25">
      <c r="B92" s="165"/>
      <c r="AI92" s="171"/>
    </row>
    <row r="93" spans="1:194" ht="20.25" x14ac:dyDescent="0.25">
      <c r="B93" s="165"/>
      <c r="AI93" s="176" t="s">
        <v>465</v>
      </c>
      <c r="AK93" s="174" t="s">
        <v>469</v>
      </c>
    </row>
    <row r="94" spans="1:194" ht="20.25" x14ac:dyDescent="0.25">
      <c r="AI94" s="171"/>
      <c r="AK94" s="174" t="s">
        <v>470</v>
      </c>
    </row>
    <row r="95" spans="1:194" x14ac:dyDescent="0.25">
      <c r="AI95" s="171"/>
    </row>
    <row r="96" spans="1:194" x14ac:dyDescent="0.25">
      <c r="AI96" s="171"/>
    </row>
    <row r="97" spans="35:46" ht="20.25" x14ac:dyDescent="0.25">
      <c r="AI97" s="176" t="s">
        <v>466</v>
      </c>
      <c r="AK97" s="174" t="s">
        <v>471</v>
      </c>
    </row>
    <row r="98" spans="35:46" x14ac:dyDescent="0.25">
      <c r="AI98" s="171"/>
    </row>
    <row r="99" spans="35:46" x14ac:dyDescent="0.25">
      <c r="AI99" s="171"/>
    </row>
    <row r="100" spans="35:46" ht="20.25" x14ac:dyDescent="0.25">
      <c r="AI100" s="176" t="s">
        <v>460</v>
      </c>
      <c r="AK100" s="174" t="s">
        <v>472</v>
      </c>
    </row>
    <row r="101" spans="35:46" ht="20.25" x14ac:dyDescent="0.25">
      <c r="AI101" s="171"/>
      <c r="AK101" s="174" t="s">
        <v>461</v>
      </c>
    </row>
    <row r="102" spans="35:46" x14ac:dyDescent="0.25">
      <c r="AI102" s="171"/>
    </row>
    <row r="103" spans="35:46" x14ac:dyDescent="0.25">
      <c r="AI103" s="171"/>
    </row>
    <row r="104" spans="35:46" ht="20.25" x14ac:dyDescent="0.25">
      <c r="AI104" s="176" t="s">
        <v>462</v>
      </c>
      <c r="AK104" s="174" t="s">
        <v>463</v>
      </c>
    </row>
    <row r="105" spans="35:46" ht="20.25" x14ac:dyDescent="0.25">
      <c r="AI105" s="171"/>
      <c r="AK105" s="174" t="s">
        <v>459</v>
      </c>
    </row>
    <row r="106" spans="35:46" x14ac:dyDescent="0.25">
      <c r="AI106" s="171"/>
    </row>
    <row r="107" spans="35:46" x14ac:dyDescent="0.25">
      <c r="AI107" s="171"/>
    </row>
    <row r="108" spans="35:46" ht="23.25" customHeight="1" x14ac:dyDescent="0.25">
      <c r="AI108" s="167" t="s">
        <v>156</v>
      </c>
      <c r="AJ108" s="167"/>
      <c r="AK108" s="178" t="s">
        <v>482</v>
      </c>
      <c r="AL108" s="178"/>
      <c r="AM108" s="178"/>
      <c r="AN108" s="178"/>
      <c r="AO108" s="178"/>
      <c r="AP108" s="178"/>
      <c r="AQ108" s="178"/>
      <c r="AR108" s="178"/>
      <c r="AS108" s="178"/>
      <c r="AT108" s="178"/>
    </row>
    <row r="110" spans="35:46" ht="20.25" x14ac:dyDescent="0.25">
      <c r="AI110" s="176" t="s">
        <v>483</v>
      </c>
      <c r="AL110" s="174" t="s">
        <v>490</v>
      </c>
    </row>
    <row r="111" spans="35:46" ht="20.25" x14ac:dyDescent="0.25">
      <c r="AI111" s="176"/>
      <c r="AL111" s="174"/>
    </row>
    <row r="112" spans="35:46" ht="20.25" x14ac:dyDescent="0.25">
      <c r="AI112" s="176"/>
      <c r="AL112" s="174" t="s">
        <v>477</v>
      </c>
      <c r="AM112" s="174" t="s">
        <v>485</v>
      </c>
    </row>
    <row r="113" spans="35:39" ht="20.25" x14ac:dyDescent="0.25">
      <c r="AI113" s="176"/>
      <c r="AL113" s="174" t="s">
        <v>479</v>
      </c>
      <c r="AM113" s="174" t="s">
        <v>486</v>
      </c>
    </row>
    <row r="114" spans="35:39" ht="20.25" x14ac:dyDescent="0.25">
      <c r="AI114" s="171"/>
      <c r="AL114" s="174" t="s">
        <v>484</v>
      </c>
      <c r="AM114" s="174" t="s">
        <v>487</v>
      </c>
    </row>
    <row r="115" spans="35:39" x14ac:dyDescent="0.25">
      <c r="AI115" s="171"/>
    </row>
    <row r="116" spans="35:39" x14ac:dyDescent="0.25">
      <c r="AI116" s="171"/>
    </row>
    <row r="117" spans="35:39" ht="20.25" x14ac:dyDescent="0.25">
      <c r="AI117" s="176" t="s">
        <v>474</v>
      </c>
      <c r="AL117" s="174" t="s">
        <v>475</v>
      </c>
    </row>
    <row r="118" spans="35:39" ht="20.25" x14ac:dyDescent="0.25">
      <c r="AI118" s="171"/>
      <c r="AL118" s="174" t="s">
        <v>476</v>
      </c>
    </row>
    <row r="119" spans="35:39" x14ac:dyDescent="0.25">
      <c r="AI119" s="171"/>
    </row>
    <row r="120" spans="35:39" x14ac:dyDescent="0.25">
      <c r="AI120" s="171"/>
    </row>
    <row r="121" spans="35:39" ht="20.25" x14ac:dyDescent="0.25">
      <c r="AI121" s="176" t="s">
        <v>488</v>
      </c>
      <c r="AK121" s="174"/>
      <c r="AL121" s="174" t="s">
        <v>489</v>
      </c>
    </row>
    <row r="122" spans="35:39" x14ac:dyDescent="0.25">
      <c r="AI122" s="171"/>
    </row>
    <row r="123" spans="35:39" x14ac:dyDescent="0.25">
      <c r="AI123" s="171"/>
    </row>
    <row r="124" spans="35:39" ht="20.25" x14ac:dyDescent="0.25">
      <c r="AI124" s="176"/>
    </row>
    <row r="125" spans="35:39" x14ac:dyDescent="0.25">
      <c r="AI125" s="171"/>
    </row>
    <row r="126" spans="35:39" x14ac:dyDescent="0.25">
      <c r="AI126" s="171"/>
    </row>
    <row r="127" spans="35:39" x14ac:dyDescent="0.25">
      <c r="AI127" s="171"/>
    </row>
    <row r="128" spans="35:39" ht="20.25" x14ac:dyDescent="0.25">
      <c r="AI128" s="176"/>
    </row>
    <row r="129" spans="35:35" x14ac:dyDescent="0.25">
      <c r="AI129" s="171"/>
    </row>
  </sheetData>
  <autoFilter ref="A4:HS76" xr:uid="{52DE7D21-BB37-42B8-B467-88CD2BA32A3C}"/>
  <mergeCells count="18">
    <mergeCell ref="GG84:GI84"/>
    <mergeCell ref="GK85:GL85"/>
    <mergeCell ref="GK86:GL86"/>
    <mergeCell ref="GK87:GL87"/>
    <mergeCell ref="AI108:AJ108"/>
    <mergeCell ref="AK108:AT108"/>
    <mergeCell ref="FY80:FZ81"/>
    <mergeCell ref="GB80:GI81"/>
    <mergeCell ref="AK82:AR82"/>
    <mergeCell ref="AI82:AJ82"/>
    <mergeCell ref="AI78:AJ78"/>
    <mergeCell ref="AL79:AU79"/>
    <mergeCell ref="AL80:AU80"/>
    <mergeCell ref="A81:B81"/>
    <mergeCell ref="J81:S81"/>
    <mergeCell ref="A82:B82"/>
    <mergeCell ref="A83:B83"/>
    <mergeCell ref="J82:S82"/>
  </mergeCells>
  <phoneticPr fontId="32" type="noConversion"/>
  <conditionalFormatting sqref="AF5:BA5 AF6:AF15 AG6:BA74 AF17:AF26 Z27:AF27 AF28:AF46 AF48:AF74">
    <cfRule type="cellIs" dxfId="12" priority="8" operator="between">
      <formula>$T$5</formula>
      <formula>$U$5</formula>
    </cfRule>
    <cfRule type="cellIs" dxfId="11" priority="9" operator="lessThanOrEqual">
      <formula>$T$13</formula>
    </cfRule>
    <cfRule type="cellIs" dxfId="10" priority="10" operator="lessThanOrEqual">
      <formula>$T$69</formula>
    </cfRule>
    <cfRule type="cellIs" dxfId="9" priority="11" operator="lessThanOrEqual">
      <formula>$T$5</formula>
    </cfRule>
  </conditionalFormatting>
  <conditionalFormatting sqref="BC5:CE74">
    <cfRule type="expression" dxfId="8" priority="18">
      <formula>#REF!="delist"</formula>
    </cfRule>
  </conditionalFormatting>
  <conditionalFormatting sqref="CG5:CQ5 CR5:CV7 CW5:DG12 CO6:CQ7 CG6:CN74 CO8:CV12 CO24:CT28 CO29:CQ29 CS29:CT29 CO30:CT36 CN76 CU24:CW26 CU27:DG36 CO37:DG74 CX13:DG26 CO13:CW23">
    <cfRule type="expression" dxfId="7" priority="13">
      <formula>AND($K5&lt;&gt;"",$K5=CG$3,$L5=CG$2)</formula>
    </cfRule>
    <cfRule type="expression" dxfId="6" priority="14">
      <formula>AND($N5&lt;&gt;"",$N5=CG$3,$O5=CG$2)</formula>
    </cfRule>
  </conditionalFormatting>
  <conditionalFormatting sqref="CN78">
    <cfRule type="expression" dxfId="5" priority="5">
      <formula>AND($K78&lt;&gt;"",$K78=CN$3,$L78=CN$2)</formula>
    </cfRule>
    <cfRule type="expression" dxfId="4" priority="6">
      <formula>AND($N78&lt;&gt;"",$N78=CN$3,$O78=CN$2)</formula>
    </cfRule>
    <cfRule type="expression" dxfId="3" priority="7">
      <formula>#REF!="delist"</formula>
    </cfRule>
  </conditionalFormatting>
  <conditionalFormatting sqref="CO28:DG28 CS37:DG37 CS38:CT58 CO37:CR58 CU43:DG47 CU57:DG57 CO59:DG59 CP61:DG61 CR72:CT72">
    <cfRule type="expression" dxfId="2" priority="15">
      <formula>AND($K28&lt;&gt;"",$K28=CO$3,$L28=CO$2)</formula>
    </cfRule>
  </conditionalFormatting>
  <conditionalFormatting sqref="CR29">
    <cfRule type="expression" dxfId="1" priority="16">
      <formula>AND($N29&lt;&gt;"",$N29=CS$3,$O29=CS$2)</formula>
    </cfRule>
  </conditionalFormatting>
  <conditionalFormatting sqref="FP5:FX74">
    <cfRule type="expression" dxfId="0" priority="17">
      <formula>#REF!="delist"</formula>
    </cfRule>
  </conditionalFormatting>
  <conditionalFormatting sqref="FV5:FX74">
    <cfRule type="colorScale" priority="12">
      <colorScale>
        <cfvo type="num" val="0"/>
        <cfvo type="percentile" val="50"/>
        <cfvo type="max"/>
        <color rgb="FFF8696B"/>
        <color rgb="FFFCFCFF"/>
        <color rgb="FF63BE7B"/>
      </colorScale>
    </cfRule>
  </conditionalFormatting>
  <conditionalFormatting sqref="FY11:GQ11 FY16:GQ16 FY18:GQ18 FY20:GQ22 FY24:GQ26 FY28:GQ28 FY30:GQ30 FY32:GQ33 FY37:GQ37 FY43:GQ43 FY62:GQ62">
    <cfRule type="colorScale" priority="3">
      <colorScale>
        <cfvo type="min"/>
        <cfvo type="num" val="120"/>
        <cfvo type="num" val="180"/>
        <color rgb="FFF8696B"/>
        <color theme="0"/>
        <color theme="9" tint="0.79998168889431442"/>
      </colorScale>
    </cfRule>
  </conditionalFormatting>
  <conditionalFormatting sqref="FY5:GQ5 FY12:GQ14 FY17:GQ17 FY19:GQ19 FY29:GQ29 FY31:GQ31 FY34:GQ34 FY36:GQ36 FY38:GQ38 FY44:GQ46 FY53:GQ53 FY55:GQ55 FY58:GQ58 FY60:GQ61 FY72:GQ72">
    <cfRule type="colorScale" priority="2">
      <colorScale>
        <cfvo type="min"/>
        <cfvo type="num" val="90"/>
        <cfvo type="num" val="135"/>
        <color rgb="FFF8696B"/>
        <color theme="0"/>
        <color theme="9" tint="0.79998168889431442"/>
      </colorScale>
    </cfRule>
  </conditionalFormatting>
  <conditionalFormatting sqref="FY6:GQ10 FY15:GQ15 FY35:GQ35 FY39:GQ42 FY48:GQ52 FY54:GQ54 FY56:GQ57 FY59:GQ59 FY63:GQ71 FY73:GQ74">
    <cfRule type="colorScale" priority="1">
      <colorScale>
        <cfvo type="min"/>
        <cfvo type="num" val="60"/>
        <cfvo type="num" val="90"/>
        <color rgb="FFF8696B"/>
        <color theme="0"/>
        <color theme="9" tint="0.7999816888943144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 ABC</vt:lpstr>
      <vt:lpstr>Gestao de estoque</vt:lpstr>
      <vt:lpstr>Estoque de seguranca, 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Georgiana Ionescu</dc:creator>
  <cp:lastModifiedBy>Ioana Georgiana Ionescu</cp:lastModifiedBy>
  <dcterms:created xsi:type="dcterms:W3CDTF">2025-06-24T16:34:41Z</dcterms:created>
  <dcterms:modified xsi:type="dcterms:W3CDTF">2025-06-26T11:51:09Z</dcterms:modified>
</cp:coreProperties>
</file>