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mcolon1/Dropbox/Corp Finance/Problems/"/>
    </mc:Choice>
  </mc:AlternateContent>
  <xr:revisionPtr revIDLastSave="0" documentId="13_ncr:1_{840AD1A5-5F29-E94F-81A8-12465D9B3861}" xr6:coauthVersionLast="47" xr6:coauthVersionMax="47" xr10:uidLastSave="{00000000-0000-0000-0000-000000000000}"/>
  <bookViews>
    <workbookView xWindow="14060" yWindow="460" windowWidth="26580" windowHeight="27020" xr2:uid="{00000000-000D-0000-FFFF-FFFF00000000}"/>
  </bookViews>
  <sheets>
    <sheet name="HW 2 Ans" sheetId="1" r:id="rId1"/>
    <sheet name="Q# 2" sheetId="4" r:id="rId2"/>
    <sheet name="Q#4" sheetId="5" r:id="rId3"/>
    <sheet name="Q# 8" sheetId="2" r:id="rId4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8" i="1" l="1"/>
  <c r="C103" i="1"/>
  <c r="C96" i="1"/>
  <c r="C89" i="1"/>
  <c r="C87" i="1"/>
  <c r="C88" i="1"/>
  <c r="E130" i="5"/>
  <c r="F130" i="5"/>
  <c r="G130" i="5"/>
  <c r="H130" i="5"/>
  <c r="I130" i="5"/>
  <c r="E128" i="5"/>
  <c r="F128" i="5"/>
  <c r="G128" i="5"/>
  <c r="H128" i="5"/>
  <c r="I128" i="5"/>
  <c r="E129" i="5"/>
  <c r="F129" i="5"/>
  <c r="G129" i="5"/>
  <c r="H129" i="5"/>
  <c r="I129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F14" i="5"/>
  <c r="I14" i="5"/>
  <c r="E15" i="5"/>
  <c r="F15" i="5"/>
  <c r="I15" i="5"/>
  <c r="E16" i="5"/>
  <c r="F16" i="5"/>
  <c r="I16" i="5"/>
  <c r="E17" i="5"/>
  <c r="F17" i="5"/>
  <c r="I17" i="5"/>
  <c r="E18" i="5"/>
  <c r="F18" i="5"/>
  <c r="I18" i="5"/>
  <c r="E19" i="5"/>
  <c r="F19" i="5"/>
  <c r="I19" i="5"/>
  <c r="E20" i="5"/>
  <c r="F20" i="5"/>
  <c r="I20" i="5"/>
  <c r="E21" i="5"/>
  <c r="F21" i="5"/>
  <c r="I21" i="5"/>
  <c r="E22" i="5"/>
  <c r="F22" i="5"/>
  <c r="I22" i="5"/>
  <c r="E23" i="5"/>
  <c r="F23" i="5"/>
  <c r="I23" i="5"/>
  <c r="E24" i="5"/>
  <c r="F24" i="5"/>
  <c r="I24" i="5"/>
  <c r="E25" i="5"/>
  <c r="F25" i="5"/>
  <c r="I25" i="5"/>
  <c r="E26" i="5"/>
  <c r="F26" i="5"/>
  <c r="I26" i="5"/>
  <c r="E27" i="5"/>
  <c r="F27" i="5"/>
  <c r="I27" i="5"/>
  <c r="E28" i="5"/>
  <c r="F28" i="5"/>
  <c r="I28" i="5"/>
  <c r="E29" i="5"/>
  <c r="F29" i="5"/>
  <c r="I29" i="5"/>
  <c r="E30" i="5"/>
  <c r="F30" i="5"/>
  <c r="I30" i="5"/>
  <c r="E31" i="5"/>
  <c r="F31" i="5"/>
  <c r="I31" i="5"/>
  <c r="E32" i="5"/>
  <c r="F32" i="5"/>
  <c r="I32" i="5"/>
  <c r="E33" i="5"/>
  <c r="F33" i="5"/>
  <c r="I33" i="5"/>
  <c r="E34" i="5"/>
  <c r="F34" i="5"/>
  <c r="I34" i="5"/>
  <c r="E35" i="5"/>
  <c r="F35" i="5"/>
  <c r="I35" i="5"/>
  <c r="E36" i="5"/>
  <c r="F36" i="5"/>
  <c r="I36" i="5"/>
  <c r="E37" i="5"/>
  <c r="F37" i="5"/>
  <c r="I37" i="5"/>
  <c r="E38" i="5"/>
  <c r="F38" i="5"/>
  <c r="I38" i="5"/>
  <c r="E39" i="5"/>
  <c r="F39" i="5"/>
  <c r="I39" i="5"/>
  <c r="E40" i="5"/>
  <c r="F40" i="5"/>
  <c r="I40" i="5"/>
  <c r="E41" i="5"/>
  <c r="F41" i="5"/>
  <c r="I41" i="5"/>
  <c r="E42" i="5"/>
  <c r="F42" i="5"/>
  <c r="I42" i="5"/>
  <c r="E43" i="5"/>
  <c r="F43" i="5"/>
  <c r="I43" i="5"/>
  <c r="E44" i="5"/>
  <c r="F44" i="5"/>
  <c r="I44" i="5"/>
  <c r="E45" i="5"/>
  <c r="F45" i="5"/>
  <c r="I45" i="5"/>
  <c r="E46" i="5"/>
  <c r="F46" i="5"/>
  <c r="I46" i="5"/>
  <c r="E47" i="5"/>
  <c r="F47" i="5"/>
  <c r="I47" i="5"/>
  <c r="E48" i="5"/>
  <c r="F48" i="5"/>
  <c r="I48" i="5"/>
  <c r="E49" i="5"/>
  <c r="F49" i="5"/>
  <c r="I49" i="5"/>
  <c r="E50" i="5"/>
  <c r="F50" i="5"/>
  <c r="I50" i="5"/>
  <c r="E51" i="5"/>
  <c r="F51" i="5"/>
  <c r="I51" i="5"/>
  <c r="E52" i="5"/>
  <c r="F52" i="5"/>
  <c r="I52" i="5"/>
  <c r="E53" i="5"/>
  <c r="F53" i="5"/>
  <c r="I53" i="5"/>
  <c r="E54" i="5"/>
  <c r="F54" i="5"/>
  <c r="I54" i="5"/>
  <c r="E55" i="5"/>
  <c r="F55" i="5"/>
  <c r="I55" i="5"/>
  <c r="E56" i="5"/>
  <c r="F56" i="5"/>
  <c r="I56" i="5"/>
  <c r="E57" i="5"/>
  <c r="F57" i="5"/>
  <c r="I57" i="5"/>
  <c r="E58" i="5"/>
  <c r="F58" i="5"/>
  <c r="I58" i="5"/>
  <c r="E59" i="5"/>
  <c r="F59" i="5"/>
  <c r="I59" i="5"/>
  <c r="E60" i="5"/>
  <c r="F60" i="5"/>
  <c r="I60" i="5"/>
  <c r="E61" i="5"/>
  <c r="F61" i="5"/>
  <c r="I61" i="5"/>
  <c r="E62" i="5"/>
  <c r="F62" i="5"/>
  <c r="I62" i="5"/>
  <c r="E63" i="5"/>
  <c r="F63" i="5"/>
  <c r="I63" i="5"/>
  <c r="E64" i="5"/>
  <c r="F64" i="5"/>
  <c r="I64" i="5"/>
  <c r="E65" i="5"/>
  <c r="F65" i="5"/>
  <c r="I65" i="5"/>
  <c r="E66" i="5"/>
  <c r="F66" i="5"/>
  <c r="I66" i="5"/>
  <c r="E67" i="5"/>
  <c r="F67" i="5"/>
  <c r="I67" i="5"/>
  <c r="E68" i="5"/>
  <c r="F68" i="5"/>
  <c r="I68" i="5"/>
  <c r="E69" i="5"/>
  <c r="F69" i="5"/>
  <c r="I69" i="5"/>
  <c r="E70" i="5"/>
  <c r="F70" i="5"/>
  <c r="I70" i="5"/>
  <c r="E71" i="5"/>
  <c r="F71" i="5"/>
  <c r="I71" i="5"/>
  <c r="E72" i="5"/>
  <c r="F72" i="5"/>
  <c r="I72" i="5"/>
  <c r="E73" i="5"/>
  <c r="F73" i="5"/>
  <c r="I73" i="5"/>
  <c r="E74" i="5"/>
  <c r="F74" i="5"/>
  <c r="I74" i="5"/>
  <c r="E75" i="5"/>
  <c r="F75" i="5"/>
  <c r="I75" i="5"/>
  <c r="E76" i="5"/>
  <c r="F76" i="5"/>
  <c r="I76" i="5"/>
  <c r="E77" i="5"/>
  <c r="F77" i="5"/>
  <c r="I77" i="5"/>
  <c r="E78" i="5"/>
  <c r="F78" i="5"/>
  <c r="I78" i="5"/>
  <c r="E79" i="5"/>
  <c r="F79" i="5"/>
  <c r="I79" i="5"/>
  <c r="E80" i="5"/>
  <c r="F80" i="5"/>
  <c r="I80" i="5"/>
  <c r="E81" i="5"/>
  <c r="F81" i="5"/>
  <c r="I81" i="5"/>
  <c r="E82" i="5"/>
  <c r="F82" i="5"/>
  <c r="I82" i="5"/>
  <c r="E83" i="5"/>
  <c r="F83" i="5"/>
  <c r="I83" i="5"/>
  <c r="E84" i="5"/>
  <c r="F84" i="5"/>
  <c r="I84" i="5"/>
  <c r="E85" i="5"/>
  <c r="F85" i="5"/>
  <c r="I85" i="5"/>
  <c r="E86" i="5"/>
  <c r="F86" i="5"/>
  <c r="I86" i="5"/>
  <c r="E87" i="5"/>
  <c r="F87" i="5"/>
  <c r="I87" i="5"/>
  <c r="E88" i="5"/>
  <c r="F88" i="5"/>
  <c r="I88" i="5"/>
  <c r="E89" i="5"/>
  <c r="F89" i="5"/>
  <c r="I89" i="5"/>
  <c r="E90" i="5"/>
  <c r="F90" i="5"/>
  <c r="I90" i="5"/>
  <c r="E91" i="5"/>
  <c r="F91" i="5"/>
  <c r="I91" i="5"/>
  <c r="E92" i="5"/>
  <c r="F92" i="5"/>
  <c r="I92" i="5"/>
  <c r="E93" i="5"/>
  <c r="F93" i="5"/>
  <c r="I93" i="5"/>
  <c r="E94" i="5"/>
  <c r="F94" i="5"/>
  <c r="I94" i="5"/>
  <c r="E95" i="5"/>
  <c r="F95" i="5"/>
  <c r="I95" i="5"/>
  <c r="E96" i="5"/>
  <c r="F96" i="5"/>
  <c r="I96" i="5"/>
  <c r="E97" i="5"/>
  <c r="F97" i="5"/>
  <c r="I97" i="5"/>
  <c r="E98" i="5"/>
  <c r="F98" i="5"/>
  <c r="I98" i="5"/>
  <c r="E99" i="5"/>
  <c r="F99" i="5"/>
  <c r="I99" i="5"/>
  <c r="E100" i="5"/>
  <c r="F100" i="5"/>
  <c r="I100" i="5"/>
  <c r="E101" i="5"/>
  <c r="F101" i="5"/>
  <c r="I101" i="5"/>
  <c r="E102" i="5"/>
  <c r="F102" i="5"/>
  <c r="I102" i="5"/>
  <c r="E103" i="5"/>
  <c r="F103" i="5"/>
  <c r="I103" i="5"/>
  <c r="E104" i="5"/>
  <c r="F104" i="5"/>
  <c r="I104" i="5"/>
  <c r="E105" i="5"/>
  <c r="F105" i="5"/>
  <c r="I105" i="5"/>
  <c r="E106" i="5"/>
  <c r="F106" i="5"/>
  <c r="I106" i="5"/>
  <c r="E107" i="5"/>
  <c r="F107" i="5"/>
  <c r="I107" i="5"/>
  <c r="E108" i="5"/>
  <c r="F108" i="5"/>
  <c r="I108" i="5"/>
  <c r="E109" i="5"/>
  <c r="F109" i="5"/>
  <c r="I109" i="5"/>
  <c r="E110" i="5"/>
  <c r="F110" i="5"/>
  <c r="I110" i="5"/>
  <c r="E111" i="5"/>
  <c r="F111" i="5"/>
  <c r="I111" i="5"/>
  <c r="E112" i="5"/>
  <c r="F112" i="5"/>
  <c r="I112" i="5"/>
  <c r="E113" i="5"/>
  <c r="F113" i="5"/>
  <c r="I113" i="5"/>
  <c r="E114" i="5"/>
  <c r="F114" i="5"/>
  <c r="I114" i="5"/>
  <c r="E115" i="5"/>
  <c r="F115" i="5"/>
  <c r="I115" i="5"/>
  <c r="E116" i="5"/>
  <c r="F116" i="5"/>
  <c r="I116" i="5"/>
  <c r="E117" i="5"/>
  <c r="F117" i="5"/>
  <c r="I117" i="5"/>
  <c r="E118" i="5"/>
  <c r="F118" i="5"/>
  <c r="I118" i="5"/>
  <c r="E119" i="5"/>
  <c r="F119" i="5"/>
  <c r="I119" i="5"/>
  <c r="E120" i="5"/>
  <c r="F120" i="5"/>
  <c r="I120" i="5"/>
  <c r="E121" i="5"/>
  <c r="F121" i="5"/>
  <c r="I121" i="5"/>
  <c r="E122" i="5"/>
  <c r="F122" i="5"/>
  <c r="I122" i="5"/>
  <c r="E123" i="5"/>
  <c r="F123" i="5"/>
  <c r="I123" i="5"/>
  <c r="E124" i="5"/>
  <c r="F124" i="5"/>
  <c r="I124" i="5"/>
  <c r="E125" i="5"/>
  <c r="F125" i="5"/>
  <c r="I125" i="5"/>
  <c r="E126" i="5"/>
  <c r="F126" i="5"/>
  <c r="I126" i="5"/>
  <c r="E127" i="5"/>
  <c r="F127" i="5"/>
  <c r="E14" i="5"/>
  <c r="I127" i="5"/>
  <c r="F12" i="5"/>
  <c r="G12" i="5"/>
  <c r="H12" i="5"/>
  <c r="I12" i="5"/>
  <c r="E13" i="5"/>
  <c r="F13" i="5"/>
  <c r="G13" i="5"/>
  <c r="H13" i="5"/>
  <c r="I13" i="5"/>
  <c r="G11" i="5"/>
  <c r="F11" i="5"/>
  <c r="E5" i="5"/>
  <c r="E11" i="5"/>
  <c r="I11" i="5"/>
  <c r="E12" i="5"/>
  <c r="H11" i="5"/>
  <c r="E6" i="5"/>
  <c r="C77" i="1"/>
  <c r="C18" i="1"/>
  <c r="C17" i="1"/>
  <c r="C75" i="1"/>
  <c r="C135" i="1"/>
  <c r="C141" i="1"/>
  <c r="C21" i="1"/>
  <c r="C14" i="1"/>
  <c r="C11" i="1"/>
  <c r="C142" i="1"/>
  <c r="C143" i="1"/>
  <c r="C127" i="1"/>
  <c r="G3" i="2"/>
  <c r="C110" i="1"/>
  <c r="C109" i="1"/>
  <c r="C71" i="1"/>
  <c r="G49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C64" i="1"/>
  <c r="C56" i="1"/>
  <c r="C46" i="1"/>
  <c r="G27" i="4"/>
  <c r="E27" i="4"/>
  <c r="F27" i="4"/>
  <c r="G28" i="4"/>
  <c r="E28" i="4"/>
  <c r="F28" i="4"/>
  <c r="G29" i="4"/>
  <c r="E29" i="4"/>
  <c r="F29" i="4"/>
  <c r="G30" i="4"/>
  <c r="E30" i="4"/>
  <c r="F30" i="4"/>
  <c r="G31" i="4"/>
  <c r="E31" i="4"/>
  <c r="F31" i="4"/>
  <c r="G32" i="4"/>
  <c r="E32" i="4"/>
  <c r="F32" i="4"/>
  <c r="G33" i="4"/>
  <c r="E33" i="4"/>
  <c r="F33" i="4"/>
  <c r="G34" i="4"/>
  <c r="E34" i="4"/>
  <c r="F34" i="4"/>
  <c r="G35" i="4"/>
  <c r="E35" i="4"/>
  <c r="F35" i="4"/>
  <c r="G36" i="4"/>
  <c r="E36" i="4"/>
  <c r="F36" i="4"/>
  <c r="G37" i="4"/>
  <c r="E37" i="4"/>
  <c r="F37" i="4"/>
  <c r="G38" i="4"/>
  <c r="E38" i="4"/>
  <c r="F38" i="4"/>
  <c r="G39" i="4"/>
  <c r="E39" i="4"/>
  <c r="F39" i="4"/>
  <c r="G40" i="4"/>
  <c r="E40" i="4"/>
  <c r="F40" i="4"/>
  <c r="G41" i="4"/>
  <c r="E41" i="4"/>
  <c r="F41" i="4"/>
  <c r="G42" i="4"/>
  <c r="E42" i="4"/>
  <c r="F42" i="4"/>
  <c r="G43" i="4"/>
  <c r="E43" i="4"/>
  <c r="F43" i="4"/>
  <c r="G44" i="4"/>
  <c r="E44" i="4"/>
  <c r="F44" i="4"/>
  <c r="C35" i="1"/>
  <c r="C28" i="1"/>
  <c r="F21" i="4"/>
  <c r="E21" i="4"/>
  <c r="F4" i="4"/>
  <c r="E4" i="4"/>
  <c r="G4" i="4"/>
  <c r="F5" i="4"/>
  <c r="E5" i="4"/>
  <c r="F6" i="4"/>
  <c r="E6" i="4"/>
  <c r="G6" i="4"/>
  <c r="F7" i="4"/>
  <c r="E7" i="4"/>
  <c r="F8" i="4"/>
  <c r="E8" i="4"/>
  <c r="G8" i="4"/>
  <c r="F9" i="4"/>
  <c r="E9" i="4"/>
  <c r="G9" i="4"/>
  <c r="F10" i="4"/>
  <c r="E10" i="4"/>
  <c r="F11" i="4"/>
  <c r="E11" i="4"/>
  <c r="F12" i="4"/>
  <c r="E12" i="4"/>
  <c r="F13" i="4"/>
  <c r="E13" i="4"/>
  <c r="F14" i="4"/>
  <c r="E14" i="4"/>
  <c r="F15" i="4"/>
  <c r="E15" i="4"/>
  <c r="F16" i="4"/>
  <c r="E16" i="4"/>
  <c r="G16" i="4"/>
  <c r="F17" i="4"/>
  <c r="E17" i="4"/>
  <c r="F18" i="4"/>
  <c r="E18" i="4"/>
  <c r="F19" i="4"/>
  <c r="E19" i="4"/>
  <c r="F20" i="4"/>
  <c r="E20" i="4"/>
  <c r="G20" i="4"/>
  <c r="E2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7" i="2"/>
  <c r="C121" i="1"/>
  <c r="G17" i="4"/>
  <c r="G15" i="4"/>
  <c r="G13" i="4"/>
  <c r="G11" i="4"/>
  <c r="G18" i="4"/>
  <c r="G19" i="4"/>
  <c r="G14" i="4"/>
  <c r="G12" i="4"/>
  <c r="G10" i="4"/>
  <c r="G7" i="4"/>
  <c r="G5" i="4"/>
  <c r="G21" i="4"/>
  <c r="H49" i="4"/>
  <c r="E50" i="4"/>
  <c r="C136" i="1"/>
  <c r="D6" i="2"/>
  <c r="D23" i="2"/>
  <c r="D38" i="2"/>
  <c r="D46" i="2"/>
  <c r="D54" i="2"/>
  <c r="D62" i="2"/>
  <c r="D70" i="2"/>
  <c r="D78" i="2"/>
  <c r="D86" i="2"/>
  <c r="D94" i="2"/>
  <c r="D102" i="2"/>
  <c r="D110" i="2"/>
  <c r="D118" i="2"/>
  <c r="D100" i="2"/>
  <c r="D116" i="2"/>
  <c r="D80" i="2"/>
  <c r="D112" i="2"/>
  <c r="D17" i="2"/>
  <c r="D33" i="2"/>
  <c r="D36" i="2"/>
  <c r="D44" i="2"/>
  <c r="D52" i="2"/>
  <c r="D60" i="2"/>
  <c r="D68" i="2"/>
  <c r="D76" i="2"/>
  <c r="D84" i="2"/>
  <c r="D92" i="2"/>
  <c r="D108" i="2"/>
  <c r="D124" i="2"/>
  <c r="D72" i="2"/>
  <c r="D96" i="2"/>
  <c r="D120" i="2"/>
  <c r="D15" i="2"/>
  <c r="D31" i="2"/>
  <c r="D42" i="2"/>
  <c r="D50" i="2"/>
  <c r="D58" i="2"/>
  <c r="D66" i="2"/>
  <c r="D74" i="2"/>
  <c r="D82" i="2"/>
  <c r="D90" i="2"/>
  <c r="D98" i="2"/>
  <c r="D106" i="2"/>
  <c r="D114" i="2"/>
  <c r="D122" i="2"/>
  <c r="D25" i="2"/>
  <c r="D40" i="2"/>
  <c r="D48" i="2"/>
  <c r="D56" i="2"/>
  <c r="D64" i="2"/>
  <c r="D88" i="2"/>
  <c r="D104" i="2"/>
  <c r="D123" i="2"/>
  <c r="D121" i="2"/>
  <c r="D119" i="2"/>
  <c r="D117" i="2"/>
  <c r="D115" i="2"/>
  <c r="D113" i="2"/>
  <c r="D111" i="2"/>
  <c r="D109" i="2"/>
  <c r="D107" i="2"/>
  <c r="D105" i="2"/>
  <c r="D103" i="2"/>
  <c r="D101" i="2"/>
  <c r="D99" i="2"/>
  <c r="D97" i="2"/>
  <c r="D95" i="2"/>
  <c r="D93" i="2"/>
  <c r="D91" i="2"/>
  <c r="D89" i="2"/>
  <c r="D87" i="2"/>
  <c r="D85" i="2"/>
  <c r="D83" i="2"/>
  <c r="D81" i="2"/>
  <c r="D79" i="2"/>
  <c r="D77" i="2"/>
  <c r="D75" i="2"/>
  <c r="D73" i="2"/>
  <c r="D71" i="2"/>
  <c r="D69" i="2"/>
  <c r="D67" i="2"/>
  <c r="D65" i="2"/>
  <c r="D63" i="2"/>
  <c r="D61" i="2"/>
  <c r="D59" i="2"/>
  <c r="D57" i="2"/>
  <c r="D55" i="2"/>
  <c r="D53" i="2"/>
  <c r="D51" i="2"/>
  <c r="D49" i="2"/>
  <c r="D47" i="2"/>
  <c r="D45" i="2"/>
  <c r="D43" i="2"/>
  <c r="D41" i="2"/>
  <c r="D39" i="2"/>
  <c r="D37" i="2"/>
  <c r="D35" i="2"/>
  <c r="D27" i="2"/>
  <c r="D19" i="2"/>
  <c r="D29" i="2"/>
  <c r="D21" i="2"/>
  <c r="D13" i="2"/>
  <c r="D9" i="2"/>
  <c r="D34" i="2"/>
  <c r="D32" i="2"/>
  <c r="D30" i="2"/>
  <c r="D28" i="2"/>
  <c r="D26" i="2"/>
  <c r="D24" i="2"/>
  <c r="D22" i="2"/>
  <c r="D20" i="2"/>
  <c r="D18" i="2"/>
  <c r="D16" i="2"/>
  <c r="D11" i="2"/>
  <c r="D5" i="2"/>
  <c r="D7" i="2"/>
  <c r="H44" i="4"/>
  <c r="H42" i="4"/>
  <c r="H40" i="4"/>
  <c r="H38" i="4"/>
  <c r="H36" i="4"/>
  <c r="H34" i="4"/>
  <c r="H32" i="4"/>
  <c r="H30" i="4"/>
  <c r="H28" i="4"/>
  <c r="H43" i="4"/>
  <c r="H41" i="4"/>
  <c r="H39" i="4"/>
  <c r="H37" i="4"/>
  <c r="H35" i="4"/>
  <c r="H33" i="4"/>
  <c r="H31" i="4"/>
  <c r="H29" i="4"/>
  <c r="H27" i="4"/>
  <c r="G50" i="4"/>
  <c r="D14" i="2"/>
  <c r="D12" i="2"/>
  <c r="D10" i="2"/>
  <c r="D8" i="2"/>
  <c r="H50" i="4"/>
  <c r="E51" i="4"/>
  <c r="G22" i="4"/>
  <c r="H45" i="4"/>
  <c r="G51" i="4"/>
  <c r="H51" i="4"/>
  <c r="E52" i="4"/>
  <c r="D127" i="2"/>
  <c r="E10" i="2"/>
  <c r="F10" i="2"/>
  <c r="E12" i="2"/>
  <c r="F12" i="2"/>
  <c r="E14" i="2"/>
  <c r="F14" i="2"/>
  <c r="G52" i="4"/>
  <c r="H52" i="4"/>
  <c r="E53" i="4"/>
  <c r="E9" i="2"/>
  <c r="F9" i="2"/>
  <c r="E17" i="2"/>
  <c r="F17" i="2"/>
  <c r="E20" i="2"/>
  <c r="F20" i="2"/>
  <c r="E25" i="2"/>
  <c r="F25" i="2"/>
  <c r="E28" i="2"/>
  <c r="F28" i="2"/>
  <c r="E33" i="2"/>
  <c r="F33" i="2"/>
  <c r="E36" i="2"/>
  <c r="F36" i="2"/>
  <c r="E41" i="2"/>
  <c r="F41" i="2"/>
  <c r="E44" i="2"/>
  <c r="F44" i="2"/>
  <c r="E49" i="2"/>
  <c r="F49" i="2"/>
  <c r="E52" i="2"/>
  <c r="F52" i="2"/>
  <c r="E57" i="2"/>
  <c r="F57" i="2"/>
  <c r="E60" i="2"/>
  <c r="F60" i="2"/>
  <c r="E65" i="2"/>
  <c r="F65" i="2"/>
  <c r="E68" i="2"/>
  <c r="F68" i="2"/>
  <c r="E73" i="2"/>
  <c r="F73" i="2"/>
  <c r="E76" i="2"/>
  <c r="F76" i="2"/>
  <c r="E81" i="2"/>
  <c r="F81" i="2"/>
  <c r="E84" i="2"/>
  <c r="F84" i="2"/>
  <c r="E89" i="2"/>
  <c r="F89" i="2"/>
  <c r="E92" i="2"/>
  <c r="F92" i="2"/>
  <c r="E97" i="2"/>
  <c r="F97" i="2"/>
  <c r="E100" i="2"/>
  <c r="F100" i="2"/>
  <c r="E105" i="2"/>
  <c r="F105" i="2"/>
  <c r="E108" i="2"/>
  <c r="F108" i="2"/>
  <c r="E113" i="2"/>
  <c r="F113" i="2"/>
  <c r="E116" i="2"/>
  <c r="F116" i="2"/>
  <c r="E121" i="2"/>
  <c r="F121" i="2"/>
  <c r="E124" i="2"/>
  <c r="F124" i="2"/>
  <c r="E6" i="2"/>
  <c r="F6" i="2"/>
  <c r="E11" i="2"/>
  <c r="F11" i="2"/>
  <c r="E19" i="2"/>
  <c r="F19" i="2"/>
  <c r="E27" i="2"/>
  <c r="F27" i="2"/>
  <c r="E35" i="2"/>
  <c r="F35" i="2"/>
  <c r="E46" i="2"/>
  <c r="F46" i="2"/>
  <c r="E54" i="2"/>
  <c r="F54" i="2"/>
  <c r="E62" i="2"/>
  <c r="F62" i="2"/>
  <c r="E67" i="2"/>
  <c r="F67" i="2"/>
  <c r="E86" i="2"/>
  <c r="F86" i="2"/>
  <c r="E91" i="2"/>
  <c r="F91" i="2"/>
  <c r="E102" i="2"/>
  <c r="F102" i="2"/>
  <c r="E107" i="2"/>
  <c r="F107" i="2"/>
  <c r="E118" i="2"/>
  <c r="F118" i="2"/>
  <c r="E123" i="2"/>
  <c r="F123" i="2"/>
  <c r="E18" i="2"/>
  <c r="F18" i="2"/>
  <c r="E26" i="2"/>
  <c r="F26" i="2"/>
  <c r="E16" i="2"/>
  <c r="F16" i="2"/>
  <c r="E21" i="2"/>
  <c r="F21" i="2"/>
  <c r="E32" i="2"/>
  <c r="F32" i="2"/>
  <c r="E37" i="2"/>
  <c r="F37" i="2"/>
  <c r="E112" i="2"/>
  <c r="F112" i="2"/>
  <c r="E117" i="2"/>
  <c r="F117" i="2"/>
  <c r="E120" i="2"/>
  <c r="F120" i="2"/>
  <c r="E24" i="2"/>
  <c r="F24" i="2"/>
  <c r="E29" i="2"/>
  <c r="F29" i="2"/>
  <c r="E40" i="2"/>
  <c r="F40" i="2"/>
  <c r="E45" i="2"/>
  <c r="F45" i="2"/>
  <c r="E48" i="2"/>
  <c r="F48" i="2"/>
  <c r="E53" i="2"/>
  <c r="F53" i="2"/>
  <c r="E56" i="2"/>
  <c r="F56" i="2"/>
  <c r="E61" i="2"/>
  <c r="F61" i="2"/>
  <c r="E64" i="2"/>
  <c r="F64" i="2"/>
  <c r="E69" i="2"/>
  <c r="F69" i="2"/>
  <c r="E72" i="2"/>
  <c r="F72" i="2"/>
  <c r="E77" i="2"/>
  <c r="F77" i="2"/>
  <c r="E80" i="2"/>
  <c r="F80" i="2"/>
  <c r="E85" i="2"/>
  <c r="F85" i="2"/>
  <c r="E88" i="2"/>
  <c r="F88" i="2"/>
  <c r="E93" i="2"/>
  <c r="F93" i="2"/>
  <c r="E96" i="2"/>
  <c r="F96" i="2"/>
  <c r="E101" i="2"/>
  <c r="F101" i="2"/>
  <c r="E104" i="2"/>
  <c r="F104" i="2"/>
  <c r="E109" i="2"/>
  <c r="F109" i="2"/>
  <c r="E22" i="2"/>
  <c r="F22" i="2"/>
  <c r="E30" i="2"/>
  <c r="F30" i="2"/>
  <c r="E38" i="2"/>
  <c r="F38" i="2"/>
  <c r="E43" i="2"/>
  <c r="F43" i="2"/>
  <c r="E51" i="2"/>
  <c r="F51" i="2"/>
  <c r="E59" i="2"/>
  <c r="F59" i="2"/>
  <c r="E70" i="2"/>
  <c r="F70" i="2"/>
  <c r="E75" i="2"/>
  <c r="F75" i="2"/>
  <c r="E78" i="2"/>
  <c r="F78" i="2"/>
  <c r="E83" i="2"/>
  <c r="F83" i="2"/>
  <c r="E94" i="2"/>
  <c r="F94" i="2"/>
  <c r="E99" i="2"/>
  <c r="F99" i="2"/>
  <c r="E110" i="2"/>
  <c r="F110" i="2"/>
  <c r="E115" i="2"/>
  <c r="F115" i="2"/>
  <c r="E13" i="2"/>
  <c r="F13" i="2"/>
  <c r="E103" i="2"/>
  <c r="F103" i="2"/>
  <c r="E71" i="2"/>
  <c r="F71" i="2"/>
  <c r="E39" i="2"/>
  <c r="F39" i="2"/>
  <c r="E7" i="2"/>
  <c r="F7" i="2"/>
  <c r="E98" i="2"/>
  <c r="F98" i="2"/>
  <c r="E66" i="2"/>
  <c r="F66" i="2"/>
  <c r="E34" i="2"/>
  <c r="F34" i="2"/>
  <c r="E122" i="2"/>
  <c r="F122" i="2"/>
  <c r="E58" i="2"/>
  <c r="F58" i="2"/>
  <c r="E119" i="2"/>
  <c r="F119" i="2"/>
  <c r="E87" i="2"/>
  <c r="F87" i="2"/>
  <c r="E55" i="2"/>
  <c r="F55" i="2"/>
  <c r="E23" i="2"/>
  <c r="F23" i="2"/>
  <c r="E114" i="2"/>
  <c r="F114" i="2"/>
  <c r="E82" i="2"/>
  <c r="F82" i="2"/>
  <c r="E50" i="2"/>
  <c r="F50" i="2"/>
  <c r="E79" i="2"/>
  <c r="F79" i="2"/>
  <c r="E47" i="2"/>
  <c r="F47" i="2"/>
  <c r="E106" i="2"/>
  <c r="F106" i="2"/>
  <c r="E42" i="2"/>
  <c r="F42" i="2"/>
  <c r="E95" i="2"/>
  <c r="F95" i="2"/>
  <c r="E63" i="2"/>
  <c r="F63" i="2"/>
  <c r="E31" i="2"/>
  <c r="F31" i="2"/>
  <c r="E90" i="2"/>
  <c r="F90" i="2"/>
  <c r="E5" i="2"/>
  <c r="E111" i="2"/>
  <c r="F111" i="2"/>
  <c r="E15" i="2"/>
  <c r="F15" i="2"/>
  <c r="E74" i="2"/>
  <c r="F74" i="2"/>
  <c r="E8" i="2"/>
  <c r="F8" i="2"/>
  <c r="G53" i="4"/>
  <c r="H53" i="4"/>
  <c r="E54" i="4"/>
  <c r="F5" i="2"/>
  <c r="E127" i="2"/>
  <c r="F127" i="2"/>
  <c r="F128" i="2"/>
  <c r="G54" i="4"/>
  <c r="H54" i="4"/>
  <c r="E55" i="4"/>
  <c r="G55" i="4"/>
  <c r="H55" i="4"/>
  <c r="E56" i="4"/>
  <c r="G56" i="4"/>
  <c r="H56" i="4"/>
  <c r="E57" i="4"/>
  <c r="G57" i="4"/>
  <c r="H57" i="4"/>
  <c r="E58" i="4"/>
  <c r="G58" i="4"/>
  <c r="H58" i="4"/>
  <c r="E59" i="4"/>
  <c r="G59" i="4"/>
  <c r="H59" i="4"/>
  <c r="E60" i="4"/>
  <c r="G60" i="4"/>
  <c r="H60" i="4"/>
  <c r="E61" i="4"/>
  <c r="G61" i="4"/>
  <c r="H61" i="4"/>
  <c r="E62" i="4"/>
  <c r="G62" i="4"/>
  <c r="H62" i="4"/>
  <c r="E63" i="4"/>
  <c r="G63" i="4"/>
  <c r="H63" i="4"/>
  <c r="E64" i="4"/>
  <c r="G64" i="4"/>
  <c r="H64" i="4"/>
  <c r="E65" i="4"/>
  <c r="G65" i="4"/>
  <c r="H65" i="4"/>
  <c r="E66" i="4"/>
  <c r="G66" i="4"/>
  <c r="H66" i="4"/>
</calcChain>
</file>

<file path=xl/sharedStrings.xml><?xml version="1.0" encoding="utf-8"?>
<sst xmlns="http://schemas.openxmlformats.org/spreadsheetml/2006/main" count="210" uniqueCount="124">
  <si>
    <t>Proportion of Total Value * Time</t>
  </si>
  <si>
    <r>
      <t>C</t>
    </r>
    <r>
      <rPr>
        <b/>
        <vertAlign val="subscript"/>
        <sz val="10"/>
        <rFont val="Arial"/>
        <family val="2"/>
      </rPr>
      <t>t</t>
    </r>
  </si>
  <si>
    <r>
      <t>Proportion of Total Value [PV(C</t>
    </r>
    <r>
      <rPr>
        <b/>
        <vertAlign val="subscript"/>
        <sz val="10"/>
        <rFont val="Arial"/>
        <family val="2"/>
      </rPr>
      <t>t</t>
    </r>
    <r>
      <rPr>
        <b/>
        <sz val="10"/>
        <rFont val="Arial"/>
        <family val="2"/>
      </rPr>
      <t>)/V]</t>
    </r>
  </si>
  <si>
    <t>Monthly Payment</t>
  </si>
  <si>
    <t xml:space="preserve">Yearly Payment </t>
  </si>
  <si>
    <t>Monthly Interest  Rate</t>
    <phoneticPr fontId="16" type="noConversion"/>
  </si>
  <si>
    <t>Months</t>
    <phoneticPr fontId="16" type="noConversion"/>
  </si>
  <si>
    <t>Corporate Finance</t>
  </si>
  <si>
    <t>PMT</t>
  </si>
  <si>
    <t>N</t>
  </si>
  <si>
    <t>I</t>
  </si>
  <si>
    <t>PV</t>
  </si>
  <si>
    <t>FV</t>
  </si>
  <si>
    <t>Question 3</t>
  </si>
  <si>
    <t>&lt;--PV(rate,nper,PMT,FV,type)</t>
  </si>
  <si>
    <t>Question 4</t>
  </si>
  <si>
    <t>Question 5</t>
  </si>
  <si>
    <t>&lt;==RATE(nper,pmt,pv,fv,type,guess)</t>
  </si>
  <si>
    <t>I (Monthly)</t>
  </si>
  <si>
    <t>I (Yearly)</t>
  </si>
  <si>
    <t>=(1+ I(Monthly)^12)-1</t>
  </si>
  <si>
    <t>Month</t>
  </si>
  <si>
    <t>Interest</t>
  </si>
  <si>
    <t>Payment</t>
  </si>
  <si>
    <t>DF</t>
  </si>
  <si>
    <t>Total</t>
  </si>
  <si>
    <t>Homework 2</t>
  </si>
  <si>
    <t>Question 6</t>
  </si>
  <si>
    <t>Totals</t>
  </si>
  <si>
    <t>Years</t>
  </si>
  <si>
    <r>
      <t>=12*</t>
    </r>
    <r>
      <rPr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0</t>
    </r>
  </si>
  <si>
    <t>Year Ending</t>
  </si>
  <si>
    <t>Interest Rate</t>
  </si>
  <si>
    <t>There are two ways to solve this: (1) Change "type" from "0" to "1"</t>
  </si>
  <si>
    <t>Young Jagger's Age on Jan 1</t>
  </si>
  <si>
    <t>Escalator Rate</t>
  </si>
  <si>
    <t>Base Payment</t>
  </si>
  <si>
    <t xml:space="preserve">After Escalator </t>
  </si>
  <si>
    <t>G</t>
  </si>
  <si>
    <t>PV Growing Ann</t>
  </si>
  <si>
    <t>&lt;----[PMT/(I-G) -PMT/(I-G)*((1+G)^N / (1+I)^N )]</t>
  </si>
  <si>
    <t>Unfortunately there is no built-in formula in Excel for a growing annuity.  You just have to look up the formula</t>
  </si>
  <si>
    <t>=FV(rate,nper,pmt,pv,type)</t>
  </si>
  <si>
    <t>Ending Value</t>
  </si>
  <si>
    <t>Beginning Value</t>
  </si>
  <si>
    <t>Once you enter the formula (correctly!), however, it's easy to change the inputs.</t>
  </si>
  <si>
    <t>Mac Duration</t>
  </si>
  <si>
    <t>in the PV formula; or (2) find the PV of 17 year-end payments and add the first payment.</t>
  </si>
  <si>
    <t>Save early!</t>
  </si>
  <si>
    <t>I @ 6%</t>
  </si>
  <si>
    <t>I @ 4%</t>
  </si>
  <si>
    <t>Question 7</t>
  </si>
  <si>
    <r>
      <t>PV(C</t>
    </r>
    <r>
      <rPr>
        <b/>
        <vertAlign val="subscript"/>
        <sz val="10"/>
        <rFont val="Arial"/>
        <family val="2"/>
      </rPr>
      <t>t</t>
    </r>
    <r>
      <rPr>
        <b/>
        <sz val="10"/>
        <rFont val="Arial"/>
        <family val="2"/>
      </rPr>
      <t>) at 0.110%</t>
    </r>
  </si>
  <si>
    <t>Yearly (APR)</t>
  </si>
  <si>
    <t>EAR</t>
  </si>
  <si>
    <t>&lt;===EFFECT(nominal_rate,npery)</t>
  </si>
  <si>
    <r>
      <t xml:space="preserve">If you mutiply the monthy rate by 12, you get a type of APR, which is </t>
    </r>
    <r>
      <rPr>
        <b/>
        <sz val="12"/>
        <rFont val="Calibri"/>
        <family val="2"/>
        <scheme val="minor"/>
      </rPr>
      <t xml:space="preserve">not </t>
    </r>
    <r>
      <rPr>
        <sz val="12"/>
        <rFont val="Calibri"/>
        <family val="2"/>
        <scheme val="minor"/>
      </rPr>
      <t>the EAR.  To convert to EAR, use @Effect</t>
    </r>
  </si>
  <si>
    <t>Question 1</t>
  </si>
  <si>
    <t>DR</t>
  </si>
  <si>
    <t>PV (a)</t>
  </si>
  <si>
    <t xml:space="preserve">PV (b) </t>
  </si>
  <si>
    <r>
      <t>&lt;==360,000/(1+r)^5 or</t>
    </r>
    <r>
      <rPr>
        <i/>
        <sz val="12"/>
        <rFont val="Calibri"/>
        <family val="2"/>
        <scheme val="minor"/>
      </rPr>
      <t xml:space="preserve"> PV</t>
    </r>
    <r>
      <rPr>
        <sz val="12"/>
        <rFont val="Calibri"/>
        <family val="2"/>
        <scheme val="minor"/>
      </rPr>
      <t xml:space="preserve"> formula</t>
    </r>
  </si>
  <si>
    <t>PV(c)</t>
  </si>
  <si>
    <t>Perpetuity</t>
  </si>
  <si>
    <t>&lt;==22,800/r</t>
  </si>
  <si>
    <t>PV(d)</t>
  </si>
  <si>
    <t>PV(e)</t>
  </si>
  <si>
    <t>&lt;==Growing perp:  CF/(r-g)</t>
  </si>
  <si>
    <t>Choice (e) has the highest NPV</t>
  </si>
  <si>
    <t>At the end of Y5</t>
  </si>
  <si>
    <t>10-yr annuity starting today</t>
  </si>
  <si>
    <t>Starting next year and growing @ 3%</t>
  </si>
  <si>
    <t>Question 2(a)</t>
  </si>
  <si>
    <t>(b)</t>
  </si>
  <si>
    <t>(c)</t>
  </si>
  <si>
    <t>(d)</t>
  </si>
  <si>
    <t>(e)</t>
  </si>
  <si>
    <t>and type in the values without making a mistake (which is not easy sometimes).  For these problems sometimes tables are easier.  See Q#2 tab.</t>
  </si>
  <si>
    <t>Question 2(c)</t>
  </si>
  <si>
    <t>Question 2(e)</t>
  </si>
  <si>
    <t>=PMT(rate,nper,pv,fv,type)</t>
  </si>
  <si>
    <t>Remember to use monthly interest rate.</t>
  </si>
  <si>
    <t xml:space="preserve">=PMT(rate,nper,pv,fv,type) @ 6%  </t>
  </si>
  <si>
    <t xml:space="preserve">=PV(rate,nper,pmt,fv,type)  with "type" = 1.  </t>
  </si>
  <si>
    <t>Fall 2022</t>
  </si>
  <si>
    <t>Could also do 9-yr regular annuity and add 40K</t>
  </si>
  <si>
    <t>Note how important the DR is.  Change the 6% to 7%, 8%, and 9%</t>
  </si>
  <si>
    <t>to see how the rankings would change.  It all about the DR, baby.</t>
  </si>
  <si>
    <t>Notice that by merely receiving the payments at the beginning of each period, the PV of the payments  increases by  over $115,000.</t>
  </si>
  <si>
    <t>&lt;---Change to 8%</t>
  </si>
  <si>
    <t>&lt;---Change to 5%</t>
  </si>
  <si>
    <t>&lt;---Change to 7%</t>
  </si>
  <si>
    <t>Note: If you use  a postive PMT, your answer will be negative. A simple way to change to "+" is to put a "-" in front of the FV.</t>
  </si>
  <si>
    <t>&lt;-----------Change to 5% or to 7%</t>
  </si>
  <si>
    <t>APR</t>
  </si>
  <si>
    <t>Loan Amount</t>
  </si>
  <si>
    <t>Term (years)</t>
  </si>
  <si>
    <t>First Payment</t>
  </si>
  <si>
    <t>Payment Date</t>
  </si>
  <si>
    <t>Beginning Balance</t>
  </si>
  <si>
    <t>Interest: I*BB</t>
  </si>
  <si>
    <t>Principal: PMT - I</t>
  </si>
  <si>
    <t>Ending Balance: BB -P</t>
  </si>
  <si>
    <t>Payment #</t>
  </si>
  <si>
    <t>=NPER(rate,pmt,pv,fv,type)</t>
  </si>
  <si>
    <t xml:space="preserve">There are a few ways to do this.  (1) Make an amortization table (see Q#4 tab). </t>
  </si>
  <si>
    <t xml:space="preserve"> (2) Since you know the value of each payment and the desired loan balance, use the NPER function to determine the # of payments to pay off a 100k loan.</t>
  </si>
  <si>
    <t xml:space="preserve"> Note this is tell you the remaining periods so you'll have to subtract this number from 120.</t>
  </si>
  <si>
    <t>&lt;------(1) Copy &amp; paste the 2,322 to a value; otherwise it will change when you change 200k to 100k</t>
  </si>
  <si>
    <t>&lt;----(2)Change to 100,000</t>
  </si>
  <si>
    <t>NPER (remaining)</t>
  </si>
  <si>
    <t>NPER (payments made)</t>
  </si>
  <si>
    <t>=120-NPER (remaining).  Thus, only after the 71st payment will you have paid off 100k (and a little bit more)</t>
  </si>
  <si>
    <t>=PMT(rate,nper,pv,fv,type) @ 4%  Note: if interest rate drops by 1/3, you have to contribute 55% more.</t>
  </si>
  <si>
    <t>Question 8</t>
  </si>
  <si>
    <t>"Monthly"  * 12--this is incorrect</t>
  </si>
  <si>
    <t>Begin</t>
  </si>
  <si>
    <t>End</t>
  </si>
  <si>
    <t>Principal</t>
  </si>
  <si>
    <t>=CUMPRINC(rate,nper,pv,start_period,end_period,type)</t>
  </si>
  <si>
    <t>&lt;----Chang this value until the principal is reduced by at least 100k.  Note, it only accepts integers.  It crosses 100k btwn 70 and 71.</t>
  </si>
  <si>
    <t xml:space="preserve">You can use goal seek too by setting principal to &lt;100,000&gt; and changing the "End" value. </t>
  </si>
  <si>
    <t>(3) Another way is to use CUMPRINC formula in Excel.  You may have to manually change the "End" variable or use Goal Seek</t>
  </si>
  <si>
    <t>For answers using tables, see tab Q#2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</si>
</sst>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0000"/>
    <numFmt numFmtId="167" formatCode="0.000000"/>
    <numFmt numFmtId="168" formatCode="0.000%"/>
    <numFmt numFmtId="169" formatCode="0.0000%"/>
    <numFmt numFmtId="170" formatCode="mm/dd/yy"/>
  </numFmts>
  <fonts count="3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sz val="8"/>
      <name val="Verdana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44" fontId="12" fillId="0" borderId="0" applyFont="0" applyFill="0" applyBorder="0" applyAlignment="0" applyProtection="0"/>
  </cellStyleXfs>
  <cellXfs count="227">
    <xf numFmtId="0" fontId="0" fillId="0" borderId="0" xfId="0"/>
    <xf numFmtId="0" fontId="11" fillId="0" borderId="0" xfId="0" applyFont="1"/>
    <xf numFmtId="0" fontId="11" fillId="0" borderId="3" xfId="0" applyFont="1" applyBorder="1"/>
    <xf numFmtId="0" fontId="11" fillId="0" borderId="4" xfId="0" applyFont="1" applyBorder="1"/>
    <xf numFmtId="0" fontId="11" fillId="0" borderId="5" xfId="0" applyFont="1" applyBorder="1"/>
    <xf numFmtId="0" fontId="11" fillId="0" borderId="7" xfId="0" applyFont="1" applyBorder="1"/>
    <xf numFmtId="0" fontId="11" fillId="0" borderId="2" xfId="0" applyFont="1" applyBorder="1"/>
    <xf numFmtId="0" fontId="11" fillId="0" borderId="8" xfId="0" applyFont="1" applyBorder="1"/>
    <xf numFmtId="0" fontId="20" fillId="2" borderId="1" xfId="0" applyFont="1" applyFill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0" xfId="0" quotePrefix="1" applyFont="1"/>
    <xf numFmtId="3" fontId="11" fillId="0" borderId="0" xfId="1" applyNumberFormat="1" applyFont="1" applyBorder="1" applyAlignment="1">
      <alignment horizontal="center"/>
    </xf>
    <xf numFmtId="3" fontId="11" fillId="0" borderId="0" xfId="0" applyNumberFormat="1" applyFont="1"/>
    <xf numFmtId="0" fontId="21" fillId="0" borderId="4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1" fillId="0" borderId="0" xfId="0" quotePrefix="1" applyFont="1"/>
    <xf numFmtId="8" fontId="11" fillId="0" borderId="0" xfId="0" quotePrefix="1" applyNumberFormat="1" applyFont="1"/>
    <xf numFmtId="164" fontId="11" fillId="0" borderId="0" xfId="1" quotePrefix="1" applyNumberFormat="1" applyFont="1" applyFill="1" applyBorder="1"/>
    <xf numFmtId="0" fontId="11" fillId="0" borderId="0" xfId="0" applyFont="1" applyAlignment="1">
      <alignment horizontal="center"/>
    </xf>
    <xf numFmtId="166" fontId="11" fillId="0" borderId="0" xfId="0" applyNumberFormat="1" applyFont="1"/>
    <xf numFmtId="0" fontId="21" fillId="0" borderId="0" xfId="0" applyFont="1" applyAlignment="1">
      <alignment horizontal="center"/>
    </xf>
    <xf numFmtId="164" fontId="21" fillId="0" borderId="0" xfId="1" applyNumberFormat="1" applyFont="1"/>
    <xf numFmtId="2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5" fillId="0" borderId="4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0" fillId="0" borderId="6" xfId="0" applyBorder="1"/>
    <xf numFmtId="2" fontId="0" fillId="0" borderId="7" xfId="0" applyNumberFormat="1" applyBorder="1" applyAlignment="1">
      <alignment horizontal="center"/>
    </xf>
    <xf numFmtId="0" fontId="22" fillId="0" borderId="5" xfId="0" applyFont="1" applyBorder="1"/>
    <xf numFmtId="2" fontId="22" fillId="0" borderId="0" xfId="0" applyNumberFormat="1" applyFont="1" applyAlignment="1">
      <alignment horizontal="center"/>
    </xf>
    <xf numFmtId="0" fontId="22" fillId="3" borderId="10" xfId="0" applyFont="1" applyFill="1" applyBorder="1"/>
    <xf numFmtId="2" fontId="15" fillId="0" borderId="0" xfId="1" applyNumberFormat="1" applyFont="1" applyBorder="1" applyAlignment="1">
      <alignment horizontal="center"/>
    </xf>
    <xf numFmtId="2" fontId="15" fillId="0" borderId="9" xfId="1" applyNumberFormat="1" applyFont="1" applyBorder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2" xfId="0" applyNumberFormat="1" applyBorder="1" applyAlignment="1">
      <alignment horizontal="center"/>
    </xf>
    <xf numFmtId="167" fontId="15" fillId="0" borderId="0" xfId="0" applyNumberFormat="1" applyFont="1" applyAlignment="1">
      <alignment horizontal="center"/>
    </xf>
    <xf numFmtId="167" fontId="15" fillId="0" borderId="9" xfId="0" applyNumberFormat="1" applyFont="1" applyBorder="1" applyAlignment="1">
      <alignment horizontal="center"/>
    </xf>
    <xf numFmtId="167" fontId="22" fillId="0" borderId="0" xfId="0" applyNumberFormat="1" applyFont="1" applyAlignment="1">
      <alignment horizontal="center"/>
    </xf>
    <xf numFmtId="167" fontId="0" fillId="0" borderId="7" xfId="0" applyNumberFormat="1" applyBorder="1" applyAlignment="1">
      <alignment horizontal="center"/>
    </xf>
    <xf numFmtId="0" fontId="13" fillId="0" borderId="6" xfId="0" applyFont="1" applyBorder="1" applyAlignment="1">
      <alignment horizontal="center" wrapText="1"/>
    </xf>
    <xf numFmtId="2" fontId="13" fillId="0" borderId="7" xfId="0" applyNumberFormat="1" applyFont="1" applyBorder="1" applyAlignment="1">
      <alignment horizontal="center" wrapText="1"/>
    </xf>
    <xf numFmtId="167" fontId="13" fillId="0" borderId="7" xfId="0" applyNumberFormat="1" applyFont="1" applyBorder="1" applyAlignment="1">
      <alignment horizontal="center" wrapText="1"/>
    </xf>
    <xf numFmtId="3" fontId="20" fillId="0" borderId="0" xfId="1" applyNumberFormat="1" applyFont="1" applyFill="1" applyBorder="1" applyAlignment="1">
      <alignment horizontal="center"/>
    </xf>
    <xf numFmtId="0" fontId="24" fillId="0" borderId="0" xfId="0" applyFont="1"/>
    <xf numFmtId="0" fontId="17" fillId="0" borderId="0" xfId="0" applyFont="1" applyAlignment="1">
      <alignment horizontal="center"/>
    </xf>
    <xf numFmtId="8" fontId="17" fillId="0" borderId="0" xfId="0" quotePrefix="1" applyNumberFormat="1" applyFont="1"/>
    <xf numFmtId="0" fontId="9" fillId="0" borderId="0" xfId="0" quotePrefix="1" applyFont="1"/>
    <xf numFmtId="3" fontId="0" fillId="0" borderId="0" xfId="1" applyNumberFormat="1" applyFont="1" applyBorder="1" applyAlignment="1">
      <alignment horizontal="center"/>
    </xf>
    <xf numFmtId="164" fontId="0" fillId="0" borderId="5" xfId="1" applyNumberFormat="1" applyFont="1" applyBorder="1"/>
    <xf numFmtId="0" fontId="17" fillId="0" borderId="0" xfId="0" applyFont="1"/>
    <xf numFmtId="0" fontId="23" fillId="0" borderId="4" xfId="0" applyFont="1" applyBorder="1"/>
    <xf numFmtId="2" fontId="23" fillId="0" borderId="0" xfId="0" applyNumberFormat="1" applyFont="1" applyAlignment="1">
      <alignment horizontal="center"/>
    </xf>
    <xf numFmtId="167" fontId="23" fillId="0" borderId="0" xfId="0" applyNumberFormat="1" applyFont="1" applyAlignment="1">
      <alignment horizontal="center"/>
    </xf>
    <xf numFmtId="164" fontId="11" fillId="0" borderId="0" xfId="1" applyNumberFormat="1" applyFont="1" applyFill="1" applyBorder="1"/>
    <xf numFmtId="2" fontId="26" fillId="4" borderId="7" xfId="0" applyNumberFormat="1" applyFont="1" applyFill="1" applyBorder="1" applyAlignment="1">
      <alignment horizontal="center"/>
    </xf>
    <xf numFmtId="0" fontId="26" fillId="4" borderId="8" xfId="0" applyFont="1" applyFill="1" applyBorder="1"/>
    <xf numFmtId="0" fontId="8" fillId="0" borderId="0" xfId="0" quotePrefix="1" applyFont="1"/>
    <xf numFmtId="0" fontId="8" fillId="0" borderId="0" xfId="0" applyFont="1"/>
    <xf numFmtId="8" fontId="11" fillId="0" borderId="5" xfId="0" applyNumberFormat="1" applyFont="1" applyBorder="1"/>
    <xf numFmtId="9" fontId="23" fillId="0" borderId="0" xfId="2" applyFont="1" applyBorder="1" applyAlignment="1">
      <alignment horizontal="center"/>
    </xf>
    <xf numFmtId="4" fontId="23" fillId="0" borderId="0" xfId="1" applyNumberFormat="1" applyFont="1" applyBorder="1" applyAlignment="1">
      <alignment horizontal="center"/>
    </xf>
    <xf numFmtId="168" fontId="0" fillId="0" borderId="2" xfId="2" applyNumberFormat="1" applyFont="1" applyBorder="1" applyAlignment="1">
      <alignment horizontal="center"/>
    </xf>
    <xf numFmtId="2" fontId="22" fillId="0" borderId="2" xfId="0" applyNumberFormat="1" applyFont="1" applyBorder="1" applyAlignment="1">
      <alignment horizontal="center"/>
    </xf>
    <xf numFmtId="0" fontId="20" fillId="0" borderId="0" xfId="0" applyFont="1" applyAlignment="1">
      <alignment horizontal="center"/>
    </xf>
    <xf numFmtId="8" fontId="11" fillId="0" borderId="0" xfId="0" applyNumberFormat="1" applyFont="1"/>
    <xf numFmtId="0" fontId="5" fillId="0" borderId="4" xfId="0" applyFont="1" applyBorder="1" applyAlignment="1">
      <alignment horizontal="center"/>
    </xf>
    <xf numFmtId="3" fontId="5" fillId="0" borderId="0" xfId="1" applyNumberFormat="1" applyFont="1" applyBorder="1" applyAlignment="1">
      <alignment horizontal="center"/>
    </xf>
    <xf numFmtId="9" fontId="5" fillId="0" borderId="0" xfId="2" applyFont="1" applyBorder="1" applyAlignment="1">
      <alignment horizontal="center"/>
    </xf>
    <xf numFmtId="9" fontId="1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9" fontId="11" fillId="0" borderId="0" xfId="2" applyFont="1" applyBorder="1" applyAlignment="1">
      <alignment horizontal="center"/>
    </xf>
    <xf numFmtId="3" fontId="17" fillId="0" borderId="0" xfId="1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7" xfId="0" applyNumberFormat="1" applyBorder="1" applyAlignment="1">
      <alignment horizontal="center"/>
    </xf>
    <xf numFmtId="3" fontId="11" fillId="0" borderId="0" xfId="0" applyNumberFormat="1" applyFont="1" applyAlignment="1">
      <alignment horizontal="center"/>
    </xf>
    <xf numFmtId="3" fontId="20" fillId="0" borderId="0" xfId="1" applyNumberFormat="1" applyFont="1" applyBorder="1" applyAlignment="1">
      <alignment horizontal="center"/>
    </xf>
    <xf numFmtId="3" fontId="5" fillId="0" borderId="0" xfId="0" applyNumberFormat="1" applyFont="1" applyAlignment="1">
      <alignment horizontal="center"/>
    </xf>
    <xf numFmtId="3" fontId="21" fillId="0" borderId="0" xfId="1" applyNumberFormat="1" applyFont="1" applyBorder="1" applyAlignment="1">
      <alignment horizontal="center"/>
    </xf>
    <xf numFmtId="3" fontId="17" fillId="0" borderId="0" xfId="1" applyNumberFormat="1" applyFont="1" applyBorder="1" applyAlignment="1">
      <alignment horizontal="center"/>
    </xf>
    <xf numFmtId="9" fontId="21" fillId="0" borderId="0" xfId="2" applyFont="1" applyBorder="1" applyAlignment="1">
      <alignment horizontal="center"/>
    </xf>
    <xf numFmtId="0" fontId="17" fillId="0" borderId="0" xfId="0" quotePrefix="1" applyFont="1"/>
    <xf numFmtId="0" fontId="17" fillId="2" borderId="4" xfId="0" applyFont="1" applyFill="1" applyBorder="1" applyAlignment="1">
      <alignment horizontal="center"/>
    </xf>
    <xf numFmtId="0" fontId="5" fillId="0" borderId="4" xfId="0" applyFont="1" applyBorder="1"/>
    <xf numFmtId="0" fontId="17" fillId="0" borderId="4" xfId="0" applyFont="1" applyBorder="1" applyAlignment="1">
      <alignment horizontal="center"/>
    </xf>
    <xf numFmtId="3" fontId="5" fillId="0" borderId="4" xfId="1" applyNumberFormat="1" applyFont="1" applyFill="1" applyBorder="1" applyAlignment="1">
      <alignment horizontal="left"/>
    </xf>
    <xf numFmtId="3" fontId="21" fillId="0" borderId="4" xfId="0" applyNumberFormat="1" applyFont="1" applyBorder="1" applyAlignment="1">
      <alignment horizontal="left"/>
    </xf>
    <xf numFmtId="3" fontId="6" fillId="0" borderId="0" xfId="0" applyNumberFormat="1" applyFont="1"/>
    <xf numFmtId="1" fontId="11" fillId="0" borderId="0" xfId="0" applyNumberFormat="1" applyFont="1" applyAlignment="1">
      <alignment horizontal="center"/>
    </xf>
    <xf numFmtId="3" fontId="11" fillId="0" borderId="7" xfId="1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37" fontId="11" fillId="0" borderId="0" xfId="1" applyNumberFormat="1" applyFont="1" applyBorder="1" applyAlignment="1">
      <alignment horizontal="center"/>
    </xf>
    <xf numFmtId="37" fontId="20" fillId="0" borderId="0" xfId="1" applyNumberFormat="1" applyFont="1" applyBorder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/>
    <xf numFmtId="0" fontId="25" fillId="0" borderId="0" xfId="0" applyFont="1" applyAlignment="1">
      <alignment horizontal="center"/>
    </xf>
    <xf numFmtId="0" fontId="20" fillId="0" borderId="0" xfId="0" applyFont="1"/>
    <xf numFmtId="164" fontId="20" fillId="0" borderId="0" xfId="1" applyNumberFormat="1" applyFont="1" applyFill="1" applyBorder="1"/>
    <xf numFmtId="8" fontId="9" fillId="0" borderId="0" xfId="0" quotePrefix="1" applyNumberFormat="1" applyFont="1"/>
    <xf numFmtId="0" fontId="10" fillId="0" borderId="0" xfId="0" quotePrefix="1" applyFont="1"/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10" fontId="20" fillId="0" borderId="0" xfId="2" applyNumberFormat="1" applyFont="1" applyFill="1" applyBorder="1" applyAlignment="1">
      <alignment horizontal="center"/>
    </xf>
    <xf numFmtId="1" fontId="11" fillId="0" borderId="0" xfId="1" quotePrefix="1" applyNumberFormat="1" applyFont="1" applyFill="1" applyBorder="1" applyAlignment="1">
      <alignment horizontal="center"/>
    </xf>
    <xf numFmtId="37" fontId="11" fillId="0" borderId="0" xfId="1" applyNumberFormat="1" applyFont="1" applyFill="1" applyBorder="1" applyAlignment="1">
      <alignment horizontal="center"/>
    </xf>
    <xf numFmtId="37" fontId="21" fillId="0" borderId="0" xfId="1" applyNumberFormat="1" applyFont="1" applyFill="1" applyBorder="1" applyAlignment="1">
      <alignment horizontal="center"/>
    </xf>
    <xf numFmtId="169" fontId="20" fillId="0" borderId="0" xfId="2" applyNumberFormat="1" applyFont="1" applyFill="1" applyBorder="1" applyAlignment="1">
      <alignment horizontal="center"/>
    </xf>
    <xf numFmtId="3" fontId="13" fillId="0" borderId="7" xfId="0" applyNumberFormat="1" applyFont="1" applyBorder="1" applyAlignment="1">
      <alignment horizontal="center" wrapText="1"/>
    </xf>
    <xf numFmtId="3" fontId="15" fillId="0" borderId="0" xfId="1" applyNumberFormat="1" applyFont="1" applyBorder="1" applyAlignment="1">
      <alignment horizontal="center"/>
    </xf>
    <xf numFmtId="3" fontId="15" fillId="0" borderId="9" xfId="1" applyNumberFormat="1" applyFont="1" applyBorder="1" applyAlignment="1">
      <alignment horizontal="center"/>
    </xf>
    <xf numFmtId="3" fontId="23" fillId="0" borderId="0" xfId="0" applyNumberFormat="1" applyFont="1" applyAlignment="1">
      <alignment horizontal="center"/>
    </xf>
    <xf numFmtId="3" fontId="23" fillId="0" borderId="0" xfId="1" applyNumberFormat="1" applyFont="1" applyBorder="1" applyAlignment="1">
      <alignment horizontal="center"/>
    </xf>
    <xf numFmtId="0" fontId="11" fillId="0" borderId="6" xfId="0" applyFont="1" applyBorder="1"/>
    <xf numFmtId="3" fontId="20" fillId="0" borderId="7" xfId="1" applyNumberFormat="1" applyFont="1" applyFill="1" applyBorder="1" applyAlignment="1">
      <alignment horizontal="center"/>
    </xf>
    <xf numFmtId="0" fontId="8" fillId="0" borderId="7" xfId="0" applyFont="1" applyBorder="1"/>
    <xf numFmtId="8" fontId="11" fillId="0" borderId="8" xfId="0" applyNumberFormat="1" applyFont="1" applyBorder="1"/>
    <xf numFmtId="3" fontId="22" fillId="4" borderId="2" xfId="0" applyNumberFormat="1" applyFont="1" applyFill="1" applyBorder="1" applyAlignment="1">
      <alignment horizontal="center"/>
    </xf>
    <xf numFmtId="10" fontId="11" fillId="0" borderId="0" xfId="2" applyNumberFormat="1" applyFont="1" applyBorder="1" applyAlignment="1">
      <alignment horizontal="center"/>
    </xf>
    <xf numFmtId="10" fontId="5" fillId="0" borderId="0" xfId="2" applyNumberFormat="1" applyFont="1" applyBorder="1" applyAlignment="1">
      <alignment horizontal="center"/>
    </xf>
    <xf numFmtId="0" fontId="17" fillId="2" borderId="1" xfId="0" applyFont="1" applyFill="1" applyBorder="1"/>
    <xf numFmtId="0" fontId="4" fillId="0" borderId="4" xfId="0" applyFont="1" applyBorder="1"/>
    <xf numFmtId="0" fontId="20" fillId="6" borderId="1" xfId="0" applyFont="1" applyFill="1" applyBorder="1" applyAlignment="1">
      <alignment horizontal="center"/>
    </xf>
    <xf numFmtId="0" fontId="17" fillId="0" borderId="2" xfId="0" applyFont="1" applyBorder="1"/>
    <xf numFmtId="0" fontId="1" fillId="0" borderId="4" xfId="0" applyFont="1" applyBorder="1"/>
    <xf numFmtId="37" fontId="21" fillId="0" borderId="0" xfId="1" applyNumberFormat="1" applyFont="1" applyBorder="1" applyAlignment="1">
      <alignment horizontal="center"/>
    </xf>
    <xf numFmtId="3" fontId="11" fillId="0" borderId="7" xfId="0" applyNumberFormat="1" applyFont="1" applyBorder="1" applyAlignment="1">
      <alignment horizontal="center"/>
    </xf>
    <xf numFmtId="10" fontId="17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9" fontId="11" fillId="0" borderId="0" xfId="2" applyNumberFormat="1" applyFont="1" applyFill="1" applyBorder="1" applyAlignment="1">
      <alignment horizontal="center"/>
    </xf>
    <xf numFmtId="168" fontId="11" fillId="0" borderId="0" xfId="2" applyNumberFormat="1" applyFont="1" applyFill="1" applyBorder="1" applyAlignment="1">
      <alignment horizontal="center"/>
    </xf>
    <xf numFmtId="0" fontId="21" fillId="0" borderId="4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10" fontId="17" fillId="0" borderId="7" xfId="2" quotePrefix="1" applyNumberFormat="1" applyFont="1" applyFill="1" applyBorder="1" applyAlignment="1">
      <alignment horizontal="center"/>
    </xf>
    <xf numFmtId="0" fontId="17" fillId="0" borderId="7" xfId="0" quotePrefix="1" applyFont="1" applyBorder="1"/>
    <xf numFmtId="0" fontId="1" fillId="0" borderId="2" xfId="0" applyFont="1" applyBorder="1"/>
    <xf numFmtId="3" fontId="1" fillId="0" borderId="0" xfId="1" applyNumberFormat="1" applyFont="1" applyFill="1" applyBorder="1" applyAlignment="1">
      <alignment horizontal="center"/>
    </xf>
    <xf numFmtId="0" fontId="1" fillId="0" borderId="7" xfId="0" applyFont="1" applyBorder="1"/>
    <xf numFmtId="0" fontId="17" fillId="7" borderId="6" xfId="0" applyFont="1" applyFill="1" applyBorder="1" applyAlignment="1">
      <alignment horizontal="left"/>
    </xf>
    <xf numFmtId="0" fontId="17" fillId="2" borderId="10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7" fillId="4" borderId="0" xfId="0" applyFont="1" applyFill="1"/>
    <xf numFmtId="10" fontId="17" fillId="4" borderId="0" xfId="2" applyNumberFormat="1" applyFont="1" applyFill="1"/>
    <xf numFmtId="0" fontId="17" fillId="0" borderId="7" xfId="0" applyFont="1" applyBorder="1" applyAlignment="1">
      <alignment horizontal="center" wrapText="1"/>
    </xf>
    <xf numFmtId="0" fontId="17" fillId="0" borderId="7" xfId="0" applyFont="1" applyBorder="1" applyAlignment="1">
      <alignment horizontal="center"/>
    </xf>
    <xf numFmtId="164" fontId="1" fillId="0" borderId="0" xfId="1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7" xfId="0" applyFont="1" applyBorder="1" applyAlignment="1">
      <alignment horizontal="center"/>
    </xf>
    <xf numFmtId="164" fontId="1" fillId="0" borderId="7" xfId="1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164" fontId="17" fillId="0" borderId="0" xfId="1" applyNumberFormat="1" applyFont="1" applyAlignment="1">
      <alignment horizontal="center"/>
    </xf>
    <xf numFmtId="164" fontId="1" fillId="0" borderId="0" xfId="1" applyNumberFormat="1" applyFont="1"/>
    <xf numFmtId="0" fontId="17" fillId="4" borderId="0" xfId="0" applyFont="1" applyFill="1" applyAlignment="1">
      <alignment horizontal="center"/>
    </xf>
    <xf numFmtId="9" fontId="17" fillId="4" borderId="0" xfId="2" applyFont="1" applyFill="1" applyAlignment="1">
      <alignment horizontal="center"/>
    </xf>
    <xf numFmtId="0" fontId="17" fillId="0" borderId="12" xfId="0" applyFont="1" applyBorder="1" applyAlignment="1">
      <alignment horizontal="center" wrapText="1"/>
    </xf>
    <xf numFmtId="0" fontId="17" fillId="0" borderId="12" xfId="0" applyFont="1" applyBorder="1" applyAlignment="1">
      <alignment horizontal="center"/>
    </xf>
    <xf numFmtId="0" fontId="17" fillId="0" borderId="12" xfId="0" applyFont="1" applyBorder="1"/>
    <xf numFmtId="3" fontId="1" fillId="0" borderId="0" xfId="0" applyNumberFormat="1" applyFont="1" applyAlignment="1">
      <alignment horizontal="center"/>
    </xf>
    <xf numFmtId="3" fontId="1" fillId="0" borderId="0" xfId="1" applyNumberFormat="1" applyFont="1" applyAlignment="1">
      <alignment horizontal="center"/>
    </xf>
    <xf numFmtId="3" fontId="1" fillId="0" borderId="0" xfId="0" applyNumberFormat="1" applyFont="1"/>
    <xf numFmtId="3" fontId="1" fillId="0" borderId="7" xfId="0" applyNumberFormat="1" applyFont="1" applyBorder="1"/>
    <xf numFmtId="3" fontId="1" fillId="0" borderId="7" xfId="1" applyNumberFormat="1" applyFont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164" fontId="17" fillId="0" borderId="1" xfId="1" applyNumberFormat="1" applyFont="1" applyBorder="1"/>
    <xf numFmtId="0" fontId="11" fillId="7" borderId="10" xfId="0" applyFont="1" applyFill="1" applyBorder="1"/>
    <xf numFmtId="0" fontId="20" fillId="7" borderId="2" xfId="0" applyFont="1" applyFill="1" applyBorder="1" applyAlignment="1">
      <alignment horizontal="center"/>
    </xf>
    <xf numFmtId="0" fontId="11" fillId="7" borderId="3" xfId="0" applyFont="1" applyFill="1" applyBorder="1"/>
    <xf numFmtId="0" fontId="11" fillId="7" borderId="4" xfId="0" applyFont="1" applyFill="1" applyBorder="1"/>
    <xf numFmtId="0" fontId="20" fillId="7" borderId="0" xfId="0" applyFont="1" applyFill="1" applyAlignment="1">
      <alignment horizontal="center"/>
    </xf>
    <xf numFmtId="0" fontId="11" fillId="7" borderId="5" xfId="0" applyFont="1" applyFill="1" applyBorder="1"/>
    <xf numFmtId="0" fontId="11" fillId="7" borderId="6" xfId="0" applyFont="1" applyFill="1" applyBorder="1"/>
    <xf numFmtId="0" fontId="20" fillId="7" borderId="7" xfId="0" applyFont="1" applyFill="1" applyBorder="1" applyAlignment="1">
      <alignment horizontal="center"/>
    </xf>
    <xf numFmtId="0" fontId="11" fillId="7" borderId="8" xfId="0" applyFont="1" applyFill="1" applyBorder="1"/>
    <xf numFmtId="164" fontId="1" fillId="0" borderId="7" xfId="1" applyNumberFormat="1" applyFont="1" applyBorder="1"/>
    <xf numFmtId="3" fontId="20" fillId="0" borderId="0" xfId="0" applyNumberFormat="1" applyFont="1" applyAlignment="1">
      <alignment horizontal="center"/>
    </xf>
    <xf numFmtId="0" fontId="1" fillId="0" borderId="0" xfId="0" quotePrefix="1" applyFont="1"/>
    <xf numFmtId="0" fontId="1" fillId="8" borderId="10" xfId="0" applyFont="1" applyFill="1" applyBorder="1"/>
    <xf numFmtId="0" fontId="11" fillId="8" borderId="3" xfId="0" applyFont="1" applyFill="1" applyBorder="1"/>
    <xf numFmtId="0" fontId="1" fillId="8" borderId="6" xfId="0" applyFont="1" applyFill="1" applyBorder="1"/>
    <xf numFmtId="0" fontId="11" fillId="8" borderId="8" xfId="0" applyFont="1" applyFill="1" applyBorder="1"/>
    <xf numFmtId="9" fontId="27" fillId="0" borderId="2" xfId="0" applyNumberFormat="1" applyFont="1" applyBorder="1" applyAlignment="1">
      <alignment horizontal="center"/>
    </xf>
    <xf numFmtId="0" fontId="7" fillId="0" borderId="0" xfId="0" applyFont="1" applyAlignment="1">
      <alignment horizontal="left" vertical="top" wrapText="1"/>
    </xf>
    <xf numFmtId="0" fontId="11" fillId="0" borderId="0" xfId="0" applyFont="1" applyAlignment="1">
      <alignment vertical="top" wrapText="1"/>
    </xf>
    <xf numFmtId="42" fontId="29" fillId="0" borderId="0" xfId="0" applyNumberFormat="1" applyFont="1"/>
    <xf numFmtId="164" fontId="29" fillId="0" borderId="0" xfId="1" applyNumberFormat="1" applyFont="1"/>
    <xf numFmtId="42" fontId="29" fillId="0" borderId="0" xfId="0" applyNumberFormat="1" applyFont="1" applyAlignment="1">
      <alignment horizontal="center"/>
    </xf>
    <xf numFmtId="0" fontId="29" fillId="0" borderId="0" xfId="15" applyNumberFormat="1" applyFont="1"/>
    <xf numFmtId="10" fontId="29" fillId="0" borderId="0" xfId="2" applyNumberFormat="1" applyFont="1"/>
    <xf numFmtId="2" fontId="29" fillId="0" borderId="0" xfId="0" applyNumberFormat="1" applyFont="1"/>
    <xf numFmtId="170" fontId="29" fillId="0" borderId="0" xfId="0" applyNumberFormat="1" applyFont="1"/>
    <xf numFmtId="0" fontId="29" fillId="0" borderId="0" xfId="0" applyFont="1"/>
    <xf numFmtId="42" fontId="29" fillId="0" borderId="13" xfId="0" applyNumberFormat="1" applyFont="1" applyBorder="1" applyAlignment="1">
      <alignment horizontal="center" vertical="center"/>
    </xf>
    <xf numFmtId="42" fontId="29" fillId="0" borderId="14" xfId="0" applyNumberFormat="1" applyFont="1" applyBorder="1" applyAlignment="1">
      <alignment horizontal="center" vertical="center"/>
    </xf>
    <xf numFmtId="15" fontId="29" fillId="0" borderId="0" xfId="0" applyNumberFormat="1" applyFont="1" applyAlignment="1">
      <alignment horizontal="center"/>
    </xf>
    <xf numFmtId="4" fontId="29" fillId="0" borderId="0" xfId="0" applyNumberFormat="1" applyFont="1" applyAlignment="1">
      <alignment horizontal="center"/>
    </xf>
    <xf numFmtId="15" fontId="29" fillId="4" borderId="0" xfId="0" applyNumberFormat="1" applyFont="1" applyFill="1" applyAlignment="1">
      <alignment horizontal="center"/>
    </xf>
    <xf numFmtId="4" fontId="29" fillId="4" borderId="0" xfId="0" applyNumberFormat="1" applyFont="1" applyFill="1" applyAlignment="1">
      <alignment horizontal="center"/>
    </xf>
    <xf numFmtId="0" fontId="29" fillId="0" borderId="13" xfId="0" applyFont="1" applyBorder="1" applyAlignment="1">
      <alignment horizontal="center" vertical="center"/>
    </xf>
    <xf numFmtId="0" fontId="17" fillId="0" borderId="1" xfId="0" applyFont="1" applyBorder="1"/>
    <xf numFmtId="0" fontId="21" fillId="0" borderId="4" xfId="0" applyFont="1" applyFill="1" applyBorder="1" applyAlignment="1">
      <alignment horizontal="center"/>
    </xf>
    <xf numFmtId="3" fontId="1" fillId="0" borderId="0" xfId="1" quotePrefix="1" applyNumberFormat="1" applyFont="1" applyBorder="1" applyAlignment="1">
      <alignment horizontal="left"/>
    </xf>
    <xf numFmtId="0" fontId="11" fillId="0" borderId="0" xfId="0" applyFont="1" applyBorder="1"/>
    <xf numFmtId="9" fontId="27" fillId="0" borderId="0" xfId="0" applyNumberFormat="1" applyFont="1" applyBorder="1" applyAlignment="1">
      <alignment horizontal="center"/>
    </xf>
    <xf numFmtId="0" fontId="1" fillId="0" borderId="0" xfId="0" applyFont="1" applyBorder="1"/>
    <xf numFmtId="2" fontId="17" fillId="0" borderId="0" xfId="0" applyNumberFormat="1" applyFont="1" applyBorder="1" applyAlignment="1">
      <alignment horizontal="center"/>
    </xf>
    <xf numFmtId="0" fontId="1" fillId="0" borderId="0" xfId="0" quotePrefix="1" applyFont="1" applyBorder="1"/>
    <xf numFmtId="2" fontId="17" fillId="0" borderId="0" xfId="0" applyNumberFormat="1" applyFont="1" applyFill="1" applyBorder="1" applyAlignment="1">
      <alignment horizontal="center"/>
    </xf>
    <xf numFmtId="0" fontId="1" fillId="0" borderId="0" xfId="0" quotePrefix="1" applyFont="1" applyFill="1" applyBorder="1"/>
    <xf numFmtId="0" fontId="11" fillId="0" borderId="0" xfId="0" applyFont="1" applyFill="1" applyBorder="1"/>
    <xf numFmtId="0" fontId="11" fillId="0" borderId="5" xfId="0" applyFont="1" applyFill="1" applyBorder="1"/>
    <xf numFmtId="3" fontId="11" fillId="0" borderId="0" xfId="0" applyNumberFormat="1" applyFont="1" applyBorder="1" applyAlignment="1">
      <alignment horizontal="center"/>
    </xf>
    <xf numFmtId="2" fontId="1" fillId="0" borderId="0" xfId="0" applyNumberFormat="1" applyFont="1" applyBorder="1"/>
    <xf numFmtId="1" fontId="11" fillId="0" borderId="0" xfId="0" applyNumberFormat="1" applyFont="1" applyBorder="1" applyAlignment="1">
      <alignment horizontal="center"/>
    </xf>
    <xf numFmtId="3" fontId="11" fillId="0" borderId="4" xfId="1" applyNumberFormat="1" applyFont="1" applyBorder="1" applyAlignment="1">
      <alignment horizontal="center"/>
    </xf>
    <xf numFmtId="9" fontId="17" fillId="3" borderId="0" xfId="0" applyNumberFormat="1" applyFont="1" applyFill="1" applyAlignment="1">
      <alignment horizontal="center"/>
    </xf>
    <xf numFmtId="3" fontId="20" fillId="4" borderId="0" xfId="1" applyNumberFormat="1" applyFont="1" applyFill="1" applyBorder="1" applyAlignment="1">
      <alignment horizontal="center"/>
    </xf>
  </cellXfs>
  <cellStyles count="16">
    <cellStyle name="Comma" xfId="1" builtinId="3"/>
    <cellStyle name="Currency" xfId="15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01"/>
  <sheetViews>
    <sheetView showGridLines="0" tabSelected="1" zoomScale="116" zoomScaleNormal="170" zoomScalePageLayoutView="154" workbookViewId="0">
      <selection activeCell="F18" sqref="F18"/>
    </sheetView>
  </sheetViews>
  <sheetFormatPr baseColWidth="10" defaultColWidth="8.83203125" defaultRowHeight="16" x14ac:dyDescent="0.2"/>
  <cols>
    <col min="1" max="1" width="4.1640625" style="1" customWidth="1"/>
    <col min="2" max="2" width="26.33203125" style="1" customWidth="1"/>
    <col min="3" max="3" width="27.1640625" style="1" customWidth="1"/>
    <col min="4" max="4" width="37.33203125" style="1" customWidth="1"/>
    <col min="5" max="5" width="25.33203125" style="1" customWidth="1"/>
    <col min="6" max="6" width="46.5" style="1" customWidth="1"/>
    <col min="7" max="7" width="9" style="1" bestFit="1" customWidth="1"/>
    <col min="8" max="16384" width="8.83203125" style="1"/>
  </cols>
  <sheetData>
    <row r="1" spans="2:6" ht="17" thickBot="1" x14ac:dyDescent="0.25"/>
    <row r="2" spans="2:6" x14ac:dyDescent="0.2">
      <c r="B2" s="175"/>
      <c r="C2" s="176" t="s">
        <v>7</v>
      </c>
      <c r="D2" s="177"/>
    </row>
    <row r="3" spans="2:6" x14ac:dyDescent="0.2">
      <c r="B3" s="178"/>
      <c r="C3" s="179" t="s">
        <v>26</v>
      </c>
      <c r="D3" s="180"/>
    </row>
    <row r="4" spans="2:6" ht="17" thickBot="1" x14ac:dyDescent="0.25">
      <c r="B4" s="181"/>
      <c r="C4" s="182" t="s">
        <v>84</v>
      </c>
      <c r="D4" s="183"/>
    </row>
    <row r="5" spans="2:6" ht="17" thickBot="1" x14ac:dyDescent="0.25"/>
    <row r="6" spans="2:6" ht="17" thickBot="1" x14ac:dyDescent="0.25">
      <c r="B6" s="8" t="s">
        <v>57</v>
      </c>
      <c r="C6" s="145"/>
      <c r="D6" s="145"/>
      <c r="E6" s="6"/>
      <c r="F6" s="2"/>
    </row>
    <row r="7" spans="2:6" ht="17" thickBot="1" x14ac:dyDescent="0.25">
      <c r="B7" s="9" t="s">
        <v>58</v>
      </c>
      <c r="C7" s="225">
        <v>0.06</v>
      </c>
      <c r="D7" s="131"/>
      <c r="F7" s="4"/>
    </row>
    <row r="8" spans="2:6" x14ac:dyDescent="0.2">
      <c r="B8" s="141" t="s">
        <v>59</v>
      </c>
      <c r="C8" s="45">
        <v>250000</v>
      </c>
      <c r="D8" s="131"/>
      <c r="E8" s="187" t="s">
        <v>86</v>
      </c>
      <c r="F8" s="188"/>
    </row>
    <row r="9" spans="2:6" ht="17" thickBot="1" x14ac:dyDescent="0.25">
      <c r="B9" s="141"/>
      <c r="C9" s="45"/>
      <c r="D9" s="131"/>
      <c r="E9" s="189" t="s">
        <v>87</v>
      </c>
      <c r="F9" s="190"/>
    </row>
    <row r="10" spans="2:6" x14ac:dyDescent="0.2">
      <c r="B10" s="141" t="s">
        <v>60</v>
      </c>
      <c r="C10" s="146">
        <v>360000</v>
      </c>
      <c r="D10" s="131" t="s">
        <v>69</v>
      </c>
      <c r="F10" s="4"/>
    </row>
    <row r="11" spans="2:6" x14ac:dyDescent="0.2">
      <c r="B11" s="141"/>
      <c r="C11" s="45">
        <f>C10/(1+C7)^5</f>
        <v>269012.9422317805</v>
      </c>
      <c r="D11" s="97" t="s">
        <v>61</v>
      </c>
      <c r="F11" s="4"/>
    </row>
    <row r="12" spans="2:6" x14ac:dyDescent="0.2">
      <c r="B12" s="141"/>
      <c r="C12" s="45"/>
      <c r="D12" s="97"/>
      <c r="F12" s="4"/>
    </row>
    <row r="13" spans="2:6" x14ac:dyDescent="0.2">
      <c r="B13" s="141" t="s">
        <v>62</v>
      </c>
      <c r="C13" s="146">
        <v>22800</v>
      </c>
      <c r="D13" s="131" t="s">
        <v>63</v>
      </c>
      <c r="F13" s="4"/>
    </row>
    <row r="14" spans="2:6" x14ac:dyDescent="0.2">
      <c r="B14" s="141"/>
      <c r="C14" s="185">
        <f>C13/C7</f>
        <v>380000</v>
      </c>
      <c r="D14" s="97" t="s">
        <v>64</v>
      </c>
      <c r="F14" s="4"/>
    </row>
    <row r="15" spans="2:6" x14ac:dyDescent="0.2">
      <c r="B15" s="141"/>
      <c r="C15" s="185"/>
      <c r="D15" s="97"/>
      <c r="F15" s="4"/>
    </row>
    <row r="16" spans="2:6" x14ac:dyDescent="0.2">
      <c r="B16" s="141" t="s">
        <v>65</v>
      </c>
      <c r="C16" s="146">
        <v>40000</v>
      </c>
      <c r="D16" s="131" t="s">
        <v>70</v>
      </c>
      <c r="F16" s="4"/>
    </row>
    <row r="17" spans="2:6" x14ac:dyDescent="0.2">
      <c r="B17" s="127"/>
      <c r="C17" s="45">
        <f>-PV(C7,10,C16,0,1)</f>
        <v>312067.69097998337</v>
      </c>
      <c r="D17" s="186" t="s">
        <v>83</v>
      </c>
      <c r="F17" s="4"/>
    </row>
    <row r="18" spans="2:6" x14ac:dyDescent="0.2">
      <c r="B18" s="127"/>
      <c r="C18" s="45">
        <f>-PV(C7,9,C16,0,0) + 40000</f>
        <v>312067.69097998337</v>
      </c>
      <c r="D18" s="186" t="s">
        <v>85</v>
      </c>
      <c r="F18" s="4"/>
    </row>
    <row r="19" spans="2:6" x14ac:dyDescent="0.2">
      <c r="B19" s="3"/>
      <c r="F19" s="4"/>
    </row>
    <row r="20" spans="2:6" x14ac:dyDescent="0.2">
      <c r="B20" s="141" t="s">
        <v>66</v>
      </c>
      <c r="C20" s="146">
        <v>13000</v>
      </c>
      <c r="D20" s="131" t="s">
        <v>71</v>
      </c>
      <c r="F20" s="4"/>
    </row>
    <row r="21" spans="2:6" x14ac:dyDescent="0.2">
      <c r="B21" s="127"/>
      <c r="C21" s="226">
        <f>C20/(C7-0.03)</f>
        <v>433333.33333333337</v>
      </c>
      <c r="D21" s="131" t="s">
        <v>67</v>
      </c>
      <c r="F21" s="4"/>
    </row>
    <row r="22" spans="2:6" ht="17" thickBot="1" x14ac:dyDescent="0.25">
      <c r="B22" s="148" t="s">
        <v>68</v>
      </c>
      <c r="C22" s="147"/>
      <c r="D22" s="147"/>
      <c r="E22" s="5"/>
      <c r="F22" s="7"/>
    </row>
    <row r="23" spans="2:6" ht="17" thickBot="1" x14ac:dyDescent="0.25"/>
    <row r="24" spans="2:6" ht="17" thickBot="1" x14ac:dyDescent="0.25">
      <c r="B24" s="149" t="s">
        <v>72</v>
      </c>
      <c r="C24" s="6"/>
      <c r="D24" s="123" t="s">
        <v>123</v>
      </c>
      <c r="E24" s="6"/>
      <c r="F24" s="2"/>
    </row>
    <row r="25" spans="2:6" x14ac:dyDescent="0.2">
      <c r="B25" s="14" t="s">
        <v>8</v>
      </c>
      <c r="C25" s="12">
        <v>180000</v>
      </c>
      <c r="F25" s="4"/>
    </row>
    <row r="26" spans="2:6" x14ac:dyDescent="0.2">
      <c r="B26" s="14" t="s">
        <v>9</v>
      </c>
      <c r="C26" s="77">
        <v>18</v>
      </c>
      <c r="F26" s="4"/>
    </row>
    <row r="27" spans="2:6" x14ac:dyDescent="0.2">
      <c r="B27" s="14" t="s">
        <v>10</v>
      </c>
      <c r="C27" s="121">
        <v>0.06</v>
      </c>
      <c r="F27" s="4"/>
    </row>
    <row r="28" spans="2:6" x14ac:dyDescent="0.2">
      <c r="B28" s="9" t="s">
        <v>11</v>
      </c>
      <c r="C28" s="78">
        <f>-PV(C27,C26,C25,0)</f>
        <v>1948968.6266123871</v>
      </c>
      <c r="D28" s="48" t="s">
        <v>14</v>
      </c>
      <c r="F28" s="4"/>
    </row>
    <row r="29" spans="2:6" x14ac:dyDescent="0.2">
      <c r="B29" s="14" t="s">
        <v>12</v>
      </c>
      <c r="C29" s="77">
        <v>0</v>
      </c>
      <c r="F29" s="4"/>
    </row>
    <row r="30" spans="2:6" x14ac:dyDescent="0.2">
      <c r="B30" s="3"/>
      <c r="C30" s="77"/>
      <c r="F30" s="4"/>
    </row>
    <row r="31" spans="2:6" x14ac:dyDescent="0.2">
      <c r="B31" s="84" t="s">
        <v>73</v>
      </c>
      <c r="C31" s="13"/>
      <c r="F31" s="4"/>
    </row>
    <row r="32" spans="2:6" x14ac:dyDescent="0.2">
      <c r="B32" s="14" t="s">
        <v>8</v>
      </c>
      <c r="C32" s="12">
        <v>180000</v>
      </c>
      <c r="F32" s="4"/>
    </row>
    <row r="33" spans="2:6" x14ac:dyDescent="0.2">
      <c r="B33" s="14" t="s">
        <v>9</v>
      </c>
      <c r="C33" s="77">
        <v>18</v>
      </c>
      <c r="F33" s="4"/>
    </row>
    <row r="34" spans="2:6" x14ac:dyDescent="0.2">
      <c r="B34" s="14" t="s">
        <v>10</v>
      </c>
      <c r="C34" s="121">
        <v>0.06</v>
      </c>
      <c r="D34" s="47"/>
      <c r="F34" s="4"/>
    </row>
    <row r="35" spans="2:6" x14ac:dyDescent="0.2">
      <c r="B35" s="9" t="s">
        <v>11</v>
      </c>
      <c r="C35" s="78">
        <f>-PV(C34,C33,C32,0,1)</f>
        <v>2065906.7442091305</v>
      </c>
      <c r="D35" s="48" t="s">
        <v>14</v>
      </c>
      <c r="E35" s="13"/>
      <c r="F35" s="4"/>
    </row>
    <row r="36" spans="2:6" x14ac:dyDescent="0.2">
      <c r="B36" s="14" t="s">
        <v>12</v>
      </c>
      <c r="C36" s="77">
        <v>0</v>
      </c>
      <c r="F36" s="4"/>
    </row>
    <row r="37" spans="2:6" x14ac:dyDescent="0.2">
      <c r="B37" s="85" t="s">
        <v>33</v>
      </c>
      <c r="C37" s="13"/>
      <c r="F37" s="4"/>
    </row>
    <row r="38" spans="2:6" x14ac:dyDescent="0.2">
      <c r="B38" s="124" t="s">
        <v>47</v>
      </c>
      <c r="C38" s="13"/>
      <c r="F38" s="4"/>
    </row>
    <row r="39" spans="2:6" x14ac:dyDescent="0.2">
      <c r="B39" s="127" t="s">
        <v>88</v>
      </c>
      <c r="C39" s="13"/>
      <c r="F39" s="4"/>
    </row>
    <row r="40" spans="2:6" x14ac:dyDescent="0.2">
      <c r="B40" s="127" t="s">
        <v>48</v>
      </c>
      <c r="C40" s="13"/>
      <c r="F40" s="4"/>
    </row>
    <row r="41" spans="2:6" x14ac:dyDescent="0.2">
      <c r="B41" s="84" t="s">
        <v>74</v>
      </c>
      <c r="C41" s="13"/>
      <c r="F41" s="4"/>
    </row>
    <row r="42" spans="2:6" x14ac:dyDescent="0.2">
      <c r="B42" s="68" t="s">
        <v>8</v>
      </c>
      <c r="C42" s="69">
        <v>180000</v>
      </c>
      <c r="F42" s="4"/>
    </row>
    <row r="43" spans="2:6" x14ac:dyDescent="0.2">
      <c r="B43" s="68" t="s">
        <v>38</v>
      </c>
      <c r="C43" s="70">
        <v>0.02</v>
      </c>
      <c r="F43" s="4"/>
    </row>
    <row r="44" spans="2:6" x14ac:dyDescent="0.2">
      <c r="B44" s="68" t="s">
        <v>9</v>
      </c>
      <c r="C44" s="79">
        <v>18</v>
      </c>
      <c r="F44" s="4"/>
    </row>
    <row r="45" spans="2:6" x14ac:dyDescent="0.2">
      <c r="B45" s="14" t="s">
        <v>10</v>
      </c>
      <c r="C45" s="122">
        <v>0.06</v>
      </c>
      <c r="F45" s="4"/>
    </row>
    <row r="46" spans="2:6" x14ac:dyDescent="0.2">
      <c r="B46" s="86" t="s">
        <v>39</v>
      </c>
      <c r="C46" s="74">
        <f>C42/(C45-C43)-C42/(C45-C43)*((1+C43)^C44/(1+C45)^C44)</f>
        <v>2248302.5773113086</v>
      </c>
      <c r="D46" s="52" t="s">
        <v>40</v>
      </c>
      <c r="F46" s="4"/>
    </row>
    <row r="47" spans="2:6" x14ac:dyDescent="0.2">
      <c r="B47" s="10"/>
      <c r="C47" s="45"/>
      <c r="D47" s="46"/>
      <c r="F47" s="4"/>
    </row>
    <row r="48" spans="2:6" x14ac:dyDescent="0.2">
      <c r="B48" s="87" t="s">
        <v>41</v>
      </c>
      <c r="C48" s="13"/>
      <c r="F48" s="4"/>
    </row>
    <row r="49" spans="2:6" x14ac:dyDescent="0.2">
      <c r="B49" s="88" t="s">
        <v>77</v>
      </c>
      <c r="C49" s="13"/>
      <c r="D49" s="46"/>
      <c r="F49" s="4"/>
    </row>
    <row r="50" spans="2:6" x14ac:dyDescent="0.2">
      <c r="B50" s="87" t="s">
        <v>45</v>
      </c>
      <c r="C50" s="13"/>
      <c r="F50" s="4"/>
    </row>
    <row r="51" spans="2:6" x14ac:dyDescent="0.2">
      <c r="B51" s="3"/>
      <c r="C51" s="45"/>
      <c r="D51" s="11"/>
      <c r="E51" s="60"/>
      <c r="F51" s="61"/>
    </row>
    <row r="52" spans="2:6" x14ac:dyDescent="0.2">
      <c r="B52" s="84" t="s">
        <v>75</v>
      </c>
      <c r="C52" s="45"/>
      <c r="D52" s="11"/>
      <c r="E52" s="60"/>
      <c r="F52" s="61"/>
    </row>
    <row r="53" spans="2:6" x14ac:dyDescent="0.2">
      <c r="B53" s="14" t="s">
        <v>8</v>
      </c>
      <c r="C53" s="12">
        <v>180000</v>
      </c>
      <c r="E53" s="60"/>
      <c r="F53" s="61"/>
    </row>
    <row r="54" spans="2:6" x14ac:dyDescent="0.2">
      <c r="B54" s="14" t="s">
        <v>9</v>
      </c>
      <c r="C54" s="77">
        <v>18</v>
      </c>
      <c r="E54" s="60"/>
      <c r="F54" s="61"/>
    </row>
    <row r="55" spans="2:6" x14ac:dyDescent="0.2">
      <c r="B55" s="14" t="s">
        <v>10</v>
      </c>
      <c r="C55" s="121">
        <v>0.08</v>
      </c>
      <c r="D55" s="52" t="s">
        <v>89</v>
      </c>
      <c r="E55" s="60"/>
      <c r="F55" s="61"/>
    </row>
    <row r="56" spans="2:6" x14ac:dyDescent="0.2">
      <c r="B56" s="9" t="s">
        <v>11</v>
      </c>
      <c r="C56" s="78">
        <f>-PV(C55,C54,C53,0)</f>
        <v>1686939.6844887941</v>
      </c>
      <c r="D56" s="48" t="s">
        <v>14</v>
      </c>
      <c r="E56" s="60"/>
      <c r="F56" s="61"/>
    </row>
    <row r="57" spans="2:6" x14ac:dyDescent="0.2">
      <c r="B57" s="14" t="s">
        <v>12</v>
      </c>
      <c r="C57" s="77">
        <v>0</v>
      </c>
      <c r="E57" s="60"/>
      <c r="F57" s="61"/>
    </row>
    <row r="58" spans="2:6" x14ac:dyDescent="0.2">
      <c r="B58" s="3"/>
      <c r="C58" s="45"/>
      <c r="D58" s="11"/>
      <c r="E58" s="60"/>
      <c r="F58" s="61"/>
    </row>
    <row r="59" spans="2:6" x14ac:dyDescent="0.2">
      <c r="B59" s="84" t="s">
        <v>76</v>
      </c>
      <c r="C59" s="45"/>
      <c r="D59" s="11"/>
      <c r="E59" s="60"/>
      <c r="F59" s="61"/>
    </row>
    <row r="60" spans="2:6" x14ac:dyDescent="0.2">
      <c r="B60" s="14" t="s">
        <v>8</v>
      </c>
      <c r="C60" s="12">
        <v>180000</v>
      </c>
      <c r="E60" s="60"/>
      <c r="F60" s="61"/>
    </row>
    <row r="61" spans="2:6" x14ac:dyDescent="0.2">
      <c r="B61" s="14" t="s">
        <v>9</v>
      </c>
      <c r="C61" s="77">
        <v>18</v>
      </c>
      <c r="E61" s="60"/>
      <c r="F61" s="61"/>
    </row>
    <row r="62" spans="2:6" x14ac:dyDescent="0.2">
      <c r="B62" s="14" t="s">
        <v>10</v>
      </c>
      <c r="C62" s="73">
        <v>0.05</v>
      </c>
      <c r="D62" s="52" t="s">
        <v>90</v>
      </c>
      <c r="E62" s="60"/>
      <c r="F62" s="61"/>
    </row>
    <row r="63" spans="2:6" x14ac:dyDescent="0.2">
      <c r="B63" s="14" t="s">
        <v>11</v>
      </c>
      <c r="C63" s="82">
        <v>0</v>
      </c>
      <c r="E63" s="60"/>
      <c r="F63" s="61"/>
    </row>
    <row r="64" spans="2:6" x14ac:dyDescent="0.2">
      <c r="B64" s="9" t="s">
        <v>12</v>
      </c>
      <c r="C64" s="81">
        <f>-FV(C62,C61,C60,C63)</f>
        <v>5063829.2412879048</v>
      </c>
      <c r="D64" s="83" t="s">
        <v>42</v>
      </c>
      <c r="E64" s="60"/>
      <c r="F64" s="61"/>
    </row>
    <row r="65" spans="2:6" x14ac:dyDescent="0.2">
      <c r="B65" s="3"/>
      <c r="C65" s="45"/>
      <c r="D65" s="52" t="s">
        <v>92</v>
      </c>
      <c r="E65" s="60"/>
      <c r="F65" s="61"/>
    </row>
    <row r="66" spans="2:6" x14ac:dyDescent="0.2">
      <c r="B66" s="3"/>
      <c r="C66" s="45"/>
      <c r="D66" s="60"/>
      <c r="E66" s="60"/>
      <c r="F66" s="61"/>
    </row>
    <row r="67" spans="2:6" x14ac:dyDescent="0.2">
      <c r="B67" s="14" t="s">
        <v>8</v>
      </c>
      <c r="C67" s="12">
        <v>180000</v>
      </c>
      <c r="D67" s="60"/>
      <c r="E67" s="60"/>
      <c r="F67" s="61"/>
    </row>
    <row r="68" spans="2:6" x14ac:dyDescent="0.2">
      <c r="B68" s="14" t="s">
        <v>9</v>
      </c>
      <c r="C68" s="77">
        <v>18</v>
      </c>
      <c r="D68" s="60"/>
      <c r="E68" s="60"/>
      <c r="F68" s="61"/>
    </row>
    <row r="69" spans="2:6" x14ac:dyDescent="0.2">
      <c r="B69" s="14" t="s">
        <v>10</v>
      </c>
      <c r="C69" s="73">
        <v>7.0000000000000007E-2</v>
      </c>
      <c r="D69" s="52" t="s">
        <v>91</v>
      </c>
      <c r="E69" s="60"/>
      <c r="F69" s="61"/>
    </row>
    <row r="70" spans="2:6" x14ac:dyDescent="0.2">
      <c r="B70" s="14" t="s">
        <v>11</v>
      </c>
      <c r="C70" s="80">
        <v>0</v>
      </c>
      <c r="D70" s="60"/>
      <c r="E70" s="60"/>
      <c r="F70" s="61"/>
    </row>
    <row r="71" spans="2:6" x14ac:dyDescent="0.2">
      <c r="B71" s="9" t="s">
        <v>12</v>
      </c>
      <c r="C71" s="81">
        <f>-FV(C69,C68,C67,C70)</f>
        <v>6119825.8518836619</v>
      </c>
      <c r="D71" s="83" t="s">
        <v>42</v>
      </c>
      <c r="E71" s="60"/>
      <c r="F71" s="61"/>
    </row>
    <row r="72" spans="2:6" ht="17" thickBot="1" x14ac:dyDescent="0.25">
      <c r="B72" s="116"/>
      <c r="C72" s="117"/>
      <c r="D72" s="118"/>
      <c r="E72" s="118"/>
      <c r="F72" s="119"/>
    </row>
    <row r="73" spans="2:6" ht="17" thickBot="1" x14ac:dyDescent="0.25">
      <c r="C73" s="45"/>
      <c r="D73" s="60"/>
      <c r="E73" s="60"/>
      <c r="F73" s="67"/>
    </row>
    <row r="74" spans="2:6" ht="17" thickBot="1" x14ac:dyDescent="0.25">
      <c r="B74" s="125" t="s">
        <v>13</v>
      </c>
      <c r="C74" s="191">
        <v>7.0000000000000007E-2</v>
      </c>
      <c r="D74" s="145" t="s">
        <v>94</v>
      </c>
      <c r="E74" s="6"/>
      <c r="F74" s="2"/>
    </row>
    <row r="75" spans="2:6" x14ac:dyDescent="0.2">
      <c r="B75" s="9" t="s">
        <v>8</v>
      </c>
      <c r="C75" s="78">
        <f>PMT(C77,C76,C78,C79)</f>
        <v>-2322.1695843724815</v>
      </c>
      <c r="D75" s="16" t="s">
        <v>80</v>
      </c>
      <c r="F75" s="4"/>
    </row>
    <row r="76" spans="2:6" x14ac:dyDescent="0.2">
      <c r="B76" s="14" t="s">
        <v>9</v>
      </c>
      <c r="C76" s="90">
        <v>120</v>
      </c>
      <c r="D76" s="16"/>
      <c r="F76" s="4"/>
    </row>
    <row r="77" spans="2:6" x14ac:dyDescent="0.2">
      <c r="B77" s="14" t="s">
        <v>10</v>
      </c>
      <c r="C77" s="121">
        <f>C74/12</f>
        <v>5.8333333333333336E-3</v>
      </c>
      <c r="D77" s="131" t="s">
        <v>81</v>
      </c>
      <c r="F77" s="4"/>
    </row>
    <row r="78" spans="2:6" x14ac:dyDescent="0.2">
      <c r="B78" s="14" t="s">
        <v>11</v>
      </c>
      <c r="C78" s="77">
        <v>200000</v>
      </c>
      <c r="F78" s="4"/>
    </row>
    <row r="79" spans="2:6" ht="17" thickBot="1" x14ac:dyDescent="0.25">
      <c r="B79" s="15" t="s">
        <v>12</v>
      </c>
      <c r="C79" s="91">
        <v>0</v>
      </c>
      <c r="D79" s="5"/>
      <c r="E79" s="5"/>
      <c r="F79" s="7"/>
    </row>
    <row r="80" spans="2:6" ht="17" thickBot="1" x14ac:dyDescent="0.25"/>
    <row r="81" spans="2:6" ht="17" thickBot="1" x14ac:dyDescent="0.25">
      <c r="B81" s="125" t="s">
        <v>15</v>
      </c>
      <c r="C81" s="6"/>
      <c r="D81" s="6"/>
      <c r="E81" s="6"/>
      <c r="F81" s="2"/>
    </row>
    <row r="82" spans="2:6" x14ac:dyDescent="0.2">
      <c r="B82" s="127" t="s">
        <v>105</v>
      </c>
      <c r="C82" s="212"/>
      <c r="D82" s="212"/>
      <c r="E82" s="212"/>
      <c r="F82" s="4"/>
    </row>
    <row r="83" spans="2:6" x14ac:dyDescent="0.2">
      <c r="B83" s="127" t="s">
        <v>106</v>
      </c>
      <c r="C83" s="212"/>
      <c r="D83" s="212"/>
      <c r="E83" s="212"/>
      <c r="F83" s="4"/>
    </row>
    <row r="84" spans="2:6" x14ac:dyDescent="0.2">
      <c r="B84" s="127" t="s">
        <v>107</v>
      </c>
      <c r="C84" s="212"/>
      <c r="D84" s="212"/>
      <c r="E84" s="212"/>
      <c r="F84" s="4"/>
    </row>
    <row r="85" spans="2:6" x14ac:dyDescent="0.2">
      <c r="B85" s="127"/>
      <c r="C85" s="212"/>
      <c r="D85" s="212"/>
      <c r="E85" s="212"/>
      <c r="F85" s="4"/>
    </row>
    <row r="86" spans="2:6" x14ac:dyDescent="0.2">
      <c r="B86" s="9" t="s">
        <v>8</v>
      </c>
      <c r="C86" s="80">
        <v>-2322.1695843724815</v>
      </c>
      <c r="D86" s="214" t="s">
        <v>108</v>
      </c>
      <c r="E86" s="212"/>
      <c r="F86" s="4"/>
    </row>
    <row r="87" spans="2:6" x14ac:dyDescent="0.2">
      <c r="B87" s="14" t="s">
        <v>110</v>
      </c>
      <c r="C87" s="215">
        <f>NPER(C89,C86,C90,C91,0)</f>
        <v>49.736362044447915</v>
      </c>
      <c r="D87" s="216" t="s">
        <v>104</v>
      </c>
      <c r="E87" s="212"/>
      <c r="F87" s="4"/>
    </row>
    <row r="88" spans="2:6" x14ac:dyDescent="0.2">
      <c r="B88" s="210" t="s">
        <v>111</v>
      </c>
      <c r="C88" s="217">
        <f>120-C87</f>
        <v>70.263637955552085</v>
      </c>
      <c r="D88" s="218" t="s">
        <v>112</v>
      </c>
      <c r="E88" s="219"/>
      <c r="F88" s="220"/>
    </row>
    <row r="89" spans="2:6" x14ac:dyDescent="0.2">
      <c r="B89" s="14" t="s">
        <v>10</v>
      </c>
      <c r="C89" s="121">
        <f>7%/12</f>
        <v>5.8333333333333336E-3</v>
      </c>
      <c r="D89" s="212"/>
      <c r="E89" s="212"/>
      <c r="F89" s="4"/>
    </row>
    <row r="90" spans="2:6" x14ac:dyDescent="0.2">
      <c r="B90" s="14" t="s">
        <v>11</v>
      </c>
      <c r="C90" s="221">
        <v>100000</v>
      </c>
      <c r="D90" s="214" t="s">
        <v>109</v>
      </c>
      <c r="E90" s="222"/>
      <c r="F90" s="4"/>
    </row>
    <row r="91" spans="2:6" x14ac:dyDescent="0.2">
      <c r="B91" s="14" t="s">
        <v>12</v>
      </c>
      <c r="C91" s="12">
        <v>0</v>
      </c>
      <c r="D91" s="212"/>
      <c r="E91" s="212"/>
      <c r="F91" s="4"/>
    </row>
    <row r="92" spans="2:6" x14ac:dyDescent="0.2">
      <c r="B92" s="3"/>
      <c r="C92" s="12"/>
      <c r="D92" s="212"/>
      <c r="E92" s="212"/>
      <c r="F92" s="4"/>
    </row>
    <row r="93" spans="2:6" x14ac:dyDescent="0.2">
      <c r="B93" s="127" t="s">
        <v>122</v>
      </c>
      <c r="C93" s="12"/>
      <c r="D93" s="212"/>
      <c r="E93" s="212"/>
      <c r="F93" s="4"/>
    </row>
    <row r="94" spans="2:6" x14ac:dyDescent="0.2">
      <c r="B94" s="3"/>
      <c r="C94" s="12"/>
      <c r="D94" s="212"/>
      <c r="E94" s="212"/>
      <c r="F94" s="4"/>
    </row>
    <row r="95" spans="2:6" x14ac:dyDescent="0.2">
      <c r="B95" s="210" t="s">
        <v>94</v>
      </c>
      <c r="C95" s="213">
        <v>7.0000000000000007E-2</v>
      </c>
      <c r="D95" s="212"/>
      <c r="E95" s="212"/>
      <c r="F95" s="4"/>
    </row>
    <row r="96" spans="2:6" x14ac:dyDescent="0.2">
      <c r="B96" s="14" t="s">
        <v>8</v>
      </c>
      <c r="C96" s="80">
        <f>PMT(C98,C97,C99,C100)</f>
        <v>-2322.1695843724815</v>
      </c>
      <c r="D96" s="212"/>
      <c r="E96" s="212"/>
      <c r="F96" s="4"/>
    </row>
    <row r="97" spans="2:6" x14ac:dyDescent="0.2">
      <c r="B97" s="14" t="s">
        <v>9</v>
      </c>
      <c r="C97" s="223">
        <v>120</v>
      </c>
      <c r="D97" s="212"/>
      <c r="E97" s="212"/>
      <c r="F97" s="4"/>
    </row>
    <row r="98" spans="2:6" x14ac:dyDescent="0.2">
      <c r="B98" s="14" t="s">
        <v>10</v>
      </c>
      <c r="C98" s="121">
        <f>C95/12</f>
        <v>5.8333333333333336E-3</v>
      </c>
      <c r="D98" s="212"/>
      <c r="E98" s="212"/>
      <c r="F98" s="4"/>
    </row>
    <row r="99" spans="2:6" x14ac:dyDescent="0.2">
      <c r="B99" s="14" t="s">
        <v>11</v>
      </c>
      <c r="C99" s="221">
        <v>200000</v>
      </c>
      <c r="D99" s="212"/>
      <c r="E99" s="212"/>
      <c r="F99" s="4"/>
    </row>
    <row r="100" spans="2:6" x14ac:dyDescent="0.2">
      <c r="B100" s="224" t="s">
        <v>12</v>
      </c>
      <c r="C100" s="12">
        <v>0</v>
      </c>
      <c r="D100" s="212"/>
      <c r="E100" s="212"/>
      <c r="F100" s="4"/>
    </row>
    <row r="101" spans="2:6" x14ac:dyDescent="0.2">
      <c r="B101" s="141" t="s">
        <v>116</v>
      </c>
      <c r="C101" s="12">
        <v>1</v>
      </c>
      <c r="D101" s="212"/>
      <c r="E101" s="212"/>
      <c r="F101" s="4"/>
    </row>
    <row r="102" spans="2:6" x14ac:dyDescent="0.2">
      <c r="B102" s="86" t="s">
        <v>117</v>
      </c>
      <c r="C102" s="81">
        <v>71</v>
      </c>
      <c r="D102" s="214" t="s">
        <v>120</v>
      </c>
      <c r="E102" s="212"/>
      <c r="F102" s="4"/>
    </row>
    <row r="103" spans="2:6" x14ac:dyDescent="0.2">
      <c r="B103" s="141" t="s">
        <v>118</v>
      </c>
      <c r="C103" s="221">
        <f>CUMPRINC(C98,C97,C99,C101,C102,0)</f>
        <v>-101279.43086201703</v>
      </c>
      <c r="D103" s="211" t="s">
        <v>119</v>
      </c>
      <c r="E103" s="212"/>
      <c r="F103" s="4"/>
    </row>
    <row r="104" spans="2:6" x14ac:dyDescent="0.2">
      <c r="B104" s="3"/>
      <c r="C104" s="12"/>
      <c r="D104" s="212"/>
      <c r="E104" s="212"/>
      <c r="F104" s="4"/>
    </row>
    <row r="105" spans="2:6" x14ac:dyDescent="0.2">
      <c r="B105" s="127" t="s">
        <v>121</v>
      </c>
      <c r="C105" s="12"/>
      <c r="D105" s="212"/>
      <c r="E105" s="212"/>
      <c r="F105" s="4"/>
    </row>
    <row r="106" spans="2:6" ht="17" thickBot="1" x14ac:dyDescent="0.25">
      <c r="B106" s="116"/>
      <c r="C106" s="91"/>
      <c r="D106" s="5"/>
      <c r="E106" s="5"/>
      <c r="F106" s="7"/>
    </row>
    <row r="107" spans="2:6" ht="17" thickBot="1" x14ac:dyDescent="0.25">
      <c r="C107" s="12"/>
    </row>
    <row r="108" spans="2:6" ht="17" thickBot="1" x14ac:dyDescent="0.25">
      <c r="B108" s="8" t="s">
        <v>16</v>
      </c>
      <c r="C108" s="6"/>
      <c r="D108" s="6"/>
      <c r="E108" s="6"/>
      <c r="F108" s="2"/>
    </row>
    <row r="109" spans="2:6" x14ac:dyDescent="0.2">
      <c r="B109" s="9" t="s">
        <v>8</v>
      </c>
      <c r="C109" s="78">
        <f>PMT(C113,C111,C114,C115)</f>
        <v>-54309.289473042227</v>
      </c>
      <c r="D109" s="16" t="s">
        <v>113</v>
      </c>
      <c r="F109" s="4"/>
    </row>
    <row r="110" spans="2:6" x14ac:dyDescent="0.2">
      <c r="B110" s="9" t="s">
        <v>8</v>
      </c>
      <c r="C110" s="78">
        <f>PMT(C112,C111,C114,C115)</f>
        <v>-35895.435918653064</v>
      </c>
      <c r="D110" s="16" t="s">
        <v>82</v>
      </c>
      <c r="F110" s="4"/>
    </row>
    <row r="111" spans="2:6" x14ac:dyDescent="0.2">
      <c r="B111" s="14" t="s">
        <v>9</v>
      </c>
      <c r="C111" s="90">
        <v>35</v>
      </c>
      <c r="F111" s="4"/>
    </row>
    <row r="112" spans="2:6" x14ac:dyDescent="0.2">
      <c r="B112" s="14" t="s">
        <v>49</v>
      </c>
      <c r="C112" s="73">
        <v>0.06</v>
      </c>
      <c r="F112" s="4"/>
    </row>
    <row r="113" spans="2:6" x14ac:dyDescent="0.2">
      <c r="B113" s="14" t="s">
        <v>50</v>
      </c>
      <c r="C113" s="73">
        <v>0.04</v>
      </c>
      <c r="F113" s="4"/>
    </row>
    <row r="114" spans="2:6" x14ac:dyDescent="0.2">
      <c r="B114" s="14" t="s">
        <v>11</v>
      </c>
      <c r="C114" s="72">
        <v>0</v>
      </c>
      <c r="F114" s="4"/>
    </row>
    <row r="115" spans="2:6" ht="17" thickBot="1" x14ac:dyDescent="0.25">
      <c r="B115" s="15" t="s">
        <v>12</v>
      </c>
      <c r="C115" s="91">
        <v>4000000</v>
      </c>
      <c r="D115" s="5"/>
      <c r="E115" s="5"/>
      <c r="F115" s="7"/>
    </row>
    <row r="116" spans="2:6" ht="17" thickBot="1" x14ac:dyDescent="0.25">
      <c r="B116" s="21"/>
      <c r="C116" s="12"/>
    </row>
    <row r="117" spans="2:6" ht="17" thickBot="1" x14ac:dyDescent="0.25">
      <c r="B117" s="8" t="s">
        <v>27</v>
      </c>
      <c r="C117" s="92"/>
      <c r="D117" s="6"/>
      <c r="E117" s="6"/>
      <c r="F117" s="2"/>
    </row>
    <row r="118" spans="2:6" x14ac:dyDescent="0.2">
      <c r="B118" s="14" t="s">
        <v>8</v>
      </c>
      <c r="C118" s="94">
        <v>300000</v>
      </c>
      <c r="F118" s="4"/>
    </row>
    <row r="119" spans="2:6" x14ac:dyDescent="0.2">
      <c r="B119" s="14" t="s">
        <v>9</v>
      </c>
      <c r="C119" s="19">
        <v>25</v>
      </c>
      <c r="F119" s="4"/>
    </row>
    <row r="120" spans="2:6" x14ac:dyDescent="0.2">
      <c r="B120" s="14" t="s">
        <v>10</v>
      </c>
      <c r="C120" s="71">
        <v>0.06</v>
      </c>
      <c r="F120" s="4"/>
    </row>
    <row r="121" spans="2:6" x14ac:dyDescent="0.2">
      <c r="B121" s="9" t="s">
        <v>11</v>
      </c>
      <c r="C121" s="95">
        <f>-PV(C120,C119,C118,0)</f>
        <v>3835006.8474805239</v>
      </c>
      <c r="D121" s="48" t="s">
        <v>14</v>
      </c>
      <c r="F121" s="4"/>
    </row>
    <row r="122" spans="2:6" ht="17" thickBot="1" x14ac:dyDescent="0.25">
      <c r="B122" s="15" t="s">
        <v>12</v>
      </c>
      <c r="C122" s="93">
        <v>0</v>
      </c>
      <c r="D122" s="5"/>
      <c r="E122" s="5"/>
      <c r="F122" s="7"/>
    </row>
    <row r="123" spans="2:6" ht="17" thickBot="1" x14ac:dyDescent="0.25">
      <c r="B123" s="89"/>
      <c r="D123" s="13"/>
      <c r="E123" s="13"/>
      <c r="F123" s="13"/>
    </row>
    <row r="124" spans="2:6" ht="17" thickBot="1" x14ac:dyDescent="0.25">
      <c r="B124" s="8" t="s">
        <v>51</v>
      </c>
      <c r="C124" s="92"/>
      <c r="D124" s="6"/>
      <c r="E124" s="6"/>
      <c r="F124" s="2"/>
    </row>
    <row r="125" spans="2:6" x14ac:dyDescent="0.2">
      <c r="B125" s="14" t="s">
        <v>8</v>
      </c>
      <c r="C125" s="94">
        <v>0</v>
      </c>
      <c r="F125" s="4"/>
    </row>
    <row r="126" spans="2:6" x14ac:dyDescent="0.2">
      <c r="B126" s="14" t="s">
        <v>9</v>
      </c>
      <c r="C126" s="19">
        <v>100</v>
      </c>
      <c r="F126" s="4"/>
    </row>
    <row r="127" spans="2:6" x14ac:dyDescent="0.2">
      <c r="B127" s="14" t="s">
        <v>10</v>
      </c>
      <c r="C127" s="130">
        <f>RATE(C126,C125,C128,C129)</f>
        <v>6.9999999684734998E-2</v>
      </c>
      <c r="D127" s="83" t="s">
        <v>17</v>
      </c>
      <c r="F127" s="4"/>
    </row>
    <row r="128" spans="2:6" x14ac:dyDescent="0.2">
      <c r="B128" s="9" t="s">
        <v>11</v>
      </c>
      <c r="C128" s="128">
        <v>-10000</v>
      </c>
      <c r="D128" s="48"/>
      <c r="F128" s="4"/>
    </row>
    <row r="129" spans="2:6" ht="17" thickBot="1" x14ac:dyDescent="0.25">
      <c r="B129" s="15" t="s">
        <v>12</v>
      </c>
      <c r="C129" s="129">
        <v>8677163</v>
      </c>
      <c r="D129" s="5"/>
      <c r="E129" s="5"/>
      <c r="F129" s="7"/>
    </row>
    <row r="130" spans="2:6" ht="17" thickBot="1" x14ac:dyDescent="0.25"/>
    <row r="131" spans="2:6" ht="17" thickBot="1" x14ac:dyDescent="0.25">
      <c r="B131" s="8" t="s">
        <v>114</v>
      </c>
      <c r="C131" s="6"/>
      <c r="D131" s="126"/>
      <c r="E131" s="126"/>
      <c r="F131" s="2"/>
    </row>
    <row r="132" spans="2:6" x14ac:dyDescent="0.2">
      <c r="B132" s="14"/>
      <c r="C132" s="56"/>
      <c r="D132" s="52"/>
      <c r="F132" s="4"/>
    </row>
    <row r="133" spans="2:6" x14ac:dyDescent="0.2">
      <c r="B133" s="14" t="s">
        <v>8</v>
      </c>
      <c r="C133" s="108">
        <v>9826</v>
      </c>
      <c r="D133" s="52"/>
      <c r="F133" s="4"/>
    </row>
    <row r="134" spans="2:6" x14ac:dyDescent="0.2">
      <c r="B134" s="14" t="s">
        <v>9</v>
      </c>
      <c r="C134" s="108">
        <v>120</v>
      </c>
      <c r="D134" s="59" t="s">
        <v>30</v>
      </c>
      <c r="F134" s="4"/>
    </row>
    <row r="135" spans="2:6" x14ac:dyDescent="0.2">
      <c r="B135" s="9" t="s">
        <v>18</v>
      </c>
      <c r="C135" s="110">
        <f>RATE(C134,C133,C137,C138,0)</f>
        <v>2.8051108520066943E-3</v>
      </c>
      <c r="D135" s="83" t="s">
        <v>17</v>
      </c>
      <c r="F135" s="4"/>
    </row>
    <row r="136" spans="2:6" x14ac:dyDescent="0.2">
      <c r="B136" s="9" t="s">
        <v>19</v>
      </c>
      <c r="C136" s="106">
        <f>(1+C135)^12-1</f>
        <v>3.4185547639077773E-2</v>
      </c>
      <c r="D136" s="17" t="s">
        <v>20</v>
      </c>
      <c r="F136" s="4"/>
    </row>
    <row r="137" spans="2:6" x14ac:dyDescent="0.2">
      <c r="B137" s="14" t="s">
        <v>11</v>
      </c>
      <c r="C137" s="109">
        <v>-1000000</v>
      </c>
      <c r="F137" s="4"/>
    </row>
    <row r="138" spans="2:6" x14ac:dyDescent="0.2">
      <c r="B138" s="14" t="s">
        <v>12</v>
      </c>
      <c r="C138" s="107">
        <v>0</v>
      </c>
      <c r="F138" s="4"/>
    </row>
    <row r="139" spans="2:6" x14ac:dyDescent="0.2">
      <c r="B139" s="14"/>
      <c r="C139" s="107"/>
      <c r="F139" s="4"/>
    </row>
    <row r="140" spans="2:6" x14ac:dyDescent="0.2">
      <c r="B140" s="140" t="s">
        <v>56</v>
      </c>
      <c r="C140" s="107"/>
      <c r="F140" s="4"/>
    </row>
    <row r="141" spans="2:6" x14ac:dyDescent="0.2">
      <c r="B141" s="141" t="s">
        <v>18</v>
      </c>
      <c r="C141" s="138">
        <f>C135</f>
        <v>2.8051108520066943E-3</v>
      </c>
      <c r="F141" s="4"/>
    </row>
    <row r="142" spans="2:6" x14ac:dyDescent="0.2">
      <c r="B142" s="141" t="s">
        <v>53</v>
      </c>
      <c r="C142" s="139">
        <f>C141*12</f>
        <v>3.3661330224080334E-2</v>
      </c>
      <c r="D142" s="131" t="s">
        <v>115</v>
      </c>
      <c r="F142" s="4"/>
    </row>
    <row r="143" spans="2:6" ht="17" thickBot="1" x14ac:dyDescent="0.25">
      <c r="B143" s="142" t="s">
        <v>54</v>
      </c>
      <c r="C143" s="143">
        <f>EFFECT(C142,12)</f>
        <v>3.4185547639077773E-2</v>
      </c>
      <c r="D143" s="144" t="s">
        <v>55</v>
      </c>
      <c r="E143" s="5"/>
      <c r="F143" s="7"/>
    </row>
    <row r="157" spans="2:3" x14ac:dyDescent="0.2">
      <c r="B157" s="132"/>
      <c r="C157" s="18"/>
    </row>
    <row r="158" spans="2:3" x14ac:dyDescent="0.2">
      <c r="B158" s="133"/>
      <c r="C158" s="18"/>
    </row>
    <row r="159" spans="2:3" x14ac:dyDescent="0.2">
      <c r="B159" s="134"/>
      <c r="C159" s="18"/>
    </row>
    <row r="160" spans="2:3" x14ac:dyDescent="0.2">
      <c r="B160" s="103"/>
      <c r="C160" s="18"/>
    </row>
    <row r="161" spans="2:9" x14ac:dyDescent="0.2">
      <c r="B161" s="132"/>
      <c r="C161" s="18"/>
    </row>
    <row r="162" spans="2:9" x14ac:dyDescent="0.2">
      <c r="B162" s="131"/>
      <c r="C162" s="18"/>
    </row>
    <row r="163" spans="2:9" x14ac:dyDescent="0.2">
      <c r="B163" s="135"/>
    </row>
    <row r="164" spans="2:9" x14ac:dyDescent="0.2">
      <c r="B164" s="136"/>
      <c r="C164" s="18"/>
    </row>
    <row r="165" spans="2:9" x14ac:dyDescent="0.2">
      <c r="B165" s="136"/>
      <c r="C165" s="18"/>
    </row>
    <row r="166" spans="2:9" x14ac:dyDescent="0.2">
      <c r="B166" s="137"/>
      <c r="C166" s="18"/>
    </row>
    <row r="167" spans="2:9" x14ac:dyDescent="0.2">
      <c r="B167" s="136"/>
      <c r="C167" s="18"/>
    </row>
    <row r="168" spans="2:9" x14ac:dyDescent="0.2">
      <c r="B168" s="136"/>
      <c r="C168" s="18"/>
    </row>
    <row r="169" spans="2:9" x14ac:dyDescent="0.2">
      <c r="B169" s="136"/>
      <c r="C169" s="18"/>
    </row>
    <row r="170" spans="2:9" x14ac:dyDescent="0.2">
      <c r="B170" s="137"/>
      <c r="C170" s="18"/>
    </row>
    <row r="171" spans="2:9" x14ac:dyDescent="0.2">
      <c r="B171" s="135"/>
    </row>
    <row r="172" spans="2:9" x14ac:dyDescent="0.2">
      <c r="B172" s="98"/>
    </row>
    <row r="173" spans="2:9" x14ac:dyDescent="0.2">
      <c r="B173" s="96"/>
    </row>
    <row r="174" spans="2:9" x14ac:dyDescent="0.2">
      <c r="B174" s="97"/>
    </row>
    <row r="175" spans="2:9" x14ac:dyDescent="0.2">
      <c r="B175" s="97"/>
    </row>
    <row r="176" spans="2:9" x14ac:dyDescent="0.2">
      <c r="B176" s="97"/>
      <c r="I176" s="49"/>
    </row>
    <row r="177" spans="2:5" x14ac:dyDescent="0.2">
      <c r="B177" s="97"/>
    </row>
    <row r="178" spans="2:5" x14ac:dyDescent="0.2">
      <c r="B178" s="97"/>
    </row>
    <row r="179" spans="2:5" x14ac:dyDescent="0.2">
      <c r="B179" s="99"/>
    </row>
    <row r="180" spans="2:5" x14ac:dyDescent="0.2">
      <c r="C180" s="100"/>
    </row>
    <row r="182" spans="2:5" x14ac:dyDescent="0.2">
      <c r="B182" s="19"/>
    </row>
    <row r="183" spans="2:5" x14ac:dyDescent="0.2">
      <c r="B183" s="19"/>
    </row>
    <row r="184" spans="2:5" x14ac:dyDescent="0.2">
      <c r="B184" s="19"/>
      <c r="C184" s="20"/>
      <c r="E184" s="101"/>
    </row>
    <row r="185" spans="2:5" x14ac:dyDescent="0.2">
      <c r="B185" s="66"/>
      <c r="C185" s="100"/>
      <c r="D185" s="102"/>
    </row>
    <row r="186" spans="2:5" x14ac:dyDescent="0.2">
      <c r="B186" s="19"/>
    </row>
    <row r="188" spans="2:5" x14ac:dyDescent="0.2">
      <c r="B188" s="66"/>
      <c r="C188" s="100"/>
    </row>
    <row r="190" spans="2:5" x14ac:dyDescent="0.2">
      <c r="B190" s="99"/>
    </row>
    <row r="191" spans="2:5" x14ac:dyDescent="0.2">
      <c r="B191" s="99"/>
      <c r="C191" s="100"/>
    </row>
    <row r="192" spans="2:5" x14ac:dyDescent="0.2">
      <c r="B192" s="19"/>
    </row>
    <row r="193" spans="2:6" x14ac:dyDescent="0.2">
      <c r="B193" s="103"/>
    </row>
    <row r="194" spans="2:6" x14ac:dyDescent="0.2">
      <c r="B194" s="104"/>
    </row>
    <row r="195" spans="2:6" x14ac:dyDescent="0.2">
      <c r="B195" s="105"/>
    </row>
    <row r="197" spans="2:6" x14ac:dyDescent="0.2">
      <c r="B197" s="192"/>
      <c r="C197" s="193"/>
      <c r="D197" s="193"/>
      <c r="E197" s="193"/>
      <c r="F197" s="193"/>
    </row>
    <row r="198" spans="2:6" x14ac:dyDescent="0.2">
      <c r="B198" s="193"/>
      <c r="C198" s="193"/>
      <c r="D198" s="193"/>
      <c r="E198" s="193"/>
      <c r="F198" s="193"/>
    </row>
    <row r="199" spans="2:6" x14ac:dyDescent="0.2">
      <c r="B199" s="193"/>
      <c r="C199" s="193"/>
      <c r="D199" s="193"/>
      <c r="E199" s="193"/>
      <c r="F199" s="193"/>
    </row>
    <row r="200" spans="2:6" x14ac:dyDescent="0.2">
      <c r="B200" s="19"/>
      <c r="C200" s="20"/>
      <c r="D200" s="20"/>
      <c r="E200" s="20"/>
    </row>
    <row r="201" spans="2:6" x14ac:dyDescent="0.2">
      <c r="B201" s="21"/>
      <c r="C201" s="22"/>
    </row>
  </sheetData>
  <mergeCells count="1">
    <mergeCell ref="B197:F199"/>
  </mergeCells>
  <phoneticPr fontId="16" type="noConversion"/>
  <pageMargins left="0.7" right="0.45" top="0.75" bottom="0.75" header="0.3" footer="0.3"/>
  <pageSetup scale="80" orientation="landscape"/>
  <headerFooter>
    <oddHeader>&amp;LCorp Fin 2014 &amp;CHomework 2&amp;R&amp;P of &amp;N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67"/>
  <sheetViews>
    <sheetView showGridLines="0" topLeftCell="A12" zoomScaleNormal="192" zoomScalePageLayoutView="247" workbookViewId="0">
      <selection activeCell="G30" sqref="G30"/>
    </sheetView>
  </sheetViews>
  <sheetFormatPr baseColWidth="10" defaultColWidth="11.5" defaultRowHeight="16" x14ac:dyDescent="0.2"/>
  <cols>
    <col min="1" max="1" width="5.33203125" style="131" customWidth="1"/>
    <col min="2" max="2" width="13.6640625" style="151" customWidth="1"/>
    <col min="3" max="4" width="11.5" style="151"/>
    <col min="5" max="5" width="13" style="131" customWidth="1"/>
    <col min="6" max="6" width="12.1640625" style="131" bestFit="1" customWidth="1"/>
    <col min="7" max="7" width="13.1640625" style="131" customWidth="1"/>
    <col min="8" max="8" width="11.83203125" style="151" bestFit="1" customWidth="1"/>
    <col min="9" max="16384" width="11.5" style="131"/>
  </cols>
  <sheetData>
    <row r="2" spans="2:7" x14ac:dyDescent="0.2">
      <c r="B2" s="150" t="s">
        <v>72</v>
      </c>
      <c r="E2" s="152" t="s">
        <v>32</v>
      </c>
      <c r="F2" s="153">
        <v>0.06</v>
      </c>
    </row>
    <row r="3" spans="2:7" ht="35" thickBot="1" x14ac:dyDescent="0.25">
      <c r="B3" s="154" t="s">
        <v>34</v>
      </c>
      <c r="C3" s="155" t="s">
        <v>23</v>
      </c>
      <c r="D3" s="155" t="s">
        <v>31</v>
      </c>
      <c r="E3" s="155" t="s">
        <v>23</v>
      </c>
      <c r="F3" s="155" t="s">
        <v>24</v>
      </c>
      <c r="G3" s="155" t="s">
        <v>11</v>
      </c>
    </row>
    <row r="4" spans="2:7" x14ac:dyDescent="0.2">
      <c r="B4" s="151">
        <v>0</v>
      </c>
      <c r="C4" s="151">
        <v>1</v>
      </c>
      <c r="D4" s="151">
        <v>2022</v>
      </c>
      <c r="E4" s="156">
        <f>12*15000</f>
        <v>180000</v>
      </c>
      <c r="F4" s="157">
        <f>1/(1+$F$2)^C4</f>
        <v>0.94339622641509424</v>
      </c>
      <c r="G4" s="156">
        <f>F4*E4</f>
        <v>169811.32075471696</v>
      </c>
    </row>
    <row r="5" spans="2:7" x14ac:dyDescent="0.2">
      <c r="B5" s="151">
        <v>1</v>
      </c>
      <c r="C5" s="151">
        <v>2</v>
      </c>
      <c r="D5" s="151">
        <v>2023</v>
      </c>
      <c r="E5" s="156">
        <f t="shared" ref="E5:E21" si="0">12*15000</f>
        <v>180000</v>
      </c>
      <c r="F5" s="157">
        <f t="shared" ref="F5:F20" si="1">1/(1+$F$2)^C5</f>
        <v>0.88999644001423983</v>
      </c>
      <c r="G5" s="156">
        <f t="shared" ref="G5:G20" si="2">F5*E5</f>
        <v>160199.35920256318</v>
      </c>
    </row>
    <row r="6" spans="2:7" x14ac:dyDescent="0.2">
      <c r="B6" s="151">
        <v>2</v>
      </c>
      <c r="C6" s="151">
        <v>3</v>
      </c>
      <c r="D6" s="151">
        <v>2024</v>
      </c>
      <c r="E6" s="156">
        <f t="shared" si="0"/>
        <v>180000</v>
      </c>
      <c r="F6" s="157">
        <f t="shared" si="1"/>
        <v>0.8396192830323016</v>
      </c>
      <c r="G6" s="156">
        <f t="shared" si="2"/>
        <v>151131.47094581428</v>
      </c>
    </row>
    <row r="7" spans="2:7" x14ac:dyDescent="0.2">
      <c r="B7" s="151">
        <v>3</v>
      </c>
      <c r="C7" s="151">
        <v>4</v>
      </c>
      <c r="D7" s="151">
        <v>2025</v>
      </c>
      <c r="E7" s="156">
        <f t="shared" si="0"/>
        <v>180000</v>
      </c>
      <c r="F7" s="157">
        <f t="shared" si="1"/>
        <v>0.79209366323802044</v>
      </c>
      <c r="G7" s="156">
        <f t="shared" si="2"/>
        <v>142576.85938284369</v>
      </c>
    </row>
    <row r="8" spans="2:7" x14ac:dyDescent="0.2">
      <c r="B8" s="151">
        <v>4</v>
      </c>
      <c r="C8" s="151">
        <v>5</v>
      </c>
      <c r="D8" s="151">
        <v>2026</v>
      </c>
      <c r="E8" s="156">
        <f t="shared" si="0"/>
        <v>180000</v>
      </c>
      <c r="F8" s="157">
        <f t="shared" si="1"/>
        <v>0.74725817286605689</v>
      </c>
      <c r="G8" s="156">
        <f t="shared" si="2"/>
        <v>134506.47111589025</v>
      </c>
    </row>
    <row r="9" spans="2:7" x14ac:dyDescent="0.2">
      <c r="B9" s="151">
        <v>5</v>
      </c>
      <c r="C9" s="151">
        <v>6</v>
      </c>
      <c r="D9" s="151">
        <v>2027</v>
      </c>
      <c r="E9" s="156">
        <f t="shared" si="0"/>
        <v>180000</v>
      </c>
      <c r="F9" s="157">
        <f t="shared" si="1"/>
        <v>0.70496054043967626</v>
      </c>
      <c r="G9" s="156">
        <f t="shared" si="2"/>
        <v>126892.89727914173</v>
      </c>
    </row>
    <row r="10" spans="2:7" x14ac:dyDescent="0.2">
      <c r="B10" s="151">
        <v>6</v>
      </c>
      <c r="C10" s="151">
        <v>7</v>
      </c>
      <c r="D10" s="151">
        <v>2028</v>
      </c>
      <c r="E10" s="156">
        <f t="shared" si="0"/>
        <v>180000</v>
      </c>
      <c r="F10" s="157">
        <f t="shared" si="1"/>
        <v>0.66505711362233599</v>
      </c>
      <c r="G10" s="156">
        <f t="shared" si="2"/>
        <v>119710.28045202048</v>
      </c>
    </row>
    <row r="11" spans="2:7" x14ac:dyDescent="0.2">
      <c r="B11" s="151">
        <v>7</v>
      </c>
      <c r="C11" s="151">
        <v>8</v>
      </c>
      <c r="D11" s="151">
        <v>2029</v>
      </c>
      <c r="E11" s="156">
        <f t="shared" si="0"/>
        <v>180000</v>
      </c>
      <c r="F11" s="157">
        <f t="shared" si="1"/>
        <v>0.62741237134182648</v>
      </c>
      <c r="G11" s="156">
        <f t="shared" si="2"/>
        <v>112934.22684152877</v>
      </c>
    </row>
    <row r="12" spans="2:7" x14ac:dyDescent="0.2">
      <c r="B12" s="151">
        <v>8</v>
      </c>
      <c r="C12" s="151">
        <v>9</v>
      </c>
      <c r="D12" s="151">
        <v>2030</v>
      </c>
      <c r="E12" s="156">
        <f t="shared" si="0"/>
        <v>180000</v>
      </c>
      <c r="F12" s="157">
        <f t="shared" si="1"/>
        <v>0.59189846353002495</v>
      </c>
      <c r="G12" s="156">
        <f t="shared" si="2"/>
        <v>106541.72343540449</v>
      </c>
    </row>
    <row r="13" spans="2:7" x14ac:dyDescent="0.2">
      <c r="B13" s="151">
        <v>9</v>
      </c>
      <c r="C13" s="151">
        <v>10</v>
      </c>
      <c r="D13" s="151">
        <v>2031</v>
      </c>
      <c r="E13" s="156">
        <f t="shared" si="0"/>
        <v>180000</v>
      </c>
      <c r="F13" s="157">
        <f t="shared" si="1"/>
        <v>0.55839477691511785</v>
      </c>
      <c r="G13" s="156">
        <f t="shared" si="2"/>
        <v>100511.05984472121</v>
      </c>
    </row>
    <row r="14" spans="2:7" x14ac:dyDescent="0.2">
      <c r="B14" s="151">
        <v>10</v>
      </c>
      <c r="C14" s="151">
        <v>11</v>
      </c>
      <c r="D14" s="151">
        <v>2032</v>
      </c>
      <c r="E14" s="156">
        <f t="shared" si="0"/>
        <v>180000</v>
      </c>
      <c r="F14" s="157">
        <f t="shared" si="1"/>
        <v>0.52678752539162055</v>
      </c>
      <c r="G14" s="156">
        <f t="shared" si="2"/>
        <v>94821.754570491699</v>
      </c>
    </row>
    <row r="15" spans="2:7" x14ac:dyDescent="0.2">
      <c r="B15" s="151">
        <v>11</v>
      </c>
      <c r="C15" s="151">
        <v>12</v>
      </c>
      <c r="D15" s="151">
        <v>2033</v>
      </c>
      <c r="E15" s="156">
        <f t="shared" si="0"/>
        <v>180000</v>
      </c>
      <c r="F15" s="157">
        <f t="shared" si="1"/>
        <v>0.4969693635770005</v>
      </c>
      <c r="G15" s="156">
        <f t="shared" si="2"/>
        <v>89454.485443860089</v>
      </c>
    </row>
    <row r="16" spans="2:7" x14ac:dyDescent="0.2">
      <c r="B16" s="151">
        <v>12</v>
      </c>
      <c r="C16" s="151">
        <v>13</v>
      </c>
      <c r="D16" s="151">
        <v>2034</v>
      </c>
      <c r="E16" s="156">
        <f t="shared" si="0"/>
        <v>180000</v>
      </c>
      <c r="F16" s="157">
        <f t="shared" si="1"/>
        <v>0.46883902224245327</v>
      </c>
      <c r="G16" s="156">
        <f t="shared" si="2"/>
        <v>84391.024003641593</v>
      </c>
    </row>
    <row r="17" spans="2:8" x14ac:dyDescent="0.2">
      <c r="B17" s="151">
        <v>13</v>
      </c>
      <c r="C17" s="151">
        <v>14</v>
      </c>
      <c r="D17" s="151">
        <v>2035</v>
      </c>
      <c r="E17" s="156">
        <f t="shared" si="0"/>
        <v>180000</v>
      </c>
      <c r="F17" s="157">
        <f t="shared" si="1"/>
        <v>0.44230096437967292</v>
      </c>
      <c r="G17" s="156">
        <f t="shared" si="2"/>
        <v>79614.173588341131</v>
      </c>
    </row>
    <row r="18" spans="2:8" x14ac:dyDescent="0.2">
      <c r="B18" s="151">
        <v>14</v>
      </c>
      <c r="C18" s="151">
        <v>15</v>
      </c>
      <c r="D18" s="151">
        <v>2036</v>
      </c>
      <c r="E18" s="156">
        <f t="shared" si="0"/>
        <v>180000</v>
      </c>
      <c r="F18" s="157">
        <f t="shared" si="1"/>
        <v>0.41726506073554037</v>
      </c>
      <c r="G18" s="156">
        <f t="shared" si="2"/>
        <v>75107.710932397269</v>
      </c>
    </row>
    <row r="19" spans="2:8" x14ac:dyDescent="0.2">
      <c r="B19" s="151">
        <v>15</v>
      </c>
      <c r="C19" s="151">
        <v>16</v>
      </c>
      <c r="D19" s="151">
        <v>2037</v>
      </c>
      <c r="E19" s="156">
        <f t="shared" si="0"/>
        <v>180000</v>
      </c>
      <c r="F19" s="157">
        <f t="shared" si="1"/>
        <v>0.39364628371277405</v>
      </c>
      <c r="G19" s="156">
        <f t="shared" si="2"/>
        <v>70856.331068299332</v>
      </c>
    </row>
    <row r="20" spans="2:8" x14ac:dyDescent="0.2">
      <c r="B20" s="151">
        <v>16</v>
      </c>
      <c r="C20" s="151">
        <v>17</v>
      </c>
      <c r="D20" s="151">
        <v>2038</v>
      </c>
      <c r="E20" s="156">
        <f t="shared" si="0"/>
        <v>180000</v>
      </c>
      <c r="F20" s="157">
        <f t="shared" si="1"/>
        <v>0.37136441859695657</v>
      </c>
      <c r="G20" s="156">
        <f t="shared" si="2"/>
        <v>66845.595347452181</v>
      </c>
    </row>
    <row r="21" spans="2:8" ht="17" thickBot="1" x14ac:dyDescent="0.25">
      <c r="B21" s="158">
        <v>17</v>
      </c>
      <c r="C21" s="158">
        <v>18</v>
      </c>
      <c r="D21" s="158">
        <v>2039</v>
      </c>
      <c r="E21" s="159">
        <f t="shared" si="0"/>
        <v>180000</v>
      </c>
      <c r="F21" s="160">
        <f t="shared" ref="F21" si="3">1/(1+$F$2)^C21</f>
        <v>0.35034379112920433</v>
      </c>
      <c r="G21" s="159">
        <f t="shared" ref="G21" si="4">F21*E21</f>
        <v>63061.882403256779</v>
      </c>
    </row>
    <row r="22" spans="2:8" x14ac:dyDescent="0.2">
      <c r="F22" s="47" t="s">
        <v>25</v>
      </c>
      <c r="G22" s="161">
        <f>SUM(G4:G21)</f>
        <v>1948968.6266123848</v>
      </c>
    </row>
    <row r="24" spans="2:8" x14ac:dyDescent="0.2">
      <c r="B24" s="150" t="s">
        <v>78</v>
      </c>
      <c r="E24" s="152" t="s">
        <v>32</v>
      </c>
      <c r="F24" s="153">
        <v>0.06</v>
      </c>
    </row>
    <row r="25" spans="2:8" x14ac:dyDescent="0.2">
      <c r="E25" s="152" t="s">
        <v>35</v>
      </c>
      <c r="F25" s="153">
        <v>0.02</v>
      </c>
    </row>
    <row r="26" spans="2:8" ht="35" thickBot="1" x14ac:dyDescent="0.25">
      <c r="B26" s="154" t="s">
        <v>34</v>
      </c>
      <c r="C26" s="155" t="s">
        <v>23</v>
      </c>
      <c r="D26" s="155" t="s">
        <v>31</v>
      </c>
      <c r="E26" s="155" t="s">
        <v>36</v>
      </c>
      <c r="F26" s="154" t="s">
        <v>37</v>
      </c>
      <c r="G26" s="155" t="s">
        <v>24</v>
      </c>
      <c r="H26" s="155" t="s">
        <v>11</v>
      </c>
    </row>
    <row r="27" spans="2:8" x14ac:dyDescent="0.2">
      <c r="B27" s="151">
        <v>0</v>
      </c>
      <c r="C27" s="151">
        <v>1</v>
      </c>
      <c r="D27" s="151">
        <v>2022</v>
      </c>
      <c r="E27" s="156">
        <f>12*15000</f>
        <v>180000</v>
      </c>
      <c r="F27" s="162">
        <f>E27*(1+$F$25)^B27</f>
        <v>180000</v>
      </c>
      <c r="G27" s="157">
        <f t="shared" ref="G27:G44" si="5">1/(1+$F$2)^C27</f>
        <v>0.94339622641509424</v>
      </c>
      <c r="H27" s="156">
        <f>F27*G27</f>
        <v>169811.32075471696</v>
      </c>
    </row>
    <row r="28" spans="2:8" x14ac:dyDescent="0.2">
      <c r="B28" s="151">
        <v>1</v>
      </c>
      <c r="C28" s="151">
        <v>2</v>
      </c>
      <c r="D28" s="151">
        <v>2023</v>
      </c>
      <c r="E28" s="156">
        <f t="shared" ref="E28:E44" si="6">12*15000</f>
        <v>180000</v>
      </c>
      <c r="F28" s="162">
        <f t="shared" ref="F28:F44" si="7">E28*(1+$F$25)^B28</f>
        <v>183600</v>
      </c>
      <c r="G28" s="157">
        <f t="shared" si="5"/>
        <v>0.88999644001423983</v>
      </c>
      <c r="H28" s="156">
        <f t="shared" ref="H28:H44" si="8">F28*G28</f>
        <v>163403.34638661443</v>
      </c>
    </row>
    <row r="29" spans="2:8" x14ac:dyDescent="0.2">
      <c r="B29" s="151">
        <v>2</v>
      </c>
      <c r="C29" s="151">
        <v>3</v>
      </c>
      <c r="D29" s="151">
        <v>2024</v>
      </c>
      <c r="E29" s="156">
        <f t="shared" si="6"/>
        <v>180000</v>
      </c>
      <c r="F29" s="162">
        <f t="shared" si="7"/>
        <v>187272</v>
      </c>
      <c r="G29" s="157">
        <f t="shared" si="5"/>
        <v>0.8396192830323016</v>
      </c>
      <c r="H29" s="156">
        <f t="shared" si="8"/>
        <v>157237.18237202519</v>
      </c>
    </row>
    <row r="30" spans="2:8" x14ac:dyDescent="0.2">
      <c r="B30" s="151">
        <v>3</v>
      </c>
      <c r="C30" s="151">
        <v>4</v>
      </c>
      <c r="D30" s="151">
        <v>2025</v>
      </c>
      <c r="E30" s="156">
        <f t="shared" si="6"/>
        <v>180000</v>
      </c>
      <c r="F30" s="162">
        <f t="shared" si="7"/>
        <v>191017.43999999997</v>
      </c>
      <c r="G30" s="157">
        <f t="shared" si="5"/>
        <v>0.79209366323802044</v>
      </c>
      <c r="H30" s="156">
        <f t="shared" si="8"/>
        <v>151303.70379194876</v>
      </c>
    </row>
    <row r="31" spans="2:8" x14ac:dyDescent="0.2">
      <c r="B31" s="151">
        <v>4</v>
      </c>
      <c r="C31" s="151">
        <v>5</v>
      </c>
      <c r="D31" s="151">
        <v>2026</v>
      </c>
      <c r="E31" s="156">
        <f t="shared" si="6"/>
        <v>180000</v>
      </c>
      <c r="F31" s="162">
        <f t="shared" si="7"/>
        <v>194837.78880000001</v>
      </c>
      <c r="G31" s="157">
        <f t="shared" si="5"/>
        <v>0.74725817286605689</v>
      </c>
      <c r="H31" s="156">
        <f t="shared" si="8"/>
        <v>145594.1300639507</v>
      </c>
    </row>
    <row r="32" spans="2:8" x14ac:dyDescent="0.2">
      <c r="B32" s="151">
        <v>5</v>
      </c>
      <c r="C32" s="151">
        <v>6</v>
      </c>
      <c r="D32" s="151">
        <v>2027</v>
      </c>
      <c r="E32" s="156">
        <f t="shared" si="6"/>
        <v>180000</v>
      </c>
      <c r="F32" s="162">
        <f t="shared" si="7"/>
        <v>198734.54457600001</v>
      </c>
      <c r="G32" s="157">
        <f t="shared" si="5"/>
        <v>0.70496054043967626</v>
      </c>
      <c r="H32" s="156">
        <f t="shared" si="8"/>
        <v>140100.01194832989</v>
      </c>
    </row>
    <row r="33" spans="2:8" x14ac:dyDescent="0.2">
      <c r="B33" s="151">
        <v>6</v>
      </c>
      <c r="C33" s="151">
        <v>7</v>
      </c>
      <c r="D33" s="151">
        <v>2028</v>
      </c>
      <c r="E33" s="156">
        <f t="shared" si="6"/>
        <v>180000</v>
      </c>
      <c r="F33" s="162">
        <f t="shared" si="7"/>
        <v>202709.23546752002</v>
      </c>
      <c r="G33" s="157">
        <f t="shared" si="5"/>
        <v>0.66505711362233599</v>
      </c>
      <c r="H33" s="156">
        <f t="shared" si="8"/>
        <v>134813.21904461933</v>
      </c>
    </row>
    <row r="34" spans="2:8" x14ac:dyDescent="0.2">
      <c r="B34" s="151">
        <v>7</v>
      </c>
      <c r="C34" s="151">
        <v>8</v>
      </c>
      <c r="D34" s="151">
        <v>2029</v>
      </c>
      <c r="E34" s="156">
        <f t="shared" si="6"/>
        <v>180000</v>
      </c>
      <c r="F34" s="162">
        <f t="shared" si="7"/>
        <v>206763.42017687036</v>
      </c>
      <c r="G34" s="157">
        <f t="shared" si="5"/>
        <v>0.62741237134182648</v>
      </c>
      <c r="H34" s="156">
        <f t="shared" si="8"/>
        <v>129725.92775991668</v>
      </c>
    </row>
    <row r="35" spans="2:8" x14ac:dyDescent="0.2">
      <c r="B35" s="151">
        <v>8</v>
      </c>
      <c r="C35" s="151">
        <v>9</v>
      </c>
      <c r="D35" s="151">
        <v>2030</v>
      </c>
      <c r="E35" s="156">
        <f t="shared" si="6"/>
        <v>180000</v>
      </c>
      <c r="F35" s="162">
        <f t="shared" si="7"/>
        <v>210898.68858040779</v>
      </c>
      <c r="G35" s="157">
        <f t="shared" si="5"/>
        <v>0.59189846353002495</v>
      </c>
      <c r="H35" s="156">
        <f t="shared" si="8"/>
        <v>124830.60973124059</v>
      </c>
    </row>
    <row r="36" spans="2:8" x14ac:dyDescent="0.2">
      <c r="B36" s="151">
        <v>9</v>
      </c>
      <c r="C36" s="151">
        <v>10</v>
      </c>
      <c r="D36" s="151">
        <v>2031</v>
      </c>
      <c r="E36" s="156">
        <f t="shared" si="6"/>
        <v>180000</v>
      </c>
      <c r="F36" s="162">
        <f t="shared" si="7"/>
        <v>215116.66235201596</v>
      </c>
      <c r="G36" s="157">
        <f t="shared" si="5"/>
        <v>0.55839477691511785</v>
      </c>
      <c r="H36" s="156">
        <f t="shared" si="8"/>
        <v>120120.02068477869</v>
      </c>
    </row>
    <row r="37" spans="2:8" x14ac:dyDescent="0.2">
      <c r="B37" s="151">
        <v>10</v>
      </c>
      <c r="C37" s="151">
        <v>11</v>
      </c>
      <c r="D37" s="151">
        <v>2032</v>
      </c>
      <c r="E37" s="156">
        <f t="shared" si="6"/>
        <v>180000</v>
      </c>
      <c r="F37" s="162">
        <f t="shared" si="7"/>
        <v>219418.99559905627</v>
      </c>
      <c r="G37" s="157">
        <f t="shared" si="5"/>
        <v>0.52678752539162055</v>
      </c>
      <c r="H37" s="156">
        <f t="shared" si="8"/>
        <v>115587.18971554174</v>
      </c>
    </row>
    <row r="38" spans="2:8" x14ac:dyDescent="0.2">
      <c r="B38" s="151">
        <v>11</v>
      </c>
      <c r="C38" s="151">
        <v>12</v>
      </c>
      <c r="D38" s="151">
        <v>2033</v>
      </c>
      <c r="E38" s="156">
        <f t="shared" si="6"/>
        <v>180000</v>
      </c>
      <c r="F38" s="162">
        <f t="shared" si="7"/>
        <v>223807.37551103736</v>
      </c>
      <c r="G38" s="157">
        <f t="shared" si="5"/>
        <v>0.4969693635770005</v>
      </c>
      <c r="H38" s="156">
        <f t="shared" si="8"/>
        <v>111225.40897155901</v>
      </c>
    </row>
    <row r="39" spans="2:8" x14ac:dyDescent="0.2">
      <c r="B39" s="151">
        <v>12</v>
      </c>
      <c r="C39" s="151">
        <v>13</v>
      </c>
      <c r="D39" s="151">
        <v>2034</v>
      </c>
      <c r="E39" s="156">
        <f t="shared" si="6"/>
        <v>180000</v>
      </c>
      <c r="F39" s="162">
        <f t="shared" si="7"/>
        <v>228283.52302125815</v>
      </c>
      <c r="G39" s="157">
        <f t="shared" si="5"/>
        <v>0.46883902224245327</v>
      </c>
      <c r="H39" s="156">
        <f t="shared" si="8"/>
        <v>107028.22372734925</v>
      </c>
    </row>
    <row r="40" spans="2:8" x14ac:dyDescent="0.2">
      <c r="B40" s="151">
        <v>13</v>
      </c>
      <c r="C40" s="151">
        <v>14</v>
      </c>
      <c r="D40" s="151">
        <v>2035</v>
      </c>
      <c r="E40" s="156">
        <f t="shared" si="6"/>
        <v>180000</v>
      </c>
      <c r="F40" s="162">
        <f t="shared" si="7"/>
        <v>232849.19348168329</v>
      </c>
      <c r="G40" s="157">
        <f t="shared" si="5"/>
        <v>0.44230096437967292</v>
      </c>
      <c r="H40" s="156">
        <f t="shared" si="8"/>
        <v>102989.42283197757</v>
      </c>
    </row>
    <row r="41" spans="2:8" x14ac:dyDescent="0.2">
      <c r="B41" s="151">
        <v>14</v>
      </c>
      <c r="C41" s="151">
        <v>15</v>
      </c>
      <c r="D41" s="151">
        <v>2036</v>
      </c>
      <c r="E41" s="156">
        <f t="shared" si="6"/>
        <v>180000</v>
      </c>
      <c r="F41" s="162">
        <f t="shared" si="7"/>
        <v>237506.17735131699</v>
      </c>
      <c r="G41" s="157">
        <f t="shared" si="5"/>
        <v>0.41726506073554037</v>
      </c>
      <c r="H41" s="156">
        <f t="shared" si="8"/>
        <v>99103.029517563307</v>
      </c>
    </row>
    <row r="42" spans="2:8" x14ac:dyDescent="0.2">
      <c r="B42" s="151">
        <v>15</v>
      </c>
      <c r="C42" s="151">
        <v>16</v>
      </c>
      <c r="D42" s="151">
        <v>2037</v>
      </c>
      <c r="E42" s="156">
        <f t="shared" si="6"/>
        <v>180000</v>
      </c>
      <c r="F42" s="162">
        <f t="shared" si="7"/>
        <v>242256.30089834327</v>
      </c>
      <c r="G42" s="157">
        <f t="shared" si="5"/>
        <v>0.39364628371277405</v>
      </c>
      <c r="H42" s="156">
        <f t="shared" si="8"/>
        <v>95363.292554636399</v>
      </c>
    </row>
    <row r="43" spans="2:8" x14ac:dyDescent="0.2">
      <c r="B43" s="151">
        <v>16</v>
      </c>
      <c r="C43" s="151">
        <v>17</v>
      </c>
      <c r="D43" s="151">
        <v>2038</v>
      </c>
      <c r="E43" s="156">
        <f t="shared" si="6"/>
        <v>180000</v>
      </c>
      <c r="F43" s="162">
        <f t="shared" si="7"/>
        <v>247101.42691631016</v>
      </c>
      <c r="G43" s="157">
        <f t="shared" si="5"/>
        <v>0.37136441859695657</v>
      </c>
      <c r="H43" s="156">
        <f t="shared" si="8"/>
        <v>91764.67774125388</v>
      </c>
    </row>
    <row r="44" spans="2:8" ht="17" thickBot="1" x14ac:dyDescent="0.25">
      <c r="B44" s="158">
        <v>17</v>
      </c>
      <c r="C44" s="158">
        <v>18</v>
      </c>
      <c r="D44" s="158">
        <v>2039</v>
      </c>
      <c r="E44" s="159">
        <f t="shared" si="6"/>
        <v>180000</v>
      </c>
      <c r="F44" s="184">
        <f t="shared" si="7"/>
        <v>252043.45545463639</v>
      </c>
      <c r="G44" s="160">
        <f t="shared" si="5"/>
        <v>0.35034379112920433</v>
      </c>
      <c r="H44" s="159">
        <f t="shared" si="8"/>
        <v>88301.859713282043</v>
      </c>
    </row>
    <row r="45" spans="2:8" x14ac:dyDescent="0.2">
      <c r="G45" s="47" t="s">
        <v>25</v>
      </c>
      <c r="H45" s="161">
        <f>SUM(H27:H44)</f>
        <v>2248302.5773113044</v>
      </c>
    </row>
    <row r="46" spans="2:8" x14ac:dyDescent="0.2">
      <c r="G46" s="52"/>
      <c r="H46" s="47"/>
    </row>
    <row r="47" spans="2:8" x14ac:dyDescent="0.2">
      <c r="B47" s="150" t="s">
        <v>79</v>
      </c>
      <c r="D47" s="163" t="s">
        <v>32</v>
      </c>
      <c r="E47" s="164">
        <v>0.05</v>
      </c>
      <c r="F47" s="131" t="s">
        <v>93</v>
      </c>
    </row>
    <row r="48" spans="2:8" ht="34" x14ac:dyDescent="0.2">
      <c r="B48" s="165" t="s">
        <v>34</v>
      </c>
      <c r="C48" s="166" t="s">
        <v>23</v>
      </c>
      <c r="D48" s="166" t="s">
        <v>31</v>
      </c>
      <c r="E48" s="167" t="s">
        <v>44</v>
      </c>
      <c r="F48" s="166" t="s">
        <v>23</v>
      </c>
      <c r="G48" s="166" t="s">
        <v>22</v>
      </c>
      <c r="H48" s="166" t="s">
        <v>43</v>
      </c>
    </row>
    <row r="49" spans="2:8" x14ac:dyDescent="0.2">
      <c r="B49" s="151">
        <v>0</v>
      </c>
      <c r="C49" s="151">
        <v>1</v>
      </c>
      <c r="D49" s="151">
        <v>2022</v>
      </c>
      <c r="E49" s="168">
        <v>0</v>
      </c>
      <c r="F49" s="169">
        <f>12*15000</f>
        <v>180000</v>
      </c>
      <c r="G49" s="168">
        <f>E49*$E$47</f>
        <v>0</v>
      </c>
      <c r="H49" s="162">
        <f>E49+F49+G49</f>
        <v>180000</v>
      </c>
    </row>
    <row r="50" spans="2:8" x14ac:dyDescent="0.2">
      <c r="B50" s="151">
        <v>1</v>
      </c>
      <c r="C50" s="151">
        <v>2</v>
      </c>
      <c r="D50" s="151">
        <v>2023</v>
      </c>
      <c r="E50" s="170">
        <f>H49</f>
        <v>180000</v>
      </c>
      <c r="F50" s="169">
        <f t="shared" ref="F50:F66" si="9">12*15000</f>
        <v>180000</v>
      </c>
      <c r="G50" s="168">
        <f t="shared" ref="G50:G66" si="10">E50*$E$47</f>
        <v>9000</v>
      </c>
      <c r="H50" s="162">
        <f>E50+F50+G50</f>
        <v>369000</v>
      </c>
    </row>
    <row r="51" spans="2:8" x14ac:dyDescent="0.2">
      <c r="B51" s="151">
        <v>2</v>
      </c>
      <c r="C51" s="151">
        <v>3</v>
      </c>
      <c r="D51" s="151">
        <v>2024</v>
      </c>
      <c r="E51" s="170">
        <f>H50</f>
        <v>369000</v>
      </c>
      <c r="F51" s="169">
        <f t="shared" si="9"/>
        <v>180000</v>
      </c>
      <c r="G51" s="168">
        <f t="shared" si="10"/>
        <v>18450</v>
      </c>
      <c r="H51" s="162">
        <f>E51+F51+G51</f>
        <v>567450</v>
      </c>
    </row>
    <row r="52" spans="2:8" x14ac:dyDescent="0.2">
      <c r="B52" s="151">
        <v>3</v>
      </c>
      <c r="C52" s="151">
        <v>4</v>
      </c>
      <c r="D52" s="151">
        <v>2025</v>
      </c>
      <c r="E52" s="170">
        <f t="shared" ref="E52:E66" si="11">H51</f>
        <v>567450</v>
      </c>
      <c r="F52" s="169">
        <f t="shared" si="9"/>
        <v>180000</v>
      </c>
      <c r="G52" s="168">
        <f t="shared" si="10"/>
        <v>28372.5</v>
      </c>
      <c r="H52" s="162">
        <f t="shared" ref="H52:H66" si="12">E52+F52+G52</f>
        <v>775822.5</v>
      </c>
    </row>
    <row r="53" spans="2:8" x14ac:dyDescent="0.2">
      <c r="B53" s="151">
        <v>4</v>
      </c>
      <c r="C53" s="151">
        <v>5</v>
      </c>
      <c r="D53" s="151">
        <v>2026</v>
      </c>
      <c r="E53" s="170">
        <f t="shared" si="11"/>
        <v>775822.5</v>
      </c>
      <c r="F53" s="169">
        <f t="shared" si="9"/>
        <v>180000</v>
      </c>
      <c r="G53" s="168">
        <f t="shared" si="10"/>
        <v>38791.125</v>
      </c>
      <c r="H53" s="162">
        <f t="shared" si="12"/>
        <v>994613.625</v>
      </c>
    </row>
    <row r="54" spans="2:8" x14ac:dyDescent="0.2">
      <c r="B54" s="151">
        <v>5</v>
      </c>
      <c r="C54" s="151">
        <v>6</v>
      </c>
      <c r="D54" s="151">
        <v>2027</v>
      </c>
      <c r="E54" s="170">
        <f t="shared" si="11"/>
        <v>994613.625</v>
      </c>
      <c r="F54" s="169">
        <f t="shared" si="9"/>
        <v>180000</v>
      </c>
      <c r="G54" s="168">
        <f t="shared" si="10"/>
        <v>49730.681250000001</v>
      </c>
      <c r="H54" s="162">
        <f t="shared" si="12"/>
        <v>1224344.3062499999</v>
      </c>
    </row>
    <row r="55" spans="2:8" x14ac:dyDescent="0.2">
      <c r="B55" s="151">
        <v>6</v>
      </c>
      <c r="C55" s="151">
        <v>7</v>
      </c>
      <c r="D55" s="151">
        <v>2028</v>
      </c>
      <c r="E55" s="170">
        <f t="shared" si="11"/>
        <v>1224344.3062499999</v>
      </c>
      <c r="F55" s="169">
        <f t="shared" si="9"/>
        <v>180000</v>
      </c>
      <c r="G55" s="168">
        <f t="shared" si="10"/>
        <v>61217.215312499997</v>
      </c>
      <c r="H55" s="162">
        <f t="shared" si="12"/>
        <v>1465561.5215624999</v>
      </c>
    </row>
    <row r="56" spans="2:8" x14ac:dyDescent="0.2">
      <c r="B56" s="151">
        <v>7</v>
      </c>
      <c r="C56" s="151">
        <v>8</v>
      </c>
      <c r="D56" s="151">
        <v>2029</v>
      </c>
      <c r="E56" s="170">
        <f t="shared" si="11"/>
        <v>1465561.5215624999</v>
      </c>
      <c r="F56" s="169">
        <f t="shared" si="9"/>
        <v>180000</v>
      </c>
      <c r="G56" s="168">
        <f t="shared" si="10"/>
        <v>73278.076078124999</v>
      </c>
      <c r="H56" s="162">
        <f t="shared" si="12"/>
        <v>1718839.597640625</v>
      </c>
    </row>
    <row r="57" spans="2:8" x14ac:dyDescent="0.2">
      <c r="B57" s="151">
        <v>8</v>
      </c>
      <c r="C57" s="151">
        <v>9</v>
      </c>
      <c r="D57" s="151">
        <v>2030</v>
      </c>
      <c r="E57" s="170">
        <f t="shared" si="11"/>
        <v>1718839.597640625</v>
      </c>
      <c r="F57" s="169">
        <f t="shared" si="9"/>
        <v>180000</v>
      </c>
      <c r="G57" s="168">
        <f t="shared" si="10"/>
        <v>85941.979882031257</v>
      </c>
      <c r="H57" s="162">
        <f t="shared" si="12"/>
        <v>1984781.5775226562</v>
      </c>
    </row>
    <row r="58" spans="2:8" x14ac:dyDescent="0.2">
      <c r="B58" s="151">
        <v>9</v>
      </c>
      <c r="C58" s="151">
        <v>10</v>
      </c>
      <c r="D58" s="151">
        <v>2031</v>
      </c>
      <c r="E58" s="170">
        <f t="shared" si="11"/>
        <v>1984781.5775226562</v>
      </c>
      <c r="F58" s="169">
        <f t="shared" si="9"/>
        <v>180000</v>
      </c>
      <c r="G58" s="168">
        <f t="shared" si="10"/>
        <v>99239.078876132815</v>
      </c>
      <c r="H58" s="162">
        <f t="shared" si="12"/>
        <v>2264020.6563987886</v>
      </c>
    </row>
    <row r="59" spans="2:8" x14ac:dyDescent="0.2">
      <c r="B59" s="151">
        <v>10</v>
      </c>
      <c r="C59" s="151">
        <v>11</v>
      </c>
      <c r="D59" s="151">
        <v>2032</v>
      </c>
      <c r="E59" s="170">
        <f t="shared" si="11"/>
        <v>2264020.6563987886</v>
      </c>
      <c r="F59" s="169">
        <f t="shared" si="9"/>
        <v>180000</v>
      </c>
      <c r="G59" s="168">
        <f t="shared" si="10"/>
        <v>113201.03281993943</v>
      </c>
      <c r="H59" s="162">
        <f t="shared" si="12"/>
        <v>2557221.6892187279</v>
      </c>
    </row>
    <row r="60" spans="2:8" x14ac:dyDescent="0.2">
      <c r="B60" s="151">
        <v>11</v>
      </c>
      <c r="C60" s="151">
        <v>12</v>
      </c>
      <c r="D60" s="151">
        <v>2033</v>
      </c>
      <c r="E60" s="170">
        <f t="shared" si="11"/>
        <v>2557221.6892187279</v>
      </c>
      <c r="F60" s="169">
        <f t="shared" si="9"/>
        <v>180000</v>
      </c>
      <c r="G60" s="168">
        <f t="shared" si="10"/>
        <v>127861.0844609364</v>
      </c>
      <c r="H60" s="162">
        <f t="shared" si="12"/>
        <v>2865082.7736796644</v>
      </c>
    </row>
    <row r="61" spans="2:8" x14ac:dyDescent="0.2">
      <c r="B61" s="151">
        <v>12</v>
      </c>
      <c r="C61" s="151">
        <v>13</v>
      </c>
      <c r="D61" s="151">
        <v>2034</v>
      </c>
      <c r="E61" s="170">
        <f t="shared" si="11"/>
        <v>2865082.7736796644</v>
      </c>
      <c r="F61" s="169">
        <f t="shared" si="9"/>
        <v>180000</v>
      </c>
      <c r="G61" s="168">
        <f t="shared" si="10"/>
        <v>143254.13868398321</v>
      </c>
      <c r="H61" s="162">
        <f t="shared" si="12"/>
        <v>3188336.9123636475</v>
      </c>
    </row>
    <row r="62" spans="2:8" x14ac:dyDescent="0.2">
      <c r="B62" s="151">
        <v>13</v>
      </c>
      <c r="C62" s="151">
        <v>14</v>
      </c>
      <c r="D62" s="151">
        <v>2035</v>
      </c>
      <c r="E62" s="170">
        <f t="shared" si="11"/>
        <v>3188336.9123636475</v>
      </c>
      <c r="F62" s="169">
        <f t="shared" si="9"/>
        <v>180000</v>
      </c>
      <c r="G62" s="168">
        <f t="shared" si="10"/>
        <v>159416.84561818239</v>
      </c>
      <c r="H62" s="162">
        <f t="shared" si="12"/>
        <v>3527753.7579818298</v>
      </c>
    </row>
    <row r="63" spans="2:8" x14ac:dyDescent="0.2">
      <c r="B63" s="151">
        <v>14</v>
      </c>
      <c r="C63" s="151">
        <v>15</v>
      </c>
      <c r="D63" s="151">
        <v>2036</v>
      </c>
      <c r="E63" s="170">
        <f t="shared" si="11"/>
        <v>3527753.7579818298</v>
      </c>
      <c r="F63" s="169">
        <f t="shared" si="9"/>
        <v>180000</v>
      </c>
      <c r="G63" s="168">
        <f t="shared" si="10"/>
        <v>176387.68789909151</v>
      </c>
      <c r="H63" s="162">
        <f t="shared" si="12"/>
        <v>3884141.4458809216</v>
      </c>
    </row>
    <row r="64" spans="2:8" x14ac:dyDescent="0.2">
      <c r="B64" s="151">
        <v>15</v>
      </c>
      <c r="C64" s="151">
        <v>16</v>
      </c>
      <c r="D64" s="151">
        <v>2037</v>
      </c>
      <c r="E64" s="170">
        <f t="shared" si="11"/>
        <v>3884141.4458809216</v>
      </c>
      <c r="F64" s="169">
        <f t="shared" si="9"/>
        <v>180000</v>
      </c>
      <c r="G64" s="168">
        <f t="shared" si="10"/>
        <v>194207.07229404608</v>
      </c>
      <c r="H64" s="162">
        <f t="shared" si="12"/>
        <v>4258348.5181749677</v>
      </c>
    </row>
    <row r="65" spans="2:8" ht="17" thickBot="1" x14ac:dyDescent="0.25">
      <c r="B65" s="151">
        <v>16</v>
      </c>
      <c r="C65" s="151">
        <v>17</v>
      </c>
      <c r="D65" s="151">
        <v>2038</v>
      </c>
      <c r="E65" s="170">
        <f t="shared" si="11"/>
        <v>4258348.5181749677</v>
      </c>
      <c r="F65" s="169">
        <f t="shared" si="9"/>
        <v>180000</v>
      </c>
      <c r="G65" s="168">
        <f t="shared" si="10"/>
        <v>212917.42590874841</v>
      </c>
      <c r="H65" s="162">
        <f t="shared" si="12"/>
        <v>4651265.9440837158</v>
      </c>
    </row>
    <row r="66" spans="2:8" ht="17" thickBot="1" x14ac:dyDescent="0.25">
      <c r="B66" s="158">
        <v>17</v>
      </c>
      <c r="C66" s="158">
        <v>18</v>
      </c>
      <c r="D66" s="158">
        <v>2039</v>
      </c>
      <c r="E66" s="171">
        <f t="shared" si="11"/>
        <v>4651265.9440837158</v>
      </c>
      <c r="F66" s="172">
        <f t="shared" si="9"/>
        <v>180000</v>
      </c>
      <c r="G66" s="173">
        <f t="shared" si="10"/>
        <v>232563.2972041858</v>
      </c>
      <c r="H66" s="174">
        <f t="shared" si="12"/>
        <v>5063829.241287902</v>
      </c>
    </row>
    <row r="67" spans="2:8" x14ac:dyDescent="0.2">
      <c r="G67" s="47"/>
      <c r="H67" s="16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6027D-FF65-9C4A-AAEB-0AE3F2AEDBDF}">
  <dimension ref="C3:I130"/>
  <sheetViews>
    <sheetView showGridLines="0" topLeftCell="A57" zoomScale="140" workbookViewId="0">
      <selection activeCell="A52" sqref="A52"/>
    </sheetView>
  </sheetViews>
  <sheetFormatPr baseColWidth="10" defaultRowHeight="16" x14ac:dyDescent="0.2"/>
  <cols>
    <col min="1" max="2" width="10.83203125" style="131"/>
    <col min="3" max="3" width="10.83203125" style="52"/>
    <col min="4" max="4" width="15.83203125" style="131" bestFit="1" customWidth="1"/>
    <col min="5" max="5" width="20.5" style="131" bestFit="1" customWidth="1"/>
    <col min="6" max="6" width="15.33203125" style="131" bestFit="1" customWidth="1"/>
    <col min="7" max="7" width="11" style="131" bestFit="1" customWidth="1"/>
    <col min="8" max="8" width="18.83203125" style="131" bestFit="1" customWidth="1"/>
    <col min="9" max="9" width="24.33203125" style="131" bestFit="1" customWidth="1"/>
    <col min="10" max="16384" width="10.83203125" style="131"/>
  </cols>
  <sheetData>
    <row r="3" spans="3:9" x14ac:dyDescent="0.2">
      <c r="D3" s="194" t="s">
        <v>95</v>
      </c>
      <c r="E3" s="195">
        <v>200000</v>
      </c>
      <c r="F3" s="196" t="s">
        <v>11</v>
      </c>
      <c r="G3" s="196"/>
      <c r="H3" s="194"/>
      <c r="I3" s="194"/>
    </row>
    <row r="4" spans="3:9" x14ac:dyDescent="0.2">
      <c r="D4" s="194" t="s">
        <v>96</v>
      </c>
      <c r="E4" s="197">
        <v>120</v>
      </c>
      <c r="F4" s="196" t="s">
        <v>9</v>
      </c>
      <c r="G4" s="196"/>
      <c r="H4" s="194"/>
      <c r="I4" s="194"/>
    </row>
    <row r="5" spans="3:9" x14ac:dyDescent="0.2">
      <c r="D5" s="194" t="s">
        <v>32</v>
      </c>
      <c r="E5" s="198">
        <f>0.07/12</f>
        <v>5.8333333333333336E-3</v>
      </c>
      <c r="F5" s="196" t="s">
        <v>10</v>
      </c>
      <c r="G5" s="196"/>
      <c r="H5" s="194"/>
      <c r="I5" s="194"/>
    </row>
    <row r="6" spans="3:9" x14ac:dyDescent="0.2">
      <c r="D6" s="194" t="s">
        <v>23</v>
      </c>
      <c r="E6" s="199">
        <f>-PMT(E5,E4,E3)</f>
        <v>2322.1695843724815</v>
      </c>
      <c r="F6" s="196" t="s">
        <v>8</v>
      </c>
      <c r="G6" s="196"/>
      <c r="H6" s="194"/>
      <c r="I6" s="194"/>
    </row>
    <row r="7" spans="3:9" x14ac:dyDescent="0.2">
      <c r="D7" s="194" t="s">
        <v>97</v>
      </c>
      <c r="E7" s="200">
        <v>44562</v>
      </c>
      <c r="F7" s="196"/>
      <c r="G7" s="196"/>
      <c r="H7" s="194"/>
      <c r="I7" s="194"/>
    </row>
    <row r="8" spans="3:9" x14ac:dyDescent="0.2">
      <c r="D8" s="201"/>
      <c r="E8" s="194"/>
      <c r="F8" s="194"/>
      <c r="G8" s="196"/>
      <c r="H8" s="194"/>
      <c r="I8" s="194"/>
    </row>
    <row r="9" spans="3:9" ht="17" thickBot="1" x14ac:dyDescent="0.25">
      <c r="D9" s="201"/>
      <c r="E9" s="194"/>
      <c r="F9" s="194"/>
      <c r="G9" s="196"/>
      <c r="H9" s="194"/>
      <c r="I9" s="194"/>
    </row>
    <row r="10" spans="3:9" ht="17" thickBot="1" x14ac:dyDescent="0.25">
      <c r="C10" s="209" t="s">
        <v>103</v>
      </c>
      <c r="D10" s="208" t="s">
        <v>98</v>
      </c>
      <c r="E10" s="202" t="s">
        <v>99</v>
      </c>
      <c r="F10" s="202" t="s">
        <v>100</v>
      </c>
      <c r="G10" s="202" t="s">
        <v>23</v>
      </c>
      <c r="H10" s="202" t="s">
        <v>101</v>
      </c>
      <c r="I10" s="203" t="s">
        <v>102</v>
      </c>
    </row>
    <row r="11" spans="3:9" x14ac:dyDescent="0.2">
      <c r="C11" s="47">
        <v>1</v>
      </c>
      <c r="D11" s="204">
        <v>44562</v>
      </c>
      <c r="E11" s="205">
        <f>E3</f>
        <v>200000</v>
      </c>
      <c r="F11" s="205">
        <f>$E$5*E11</f>
        <v>1166.6666666666667</v>
      </c>
      <c r="G11" s="205">
        <f>$E$6</f>
        <v>2322.1695843724815</v>
      </c>
      <c r="H11" s="205">
        <f>G11-F11</f>
        <v>1155.5029177058148</v>
      </c>
      <c r="I11" s="205">
        <f>E11+F11-G11</f>
        <v>198844.49708229417</v>
      </c>
    </row>
    <row r="12" spans="3:9" x14ac:dyDescent="0.2">
      <c r="C12" s="47">
        <v>2</v>
      </c>
      <c r="D12" s="204">
        <v>44593</v>
      </c>
      <c r="E12" s="205">
        <f>I11</f>
        <v>198844.49708229417</v>
      </c>
      <c r="F12" s="205">
        <f t="shared" ref="F12:F75" si="0">$E$5*E12</f>
        <v>1159.9262329800495</v>
      </c>
      <c r="G12" s="205">
        <f t="shared" ref="G12:G75" si="1">$E$6</f>
        <v>2322.1695843724815</v>
      </c>
      <c r="H12" s="205">
        <f t="shared" ref="H12:H75" si="2">G12-F12</f>
        <v>1162.243351392432</v>
      </c>
      <c r="I12" s="205">
        <f t="shared" ref="I12:I75" si="3">E12+F12-G12</f>
        <v>197682.25373090172</v>
      </c>
    </row>
    <row r="13" spans="3:9" x14ac:dyDescent="0.2">
      <c r="C13" s="47">
        <v>3</v>
      </c>
      <c r="D13" s="204">
        <v>44621</v>
      </c>
      <c r="E13" s="205">
        <f t="shared" ref="E13:E76" si="4">I12</f>
        <v>197682.25373090172</v>
      </c>
      <c r="F13" s="205">
        <f t="shared" si="0"/>
        <v>1153.1464800969268</v>
      </c>
      <c r="G13" s="205">
        <f t="shared" si="1"/>
        <v>2322.1695843724815</v>
      </c>
      <c r="H13" s="205">
        <f t="shared" si="2"/>
        <v>1169.0231042755547</v>
      </c>
      <c r="I13" s="205">
        <f t="shared" si="3"/>
        <v>196513.23062662617</v>
      </c>
    </row>
    <row r="14" spans="3:9" x14ac:dyDescent="0.2">
      <c r="C14" s="47">
        <v>4</v>
      </c>
      <c r="D14" s="204">
        <v>44652</v>
      </c>
      <c r="E14" s="205">
        <f t="shared" si="4"/>
        <v>196513.23062662617</v>
      </c>
      <c r="F14" s="205">
        <f t="shared" si="0"/>
        <v>1146.3271786553194</v>
      </c>
      <c r="G14" s="205">
        <f t="shared" si="1"/>
        <v>2322.1695843724815</v>
      </c>
      <c r="H14" s="205">
        <f t="shared" si="2"/>
        <v>1175.8424057171621</v>
      </c>
      <c r="I14" s="205">
        <f t="shared" si="3"/>
        <v>195337.38822090899</v>
      </c>
    </row>
    <row r="15" spans="3:9" x14ac:dyDescent="0.2">
      <c r="C15" s="47">
        <v>5</v>
      </c>
      <c r="D15" s="204">
        <v>44682</v>
      </c>
      <c r="E15" s="205">
        <f t="shared" si="4"/>
        <v>195337.38822090899</v>
      </c>
      <c r="F15" s="205">
        <f t="shared" si="0"/>
        <v>1139.4680979553025</v>
      </c>
      <c r="G15" s="205">
        <f t="shared" si="1"/>
        <v>2322.1695843724815</v>
      </c>
      <c r="H15" s="205">
        <f t="shared" si="2"/>
        <v>1182.701486417179</v>
      </c>
      <c r="I15" s="205">
        <f t="shared" si="3"/>
        <v>194154.68673449181</v>
      </c>
    </row>
    <row r="16" spans="3:9" x14ac:dyDescent="0.2">
      <c r="C16" s="47">
        <v>6</v>
      </c>
      <c r="D16" s="204">
        <v>44713</v>
      </c>
      <c r="E16" s="205">
        <f t="shared" si="4"/>
        <v>194154.68673449181</v>
      </c>
      <c r="F16" s="205">
        <f t="shared" si="0"/>
        <v>1132.5690059512024</v>
      </c>
      <c r="G16" s="205">
        <f t="shared" si="1"/>
        <v>2322.1695843724815</v>
      </c>
      <c r="H16" s="205">
        <f t="shared" si="2"/>
        <v>1189.6005784212791</v>
      </c>
      <c r="I16" s="205">
        <f t="shared" si="3"/>
        <v>192965.08615607052</v>
      </c>
    </row>
    <row r="17" spans="3:9" x14ac:dyDescent="0.2">
      <c r="C17" s="47">
        <v>7</v>
      </c>
      <c r="D17" s="204">
        <v>44743</v>
      </c>
      <c r="E17" s="205">
        <f t="shared" si="4"/>
        <v>192965.08615607052</v>
      </c>
      <c r="F17" s="205">
        <f t="shared" si="0"/>
        <v>1125.6296692437447</v>
      </c>
      <c r="G17" s="205">
        <f t="shared" si="1"/>
        <v>2322.1695843724815</v>
      </c>
      <c r="H17" s="205">
        <f t="shared" si="2"/>
        <v>1196.5399151287368</v>
      </c>
      <c r="I17" s="205">
        <f t="shared" si="3"/>
        <v>191768.54624094177</v>
      </c>
    </row>
    <row r="18" spans="3:9" x14ac:dyDescent="0.2">
      <c r="C18" s="47">
        <v>8</v>
      </c>
      <c r="D18" s="204">
        <v>44774</v>
      </c>
      <c r="E18" s="205">
        <f t="shared" si="4"/>
        <v>191768.54624094177</v>
      </c>
      <c r="F18" s="205">
        <f t="shared" si="0"/>
        <v>1118.6498530721603</v>
      </c>
      <c r="G18" s="205">
        <f t="shared" si="1"/>
        <v>2322.1695843724815</v>
      </c>
      <c r="H18" s="205">
        <f t="shared" si="2"/>
        <v>1203.5197313003212</v>
      </c>
      <c r="I18" s="205">
        <f t="shared" si="3"/>
        <v>190565.02650964144</v>
      </c>
    </row>
    <row r="19" spans="3:9" x14ac:dyDescent="0.2">
      <c r="C19" s="47">
        <v>9</v>
      </c>
      <c r="D19" s="204">
        <v>44805</v>
      </c>
      <c r="E19" s="205">
        <f t="shared" si="4"/>
        <v>190565.02650964144</v>
      </c>
      <c r="F19" s="205">
        <f t="shared" si="0"/>
        <v>1111.6293213062418</v>
      </c>
      <c r="G19" s="205">
        <f t="shared" si="1"/>
        <v>2322.1695843724815</v>
      </c>
      <c r="H19" s="205">
        <f t="shared" si="2"/>
        <v>1210.5402630662397</v>
      </c>
      <c r="I19" s="205">
        <f t="shared" si="3"/>
        <v>189354.48624657519</v>
      </c>
    </row>
    <row r="20" spans="3:9" x14ac:dyDescent="0.2">
      <c r="C20" s="47">
        <v>10</v>
      </c>
      <c r="D20" s="204">
        <v>44835</v>
      </c>
      <c r="E20" s="205">
        <f t="shared" si="4"/>
        <v>189354.48624657519</v>
      </c>
      <c r="F20" s="205">
        <f t="shared" si="0"/>
        <v>1104.5678364383552</v>
      </c>
      <c r="G20" s="205">
        <f t="shared" si="1"/>
        <v>2322.1695843724815</v>
      </c>
      <c r="H20" s="205">
        <f t="shared" si="2"/>
        <v>1217.6017479341263</v>
      </c>
      <c r="I20" s="205">
        <f t="shared" si="3"/>
        <v>188136.88449864107</v>
      </c>
    </row>
    <row r="21" spans="3:9" x14ac:dyDescent="0.2">
      <c r="C21" s="47">
        <v>11</v>
      </c>
      <c r="D21" s="204">
        <v>44866</v>
      </c>
      <c r="E21" s="205">
        <f t="shared" si="4"/>
        <v>188136.88449864107</v>
      </c>
      <c r="F21" s="205">
        <f t="shared" si="0"/>
        <v>1097.4651595754062</v>
      </c>
      <c r="G21" s="205">
        <f t="shared" si="1"/>
        <v>2322.1695843724815</v>
      </c>
      <c r="H21" s="205">
        <f t="shared" si="2"/>
        <v>1224.7044247970753</v>
      </c>
      <c r="I21" s="205">
        <f t="shared" si="3"/>
        <v>186912.18007384398</v>
      </c>
    </row>
    <row r="22" spans="3:9" x14ac:dyDescent="0.2">
      <c r="C22" s="47">
        <v>12</v>
      </c>
      <c r="D22" s="204">
        <v>44896</v>
      </c>
      <c r="E22" s="205">
        <f t="shared" si="4"/>
        <v>186912.18007384398</v>
      </c>
      <c r="F22" s="205">
        <f t="shared" si="0"/>
        <v>1090.3210504307565</v>
      </c>
      <c r="G22" s="205">
        <f t="shared" si="1"/>
        <v>2322.1695843724815</v>
      </c>
      <c r="H22" s="205">
        <f t="shared" si="2"/>
        <v>1231.848533941725</v>
      </c>
      <c r="I22" s="205">
        <f t="shared" si="3"/>
        <v>185680.33153990225</v>
      </c>
    </row>
    <row r="23" spans="3:9" x14ac:dyDescent="0.2">
      <c r="C23" s="47">
        <v>13</v>
      </c>
      <c r="D23" s="204">
        <v>44927</v>
      </c>
      <c r="E23" s="205">
        <f t="shared" si="4"/>
        <v>185680.33153990225</v>
      </c>
      <c r="F23" s="205">
        <f t="shared" si="0"/>
        <v>1083.1352673160966</v>
      </c>
      <c r="G23" s="205">
        <f t="shared" si="1"/>
        <v>2322.1695843724815</v>
      </c>
      <c r="H23" s="205">
        <f t="shared" si="2"/>
        <v>1239.0343170563849</v>
      </c>
      <c r="I23" s="205">
        <f t="shared" si="3"/>
        <v>184441.29722284587</v>
      </c>
    </row>
    <row r="24" spans="3:9" x14ac:dyDescent="0.2">
      <c r="C24" s="47">
        <v>14</v>
      </c>
      <c r="D24" s="204">
        <v>44958</v>
      </c>
      <c r="E24" s="205">
        <f t="shared" si="4"/>
        <v>184441.29722284587</v>
      </c>
      <c r="F24" s="205">
        <f t="shared" si="0"/>
        <v>1075.9075671332675</v>
      </c>
      <c r="G24" s="205">
        <f t="shared" si="1"/>
        <v>2322.1695843724815</v>
      </c>
      <c r="H24" s="205">
        <f t="shared" si="2"/>
        <v>1246.2620172392139</v>
      </c>
      <c r="I24" s="205">
        <f t="shared" si="3"/>
        <v>183195.03520560663</v>
      </c>
    </row>
    <row r="25" spans="3:9" x14ac:dyDescent="0.2">
      <c r="C25" s="47">
        <v>15</v>
      </c>
      <c r="D25" s="204">
        <v>44986</v>
      </c>
      <c r="E25" s="205">
        <f t="shared" si="4"/>
        <v>183195.03520560663</v>
      </c>
      <c r="F25" s="205">
        <f t="shared" si="0"/>
        <v>1068.6377053660387</v>
      </c>
      <c r="G25" s="205">
        <f t="shared" si="1"/>
        <v>2322.1695843724815</v>
      </c>
      <c r="H25" s="205">
        <f t="shared" si="2"/>
        <v>1253.5318790064428</v>
      </c>
      <c r="I25" s="205">
        <f t="shared" si="3"/>
        <v>181941.50332660018</v>
      </c>
    </row>
    <row r="26" spans="3:9" x14ac:dyDescent="0.2">
      <c r="C26" s="47">
        <v>16</v>
      </c>
      <c r="D26" s="204">
        <v>45017</v>
      </c>
      <c r="E26" s="205">
        <f t="shared" si="4"/>
        <v>181941.50332660018</v>
      </c>
      <c r="F26" s="205">
        <f t="shared" si="0"/>
        <v>1061.3254360718345</v>
      </c>
      <c r="G26" s="205">
        <f t="shared" si="1"/>
        <v>2322.1695843724815</v>
      </c>
      <c r="H26" s="205">
        <f t="shared" si="2"/>
        <v>1260.844148300647</v>
      </c>
      <c r="I26" s="205">
        <f t="shared" si="3"/>
        <v>180680.65917829954</v>
      </c>
    </row>
    <row r="27" spans="3:9" x14ac:dyDescent="0.2">
      <c r="C27" s="47">
        <v>17</v>
      </c>
      <c r="D27" s="204">
        <v>45047</v>
      </c>
      <c r="E27" s="205">
        <f t="shared" si="4"/>
        <v>180680.65917829954</v>
      </c>
      <c r="F27" s="205">
        <f t="shared" si="0"/>
        <v>1053.9705118734141</v>
      </c>
      <c r="G27" s="205">
        <f t="shared" si="1"/>
        <v>2322.1695843724815</v>
      </c>
      <c r="H27" s="205">
        <f t="shared" si="2"/>
        <v>1268.1990724990674</v>
      </c>
      <c r="I27" s="205">
        <f t="shared" si="3"/>
        <v>179412.46010580048</v>
      </c>
    </row>
    <row r="28" spans="3:9" x14ac:dyDescent="0.2">
      <c r="C28" s="47">
        <v>18</v>
      </c>
      <c r="D28" s="204">
        <v>45078</v>
      </c>
      <c r="E28" s="205">
        <f t="shared" si="4"/>
        <v>179412.46010580048</v>
      </c>
      <c r="F28" s="205">
        <f t="shared" si="0"/>
        <v>1046.5726839505028</v>
      </c>
      <c r="G28" s="205">
        <f t="shared" si="1"/>
        <v>2322.1695843724815</v>
      </c>
      <c r="H28" s="205">
        <f t="shared" si="2"/>
        <v>1275.5969004219787</v>
      </c>
      <c r="I28" s="205">
        <f t="shared" si="3"/>
        <v>178136.8632053785</v>
      </c>
    </row>
    <row r="29" spans="3:9" x14ac:dyDescent="0.2">
      <c r="C29" s="47">
        <v>19</v>
      </c>
      <c r="D29" s="204">
        <v>45108</v>
      </c>
      <c r="E29" s="205">
        <f t="shared" si="4"/>
        <v>178136.8632053785</v>
      </c>
      <c r="F29" s="205">
        <f t="shared" si="0"/>
        <v>1039.1317020313745</v>
      </c>
      <c r="G29" s="205">
        <f t="shared" si="1"/>
        <v>2322.1695843724815</v>
      </c>
      <c r="H29" s="205">
        <f t="shared" si="2"/>
        <v>1283.037882341107</v>
      </c>
      <c r="I29" s="205">
        <f t="shared" si="3"/>
        <v>176853.8253230374</v>
      </c>
    </row>
    <row r="30" spans="3:9" x14ac:dyDescent="0.2">
      <c r="C30" s="47">
        <v>20</v>
      </c>
      <c r="D30" s="204">
        <v>45139</v>
      </c>
      <c r="E30" s="205">
        <f t="shared" si="4"/>
        <v>176853.8253230374</v>
      </c>
      <c r="F30" s="205">
        <f t="shared" si="0"/>
        <v>1031.6473143843848</v>
      </c>
      <c r="G30" s="205">
        <f t="shared" si="1"/>
        <v>2322.1695843724815</v>
      </c>
      <c r="H30" s="205">
        <f t="shared" si="2"/>
        <v>1290.5222699880967</v>
      </c>
      <c r="I30" s="205">
        <f t="shared" si="3"/>
        <v>175563.30305304928</v>
      </c>
    </row>
    <row r="31" spans="3:9" x14ac:dyDescent="0.2">
      <c r="C31" s="47">
        <v>21</v>
      </c>
      <c r="D31" s="204">
        <v>45170</v>
      </c>
      <c r="E31" s="205">
        <f t="shared" si="4"/>
        <v>175563.30305304928</v>
      </c>
      <c r="F31" s="205">
        <f t="shared" si="0"/>
        <v>1024.1192678094542</v>
      </c>
      <c r="G31" s="205">
        <f t="shared" si="1"/>
        <v>2322.1695843724815</v>
      </c>
      <c r="H31" s="205">
        <f t="shared" si="2"/>
        <v>1298.0503165630273</v>
      </c>
      <c r="I31" s="205">
        <f t="shared" si="3"/>
        <v>174265.25273648626</v>
      </c>
    </row>
    <row r="32" spans="3:9" x14ac:dyDescent="0.2">
      <c r="C32" s="47">
        <v>22</v>
      </c>
      <c r="D32" s="204">
        <v>45200</v>
      </c>
      <c r="E32" s="205">
        <f t="shared" si="4"/>
        <v>174265.25273648626</v>
      </c>
      <c r="F32" s="205">
        <f t="shared" si="0"/>
        <v>1016.5473076295033</v>
      </c>
      <c r="G32" s="205">
        <f t="shared" si="1"/>
        <v>2322.1695843724815</v>
      </c>
      <c r="H32" s="205">
        <f t="shared" si="2"/>
        <v>1305.6222767429781</v>
      </c>
      <c r="I32" s="205">
        <f t="shared" si="3"/>
        <v>172959.63045974329</v>
      </c>
    </row>
    <row r="33" spans="3:9" x14ac:dyDescent="0.2">
      <c r="C33" s="47">
        <v>23</v>
      </c>
      <c r="D33" s="204">
        <v>45231</v>
      </c>
      <c r="E33" s="205">
        <f t="shared" si="4"/>
        <v>172959.63045974329</v>
      </c>
      <c r="F33" s="205">
        <f t="shared" si="0"/>
        <v>1008.9311776818359</v>
      </c>
      <c r="G33" s="205">
        <f t="shared" si="1"/>
        <v>2322.1695843724815</v>
      </c>
      <c r="H33" s="205">
        <f t="shared" si="2"/>
        <v>1313.2384066906457</v>
      </c>
      <c r="I33" s="205">
        <f t="shared" si="3"/>
        <v>171646.39205305264</v>
      </c>
    </row>
    <row r="34" spans="3:9" x14ac:dyDescent="0.2">
      <c r="C34" s="47">
        <v>24</v>
      </c>
      <c r="D34" s="204">
        <v>45261</v>
      </c>
      <c r="E34" s="205">
        <f t="shared" si="4"/>
        <v>171646.39205305264</v>
      </c>
      <c r="F34" s="205">
        <f t="shared" si="0"/>
        <v>1001.2706203094738</v>
      </c>
      <c r="G34" s="205">
        <f t="shared" si="1"/>
        <v>2322.1695843724815</v>
      </c>
      <c r="H34" s="205">
        <f t="shared" si="2"/>
        <v>1320.8989640630077</v>
      </c>
      <c r="I34" s="205">
        <f t="shared" si="3"/>
        <v>170325.49308898963</v>
      </c>
    </row>
    <row r="35" spans="3:9" x14ac:dyDescent="0.2">
      <c r="C35" s="47">
        <v>25</v>
      </c>
      <c r="D35" s="204">
        <v>45292</v>
      </c>
      <c r="E35" s="205">
        <f t="shared" si="4"/>
        <v>170325.49308898963</v>
      </c>
      <c r="F35" s="205">
        <f t="shared" si="0"/>
        <v>993.56537635243956</v>
      </c>
      <c r="G35" s="205">
        <f t="shared" si="1"/>
        <v>2322.1695843724815</v>
      </c>
      <c r="H35" s="205">
        <f t="shared" si="2"/>
        <v>1328.6042080200418</v>
      </c>
      <c r="I35" s="205">
        <f t="shared" si="3"/>
        <v>168996.88888096958</v>
      </c>
    </row>
    <row r="36" spans="3:9" x14ac:dyDescent="0.2">
      <c r="C36" s="47">
        <v>26</v>
      </c>
      <c r="D36" s="204">
        <v>45323</v>
      </c>
      <c r="E36" s="205">
        <f t="shared" si="4"/>
        <v>168996.88888096958</v>
      </c>
      <c r="F36" s="205">
        <f t="shared" si="0"/>
        <v>985.81518513898925</v>
      </c>
      <c r="G36" s="205">
        <f t="shared" si="1"/>
        <v>2322.1695843724815</v>
      </c>
      <c r="H36" s="205">
        <f t="shared" si="2"/>
        <v>1336.3543992334921</v>
      </c>
      <c r="I36" s="205">
        <f t="shared" si="3"/>
        <v>167660.53448173607</v>
      </c>
    </row>
    <row r="37" spans="3:9" x14ac:dyDescent="0.2">
      <c r="C37" s="47">
        <v>27</v>
      </c>
      <c r="D37" s="204">
        <v>45352</v>
      </c>
      <c r="E37" s="205">
        <f t="shared" si="4"/>
        <v>167660.53448173607</v>
      </c>
      <c r="F37" s="205">
        <f t="shared" si="0"/>
        <v>978.0197844767938</v>
      </c>
      <c r="G37" s="205">
        <f t="shared" si="1"/>
        <v>2322.1695843724815</v>
      </c>
      <c r="H37" s="205">
        <f t="shared" si="2"/>
        <v>1344.1497998956877</v>
      </c>
      <c r="I37" s="205">
        <f t="shared" si="3"/>
        <v>166316.38468184037</v>
      </c>
    </row>
    <row r="38" spans="3:9" x14ac:dyDescent="0.2">
      <c r="C38" s="47">
        <v>28</v>
      </c>
      <c r="D38" s="204">
        <v>45383</v>
      </c>
      <c r="E38" s="205">
        <f t="shared" si="4"/>
        <v>166316.38468184037</v>
      </c>
      <c r="F38" s="205">
        <f t="shared" si="0"/>
        <v>970.17891064406888</v>
      </c>
      <c r="G38" s="205">
        <f t="shared" si="1"/>
        <v>2322.1695843724815</v>
      </c>
      <c r="H38" s="205">
        <f t="shared" si="2"/>
        <v>1351.9906737284127</v>
      </c>
      <c r="I38" s="205">
        <f t="shared" si="3"/>
        <v>164964.39400811194</v>
      </c>
    </row>
    <row r="39" spans="3:9" x14ac:dyDescent="0.2">
      <c r="C39" s="47">
        <v>29</v>
      </c>
      <c r="D39" s="204">
        <v>45413</v>
      </c>
      <c r="E39" s="205">
        <f t="shared" si="4"/>
        <v>164964.39400811194</v>
      </c>
      <c r="F39" s="205">
        <f t="shared" si="0"/>
        <v>962.29229838065305</v>
      </c>
      <c r="G39" s="205">
        <f t="shared" si="1"/>
        <v>2322.1695843724815</v>
      </c>
      <c r="H39" s="205">
        <f t="shared" si="2"/>
        <v>1359.8772859918286</v>
      </c>
      <c r="I39" s="205">
        <f t="shared" si="3"/>
        <v>163604.51672212011</v>
      </c>
    </row>
    <row r="40" spans="3:9" x14ac:dyDescent="0.2">
      <c r="C40" s="47">
        <v>30</v>
      </c>
      <c r="D40" s="204">
        <v>45444</v>
      </c>
      <c r="E40" s="205">
        <f t="shared" si="4"/>
        <v>163604.51672212011</v>
      </c>
      <c r="F40" s="205">
        <f t="shared" si="0"/>
        <v>954.35968087903404</v>
      </c>
      <c r="G40" s="205">
        <f t="shared" si="1"/>
        <v>2322.1695843724815</v>
      </c>
      <c r="H40" s="205">
        <f t="shared" si="2"/>
        <v>1367.8099034934476</v>
      </c>
      <c r="I40" s="205">
        <f t="shared" si="3"/>
        <v>162236.70681862667</v>
      </c>
    </row>
    <row r="41" spans="3:9" x14ac:dyDescent="0.2">
      <c r="C41" s="47">
        <v>31</v>
      </c>
      <c r="D41" s="204">
        <v>45474</v>
      </c>
      <c r="E41" s="205">
        <f t="shared" si="4"/>
        <v>162236.70681862667</v>
      </c>
      <c r="F41" s="205">
        <f t="shared" si="0"/>
        <v>946.38078977532223</v>
      </c>
      <c r="G41" s="205">
        <f t="shared" si="1"/>
        <v>2322.1695843724815</v>
      </c>
      <c r="H41" s="205">
        <f t="shared" si="2"/>
        <v>1375.7887945971593</v>
      </c>
      <c r="I41" s="205">
        <f t="shared" si="3"/>
        <v>160860.9180240295</v>
      </c>
    </row>
    <row r="42" spans="3:9" x14ac:dyDescent="0.2">
      <c r="C42" s="47">
        <v>32</v>
      </c>
      <c r="D42" s="204">
        <v>45505</v>
      </c>
      <c r="E42" s="205">
        <f t="shared" si="4"/>
        <v>160860.9180240295</v>
      </c>
      <c r="F42" s="205">
        <f t="shared" si="0"/>
        <v>938.35535514017215</v>
      </c>
      <c r="G42" s="205">
        <f t="shared" si="1"/>
        <v>2322.1695843724815</v>
      </c>
      <c r="H42" s="205">
        <f t="shared" si="2"/>
        <v>1383.8142292323093</v>
      </c>
      <c r="I42" s="205">
        <f t="shared" si="3"/>
        <v>159477.10379479718</v>
      </c>
    </row>
    <row r="43" spans="3:9" x14ac:dyDescent="0.2">
      <c r="C43" s="47">
        <v>33</v>
      </c>
      <c r="D43" s="204">
        <v>45536</v>
      </c>
      <c r="E43" s="205">
        <f t="shared" si="4"/>
        <v>159477.10379479718</v>
      </c>
      <c r="F43" s="205">
        <f t="shared" si="0"/>
        <v>930.2831054696502</v>
      </c>
      <c r="G43" s="205">
        <f t="shared" si="1"/>
        <v>2322.1695843724815</v>
      </c>
      <c r="H43" s="205">
        <f t="shared" si="2"/>
        <v>1391.8864789028312</v>
      </c>
      <c r="I43" s="205">
        <f t="shared" si="3"/>
        <v>158085.21731589435</v>
      </c>
    </row>
    <row r="44" spans="3:9" x14ac:dyDescent="0.2">
      <c r="C44" s="47">
        <v>34</v>
      </c>
      <c r="D44" s="204">
        <v>45566</v>
      </c>
      <c r="E44" s="205">
        <f t="shared" si="4"/>
        <v>158085.21731589435</v>
      </c>
      <c r="F44" s="205">
        <f t="shared" si="0"/>
        <v>922.16376767605038</v>
      </c>
      <c r="G44" s="205">
        <f t="shared" si="1"/>
        <v>2322.1695843724815</v>
      </c>
      <c r="H44" s="205">
        <f t="shared" si="2"/>
        <v>1400.0058166964311</v>
      </c>
      <c r="I44" s="205">
        <f t="shared" si="3"/>
        <v>156685.2114991979</v>
      </c>
    </row>
    <row r="45" spans="3:9" x14ac:dyDescent="0.2">
      <c r="C45" s="47">
        <v>35</v>
      </c>
      <c r="D45" s="204">
        <v>45597</v>
      </c>
      <c r="E45" s="205">
        <f t="shared" si="4"/>
        <v>156685.2114991979</v>
      </c>
      <c r="F45" s="205">
        <f t="shared" si="0"/>
        <v>913.99706707865448</v>
      </c>
      <c r="G45" s="205">
        <f t="shared" si="1"/>
        <v>2322.1695843724815</v>
      </c>
      <c r="H45" s="205">
        <f t="shared" si="2"/>
        <v>1408.172517293827</v>
      </c>
      <c r="I45" s="205">
        <f t="shared" si="3"/>
        <v>155277.03898190407</v>
      </c>
    </row>
    <row r="46" spans="3:9" x14ac:dyDescent="0.2">
      <c r="C46" s="47">
        <v>36</v>
      </c>
      <c r="D46" s="204">
        <v>45627</v>
      </c>
      <c r="E46" s="205">
        <f t="shared" si="4"/>
        <v>155277.03898190407</v>
      </c>
      <c r="F46" s="205">
        <f t="shared" si="0"/>
        <v>905.78272739444049</v>
      </c>
      <c r="G46" s="205">
        <f t="shared" si="1"/>
        <v>2322.1695843724815</v>
      </c>
      <c r="H46" s="205">
        <f t="shared" si="2"/>
        <v>1416.3868569780411</v>
      </c>
      <c r="I46" s="205">
        <f t="shared" si="3"/>
        <v>153860.65212492601</v>
      </c>
    </row>
    <row r="47" spans="3:9" x14ac:dyDescent="0.2">
      <c r="C47" s="47">
        <v>37</v>
      </c>
      <c r="D47" s="204">
        <v>45658</v>
      </c>
      <c r="E47" s="205">
        <f t="shared" si="4"/>
        <v>153860.65212492601</v>
      </c>
      <c r="F47" s="205">
        <f t="shared" si="0"/>
        <v>897.52047072873506</v>
      </c>
      <c r="G47" s="205">
        <f t="shared" si="1"/>
        <v>2322.1695843724815</v>
      </c>
      <c r="H47" s="205">
        <f t="shared" si="2"/>
        <v>1424.6491136437464</v>
      </c>
      <c r="I47" s="205">
        <f t="shared" si="3"/>
        <v>152436.00301128227</v>
      </c>
    </row>
    <row r="48" spans="3:9" x14ac:dyDescent="0.2">
      <c r="C48" s="47">
        <v>38</v>
      </c>
      <c r="D48" s="204">
        <v>45689</v>
      </c>
      <c r="E48" s="205">
        <f t="shared" si="4"/>
        <v>152436.00301128227</v>
      </c>
      <c r="F48" s="205">
        <f t="shared" si="0"/>
        <v>889.21001756581325</v>
      </c>
      <c r="G48" s="205">
        <f t="shared" si="1"/>
        <v>2322.1695843724815</v>
      </c>
      <c r="H48" s="205">
        <f t="shared" si="2"/>
        <v>1432.9595668066681</v>
      </c>
      <c r="I48" s="205">
        <f t="shared" si="3"/>
        <v>151003.0434444756</v>
      </c>
    </row>
    <row r="49" spans="3:9" x14ac:dyDescent="0.2">
      <c r="C49" s="47">
        <v>39</v>
      </c>
      <c r="D49" s="204">
        <v>45717</v>
      </c>
      <c r="E49" s="205">
        <f t="shared" si="4"/>
        <v>151003.0434444756</v>
      </c>
      <c r="F49" s="205">
        <f t="shared" si="0"/>
        <v>880.85108675944105</v>
      </c>
      <c r="G49" s="205">
        <f t="shared" si="1"/>
        <v>2322.1695843724815</v>
      </c>
      <c r="H49" s="205">
        <f t="shared" si="2"/>
        <v>1441.3184976130406</v>
      </c>
      <c r="I49" s="205">
        <f t="shared" si="3"/>
        <v>149561.72494686255</v>
      </c>
    </row>
    <row r="50" spans="3:9" x14ac:dyDescent="0.2">
      <c r="C50" s="47">
        <v>40</v>
      </c>
      <c r="D50" s="204">
        <v>45748</v>
      </c>
      <c r="E50" s="205">
        <f t="shared" si="4"/>
        <v>149561.72494686255</v>
      </c>
      <c r="F50" s="205">
        <f t="shared" si="0"/>
        <v>872.44339552336498</v>
      </c>
      <c r="G50" s="205">
        <f t="shared" si="1"/>
        <v>2322.1695843724815</v>
      </c>
      <c r="H50" s="205">
        <f t="shared" si="2"/>
        <v>1449.7261888491166</v>
      </c>
      <c r="I50" s="205">
        <f t="shared" si="3"/>
        <v>148111.99875801342</v>
      </c>
    </row>
    <row r="51" spans="3:9" x14ac:dyDescent="0.2">
      <c r="C51" s="47">
        <v>41</v>
      </c>
      <c r="D51" s="204">
        <v>45778</v>
      </c>
      <c r="E51" s="205">
        <f t="shared" si="4"/>
        <v>148111.99875801342</v>
      </c>
      <c r="F51" s="205">
        <f t="shared" si="0"/>
        <v>863.986659421745</v>
      </c>
      <c r="G51" s="205">
        <f t="shared" si="1"/>
        <v>2322.1695843724815</v>
      </c>
      <c r="H51" s="205">
        <f t="shared" si="2"/>
        <v>1458.1829249507364</v>
      </c>
      <c r="I51" s="205">
        <f t="shared" si="3"/>
        <v>146653.81583306266</v>
      </c>
    </row>
    <row r="52" spans="3:9" x14ac:dyDescent="0.2">
      <c r="C52" s="47">
        <v>42</v>
      </c>
      <c r="D52" s="204">
        <v>45809</v>
      </c>
      <c r="E52" s="205">
        <f t="shared" si="4"/>
        <v>146653.81583306266</v>
      </c>
      <c r="F52" s="205">
        <f t="shared" si="0"/>
        <v>855.48059235953224</v>
      </c>
      <c r="G52" s="205">
        <f t="shared" si="1"/>
        <v>2322.1695843724815</v>
      </c>
      <c r="H52" s="205">
        <f t="shared" si="2"/>
        <v>1466.6889920129493</v>
      </c>
      <c r="I52" s="205">
        <f t="shared" si="3"/>
        <v>145187.1268410497</v>
      </c>
    </row>
    <row r="53" spans="3:9" x14ac:dyDescent="0.2">
      <c r="C53" s="47">
        <v>43</v>
      </c>
      <c r="D53" s="204">
        <v>45839</v>
      </c>
      <c r="E53" s="205">
        <f t="shared" si="4"/>
        <v>145187.1268410497</v>
      </c>
      <c r="F53" s="205">
        <f t="shared" si="0"/>
        <v>846.92490657278995</v>
      </c>
      <c r="G53" s="205">
        <f t="shared" si="1"/>
        <v>2322.1695843724815</v>
      </c>
      <c r="H53" s="205">
        <f t="shared" si="2"/>
        <v>1475.2446777996915</v>
      </c>
      <c r="I53" s="205">
        <f t="shared" si="3"/>
        <v>143711.88216325</v>
      </c>
    </row>
    <row r="54" spans="3:9" x14ac:dyDescent="0.2">
      <c r="C54" s="47">
        <v>44</v>
      </c>
      <c r="D54" s="204">
        <v>45870</v>
      </c>
      <c r="E54" s="205">
        <f t="shared" si="4"/>
        <v>143711.88216325</v>
      </c>
      <c r="F54" s="205">
        <f t="shared" si="0"/>
        <v>838.31931261895841</v>
      </c>
      <c r="G54" s="205">
        <f t="shared" si="1"/>
        <v>2322.1695843724815</v>
      </c>
      <c r="H54" s="205">
        <f t="shared" si="2"/>
        <v>1483.850271753523</v>
      </c>
      <c r="I54" s="205">
        <f t="shared" si="3"/>
        <v>142228.03189149647</v>
      </c>
    </row>
    <row r="55" spans="3:9" x14ac:dyDescent="0.2">
      <c r="C55" s="47">
        <v>45</v>
      </c>
      <c r="D55" s="204">
        <v>45901</v>
      </c>
      <c r="E55" s="205">
        <f t="shared" si="4"/>
        <v>142228.03189149647</v>
      </c>
      <c r="F55" s="205">
        <f t="shared" si="0"/>
        <v>829.6635193670628</v>
      </c>
      <c r="G55" s="205">
        <f t="shared" si="1"/>
        <v>2322.1695843724815</v>
      </c>
      <c r="H55" s="205">
        <f t="shared" si="2"/>
        <v>1492.5060650054188</v>
      </c>
      <c r="I55" s="205">
        <f t="shared" si="3"/>
        <v>140735.52582649104</v>
      </c>
    </row>
    <row r="56" spans="3:9" x14ac:dyDescent="0.2">
      <c r="C56" s="47">
        <v>46</v>
      </c>
      <c r="D56" s="204">
        <v>45931</v>
      </c>
      <c r="E56" s="205">
        <f t="shared" si="4"/>
        <v>140735.52582649104</v>
      </c>
      <c r="F56" s="205">
        <f t="shared" si="0"/>
        <v>820.95723398786447</v>
      </c>
      <c r="G56" s="205">
        <f t="shared" si="1"/>
        <v>2322.1695843724815</v>
      </c>
      <c r="H56" s="205">
        <f t="shared" si="2"/>
        <v>1501.2123503846169</v>
      </c>
      <c r="I56" s="205">
        <f t="shared" si="3"/>
        <v>139234.31347610641</v>
      </c>
    </row>
    <row r="57" spans="3:9" x14ac:dyDescent="0.2">
      <c r="C57" s="47">
        <v>47</v>
      </c>
      <c r="D57" s="204">
        <v>45962</v>
      </c>
      <c r="E57" s="205">
        <f t="shared" si="4"/>
        <v>139234.31347610641</v>
      </c>
      <c r="F57" s="205">
        <f t="shared" si="0"/>
        <v>812.20016194395407</v>
      </c>
      <c r="G57" s="205">
        <f t="shared" si="1"/>
        <v>2322.1695843724815</v>
      </c>
      <c r="H57" s="205">
        <f t="shared" si="2"/>
        <v>1509.9694224285274</v>
      </c>
      <c r="I57" s="205">
        <f t="shared" si="3"/>
        <v>137724.34405367787</v>
      </c>
    </row>
    <row r="58" spans="3:9" x14ac:dyDescent="0.2">
      <c r="C58" s="47">
        <v>48</v>
      </c>
      <c r="D58" s="204">
        <v>45992</v>
      </c>
      <c r="E58" s="205">
        <f t="shared" si="4"/>
        <v>137724.34405367787</v>
      </c>
      <c r="F58" s="205">
        <f t="shared" si="0"/>
        <v>803.39200697978754</v>
      </c>
      <c r="G58" s="205">
        <f t="shared" si="1"/>
        <v>2322.1695843724815</v>
      </c>
      <c r="H58" s="205">
        <f t="shared" si="2"/>
        <v>1518.777577392694</v>
      </c>
      <c r="I58" s="205">
        <f t="shared" si="3"/>
        <v>136205.56647628517</v>
      </c>
    </row>
    <row r="59" spans="3:9" x14ac:dyDescent="0.2">
      <c r="C59" s="47">
        <v>49</v>
      </c>
      <c r="D59" s="204">
        <v>46023</v>
      </c>
      <c r="E59" s="205">
        <f t="shared" si="4"/>
        <v>136205.56647628517</v>
      </c>
      <c r="F59" s="205">
        <f t="shared" si="0"/>
        <v>794.53247111166354</v>
      </c>
      <c r="G59" s="205">
        <f t="shared" si="1"/>
        <v>2322.1695843724815</v>
      </c>
      <c r="H59" s="205">
        <f t="shared" si="2"/>
        <v>1527.6371132608178</v>
      </c>
      <c r="I59" s="205">
        <f t="shared" si="3"/>
        <v>134677.92936302433</v>
      </c>
    </row>
    <row r="60" spans="3:9" x14ac:dyDescent="0.2">
      <c r="C60" s="47">
        <v>50</v>
      </c>
      <c r="D60" s="204">
        <v>46054</v>
      </c>
      <c r="E60" s="205">
        <f t="shared" si="4"/>
        <v>134677.92936302433</v>
      </c>
      <c r="F60" s="205">
        <f t="shared" si="0"/>
        <v>785.62125461764197</v>
      </c>
      <c r="G60" s="205">
        <f t="shared" si="1"/>
        <v>2322.1695843724815</v>
      </c>
      <c r="H60" s="205">
        <f t="shared" si="2"/>
        <v>1536.5483297548394</v>
      </c>
      <c r="I60" s="205">
        <f t="shared" si="3"/>
        <v>133141.38103326948</v>
      </c>
    </row>
    <row r="61" spans="3:9" x14ac:dyDescent="0.2">
      <c r="C61" s="47">
        <v>51</v>
      </c>
      <c r="D61" s="204">
        <v>46082</v>
      </c>
      <c r="E61" s="205">
        <f t="shared" si="4"/>
        <v>133141.38103326948</v>
      </c>
      <c r="F61" s="205">
        <f t="shared" si="0"/>
        <v>776.65805602740534</v>
      </c>
      <c r="G61" s="205">
        <f t="shared" si="1"/>
        <v>2322.1695843724815</v>
      </c>
      <c r="H61" s="205">
        <f t="shared" si="2"/>
        <v>1545.5115283450762</v>
      </c>
      <c r="I61" s="205">
        <f t="shared" si="3"/>
        <v>131595.8695049244</v>
      </c>
    </row>
    <row r="62" spans="3:9" x14ac:dyDescent="0.2">
      <c r="C62" s="47">
        <v>52</v>
      </c>
      <c r="D62" s="204">
        <v>46113</v>
      </c>
      <c r="E62" s="205">
        <f t="shared" si="4"/>
        <v>131595.8695049244</v>
      </c>
      <c r="F62" s="205">
        <f t="shared" si="0"/>
        <v>767.64257211205904</v>
      </c>
      <c r="G62" s="205">
        <f t="shared" si="1"/>
        <v>2322.1695843724815</v>
      </c>
      <c r="H62" s="205">
        <f t="shared" si="2"/>
        <v>1554.5270122604225</v>
      </c>
      <c r="I62" s="205">
        <f t="shared" si="3"/>
        <v>130041.34249266397</v>
      </c>
    </row>
    <row r="63" spans="3:9" x14ac:dyDescent="0.2">
      <c r="C63" s="47">
        <v>53</v>
      </c>
      <c r="D63" s="204">
        <v>46143</v>
      </c>
      <c r="E63" s="205">
        <f t="shared" si="4"/>
        <v>130041.34249266397</v>
      </c>
      <c r="F63" s="205">
        <f t="shared" si="0"/>
        <v>758.57449787387316</v>
      </c>
      <c r="G63" s="205">
        <f t="shared" si="1"/>
        <v>2322.1695843724815</v>
      </c>
      <c r="H63" s="205">
        <f t="shared" si="2"/>
        <v>1563.5950864986085</v>
      </c>
      <c r="I63" s="205">
        <f t="shared" si="3"/>
        <v>128477.74740616536</v>
      </c>
    </row>
    <row r="64" spans="3:9" x14ac:dyDescent="0.2">
      <c r="C64" s="47">
        <v>54</v>
      </c>
      <c r="D64" s="204">
        <v>46174</v>
      </c>
      <c r="E64" s="205">
        <f t="shared" si="4"/>
        <v>128477.74740616536</v>
      </c>
      <c r="F64" s="205">
        <f t="shared" si="0"/>
        <v>749.45352653596467</v>
      </c>
      <c r="G64" s="205">
        <f t="shared" si="1"/>
        <v>2322.1695843724815</v>
      </c>
      <c r="H64" s="205">
        <f t="shared" si="2"/>
        <v>1572.7160578365169</v>
      </c>
      <c r="I64" s="205">
        <f t="shared" si="3"/>
        <v>126905.03134832883</v>
      </c>
    </row>
    <row r="65" spans="3:9" x14ac:dyDescent="0.2">
      <c r="C65" s="47">
        <v>55</v>
      </c>
      <c r="D65" s="204">
        <v>46204</v>
      </c>
      <c r="E65" s="205">
        <f t="shared" si="4"/>
        <v>126905.03134832883</v>
      </c>
      <c r="F65" s="205">
        <f t="shared" si="0"/>
        <v>740.27934953191823</v>
      </c>
      <c r="G65" s="205">
        <f t="shared" si="1"/>
        <v>2322.1695843724815</v>
      </c>
      <c r="H65" s="205">
        <f t="shared" si="2"/>
        <v>1581.8902348405632</v>
      </c>
      <c r="I65" s="205">
        <f t="shared" si="3"/>
        <v>125323.14111348827</v>
      </c>
    </row>
    <row r="66" spans="3:9" x14ac:dyDescent="0.2">
      <c r="C66" s="47">
        <v>56</v>
      </c>
      <c r="D66" s="204">
        <v>46235</v>
      </c>
      <c r="E66" s="205">
        <f t="shared" si="4"/>
        <v>125323.14111348827</v>
      </c>
      <c r="F66" s="205">
        <f t="shared" si="0"/>
        <v>731.0516564953482</v>
      </c>
      <c r="G66" s="205">
        <f t="shared" si="1"/>
        <v>2322.1695843724815</v>
      </c>
      <c r="H66" s="205">
        <f t="shared" si="2"/>
        <v>1591.1179278771333</v>
      </c>
      <c r="I66" s="205">
        <f t="shared" si="3"/>
        <v>123732.02318561112</v>
      </c>
    </row>
    <row r="67" spans="3:9" x14ac:dyDescent="0.2">
      <c r="C67" s="47">
        <v>57</v>
      </c>
      <c r="D67" s="204">
        <v>46266</v>
      </c>
      <c r="E67" s="205">
        <f t="shared" si="4"/>
        <v>123732.02318561112</v>
      </c>
      <c r="F67" s="205">
        <f t="shared" si="0"/>
        <v>721.77013524939821</v>
      </c>
      <c r="G67" s="205">
        <f t="shared" si="1"/>
        <v>2322.1695843724815</v>
      </c>
      <c r="H67" s="205">
        <f t="shared" si="2"/>
        <v>1600.3994491230833</v>
      </c>
      <c r="I67" s="205">
        <f t="shared" si="3"/>
        <v>122131.62373648804</v>
      </c>
    </row>
    <row r="68" spans="3:9" x14ac:dyDescent="0.2">
      <c r="C68" s="47">
        <v>58</v>
      </c>
      <c r="D68" s="204">
        <v>46296</v>
      </c>
      <c r="E68" s="205">
        <f t="shared" si="4"/>
        <v>122131.62373648804</v>
      </c>
      <c r="F68" s="205">
        <f t="shared" si="0"/>
        <v>712.43447179618022</v>
      </c>
      <c r="G68" s="205">
        <f t="shared" si="1"/>
        <v>2322.1695843724815</v>
      </c>
      <c r="H68" s="205">
        <f t="shared" si="2"/>
        <v>1609.7351125763012</v>
      </c>
      <c r="I68" s="205">
        <f t="shared" si="3"/>
        <v>120521.88862391173</v>
      </c>
    </row>
    <row r="69" spans="3:9" x14ac:dyDescent="0.2">
      <c r="C69" s="47">
        <v>59</v>
      </c>
      <c r="D69" s="204">
        <v>46327</v>
      </c>
      <c r="E69" s="205">
        <f t="shared" si="4"/>
        <v>120521.88862391173</v>
      </c>
      <c r="F69" s="205">
        <f t="shared" si="0"/>
        <v>703.04435030615173</v>
      </c>
      <c r="G69" s="205">
        <f t="shared" si="1"/>
        <v>2322.1695843724815</v>
      </c>
      <c r="H69" s="205">
        <f t="shared" si="2"/>
        <v>1619.1252340663298</v>
      </c>
      <c r="I69" s="205">
        <f t="shared" si="3"/>
        <v>118902.76338984539</v>
      </c>
    </row>
    <row r="70" spans="3:9" x14ac:dyDescent="0.2">
      <c r="C70" s="47">
        <v>60</v>
      </c>
      <c r="D70" s="204">
        <v>46357</v>
      </c>
      <c r="E70" s="205">
        <f t="shared" si="4"/>
        <v>118902.76338984539</v>
      </c>
      <c r="F70" s="205">
        <f t="shared" si="0"/>
        <v>693.59945310743149</v>
      </c>
      <c r="G70" s="205">
        <f t="shared" si="1"/>
        <v>2322.1695843724815</v>
      </c>
      <c r="H70" s="205">
        <f t="shared" si="2"/>
        <v>1628.5701312650499</v>
      </c>
      <c r="I70" s="205">
        <f t="shared" si="3"/>
        <v>117274.19325858033</v>
      </c>
    </row>
    <row r="71" spans="3:9" x14ac:dyDescent="0.2">
      <c r="C71" s="47">
        <v>61</v>
      </c>
      <c r="D71" s="204">
        <v>46388</v>
      </c>
      <c r="E71" s="205">
        <f t="shared" si="4"/>
        <v>117274.19325858033</v>
      </c>
      <c r="F71" s="205">
        <f t="shared" si="0"/>
        <v>684.099460675052</v>
      </c>
      <c r="G71" s="205">
        <f t="shared" si="1"/>
        <v>2322.1695843724815</v>
      </c>
      <c r="H71" s="205">
        <f t="shared" si="2"/>
        <v>1638.0701236974296</v>
      </c>
      <c r="I71" s="205">
        <f t="shared" si="3"/>
        <v>115636.12313488289</v>
      </c>
    </row>
    <row r="72" spans="3:9" x14ac:dyDescent="0.2">
      <c r="C72" s="47">
        <v>62</v>
      </c>
      <c r="D72" s="204">
        <v>46419</v>
      </c>
      <c r="E72" s="205">
        <f t="shared" si="4"/>
        <v>115636.12313488289</v>
      </c>
      <c r="F72" s="205">
        <f t="shared" si="0"/>
        <v>674.54405162015019</v>
      </c>
      <c r="G72" s="205">
        <f t="shared" si="1"/>
        <v>2322.1695843724815</v>
      </c>
      <c r="H72" s="205">
        <f t="shared" si="2"/>
        <v>1647.6255327523313</v>
      </c>
      <c r="I72" s="205">
        <f t="shared" si="3"/>
        <v>113988.49760213055</v>
      </c>
    </row>
    <row r="73" spans="3:9" x14ac:dyDescent="0.2">
      <c r="C73" s="47">
        <v>63</v>
      </c>
      <c r="D73" s="204">
        <v>46447</v>
      </c>
      <c r="E73" s="205">
        <f t="shared" si="4"/>
        <v>113988.49760213055</v>
      </c>
      <c r="F73" s="205">
        <f t="shared" si="0"/>
        <v>664.93290267909492</v>
      </c>
      <c r="G73" s="205">
        <f t="shared" si="1"/>
        <v>2322.1695843724815</v>
      </c>
      <c r="H73" s="205">
        <f t="shared" si="2"/>
        <v>1657.2366816933866</v>
      </c>
      <c r="I73" s="205">
        <f t="shared" si="3"/>
        <v>112331.26092043715</v>
      </c>
    </row>
    <row r="74" spans="3:9" x14ac:dyDescent="0.2">
      <c r="C74" s="47">
        <v>64</v>
      </c>
      <c r="D74" s="204">
        <v>46478</v>
      </c>
      <c r="E74" s="205">
        <f t="shared" si="4"/>
        <v>112331.26092043715</v>
      </c>
      <c r="F74" s="205">
        <f t="shared" si="0"/>
        <v>655.26568870255005</v>
      </c>
      <c r="G74" s="205">
        <f t="shared" si="1"/>
        <v>2322.1695843724815</v>
      </c>
      <c r="H74" s="205">
        <f t="shared" si="2"/>
        <v>1666.9038956699314</v>
      </c>
      <c r="I74" s="205">
        <f t="shared" si="3"/>
        <v>110664.35702476722</v>
      </c>
    </row>
    <row r="75" spans="3:9" x14ac:dyDescent="0.2">
      <c r="C75" s="47">
        <v>65</v>
      </c>
      <c r="D75" s="204">
        <v>46508</v>
      </c>
      <c r="E75" s="205">
        <f t="shared" si="4"/>
        <v>110664.35702476722</v>
      </c>
      <c r="F75" s="205">
        <f t="shared" si="0"/>
        <v>645.5420826444755</v>
      </c>
      <c r="G75" s="205">
        <f t="shared" si="1"/>
        <v>2322.1695843724815</v>
      </c>
      <c r="H75" s="205">
        <f t="shared" si="2"/>
        <v>1676.6275017280059</v>
      </c>
      <c r="I75" s="205">
        <f t="shared" si="3"/>
        <v>108987.7295230392</v>
      </c>
    </row>
    <row r="76" spans="3:9" x14ac:dyDescent="0.2">
      <c r="C76" s="47">
        <v>66</v>
      </c>
      <c r="D76" s="204">
        <v>46539</v>
      </c>
      <c r="E76" s="205">
        <f t="shared" si="4"/>
        <v>108987.7295230392</v>
      </c>
      <c r="F76" s="205">
        <f t="shared" ref="F76:F130" si="5">$E$5*E76</f>
        <v>635.76175555106204</v>
      </c>
      <c r="G76" s="205">
        <f t="shared" ref="G76:G130" si="6">$E$6</f>
        <v>2322.1695843724815</v>
      </c>
      <c r="H76" s="205">
        <f t="shared" ref="H76:H127" si="7">G76-F76</f>
        <v>1686.4078288214196</v>
      </c>
      <c r="I76" s="205">
        <f t="shared" ref="I76:I127" si="8">E76+F76-G76</f>
        <v>107301.32169421778</v>
      </c>
    </row>
    <row r="77" spans="3:9" x14ac:dyDescent="0.2">
      <c r="C77" s="47">
        <v>67</v>
      </c>
      <c r="D77" s="204">
        <v>46569</v>
      </c>
      <c r="E77" s="205">
        <f t="shared" ref="E77:E127" si="9">I76</f>
        <v>107301.32169421778</v>
      </c>
      <c r="F77" s="205">
        <f t="shared" si="5"/>
        <v>625.92437654960372</v>
      </c>
      <c r="G77" s="205">
        <f t="shared" si="6"/>
        <v>2322.1695843724815</v>
      </c>
      <c r="H77" s="205">
        <f t="shared" si="7"/>
        <v>1696.2452078228778</v>
      </c>
      <c r="I77" s="205">
        <f t="shared" si="8"/>
        <v>105605.0764863949</v>
      </c>
    </row>
    <row r="78" spans="3:9" x14ac:dyDescent="0.2">
      <c r="C78" s="47">
        <v>68</v>
      </c>
      <c r="D78" s="204">
        <v>46600</v>
      </c>
      <c r="E78" s="205">
        <f t="shared" si="9"/>
        <v>105605.0764863949</v>
      </c>
      <c r="F78" s="205">
        <f t="shared" si="5"/>
        <v>616.0296128373036</v>
      </c>
      <c r="G78" s="205">
        <f t="shared" si="6"/>
        <v>2322.1695843724815</v>
      </c>
      <c r="H78" s="205">
        <f t="shared" si="7"/>
        <v>1706.1399715351779</v>
      </c>
      <c r="I78" s="205">
        <f t="shared" si="8"/>
        <v>103898.93651485971</v>
      </c>
    </row>
    <row r="79" spans="3:9" x14ac:dyDescent="0.2">
      <c r="C79" s="47">
        <v>69</v>
      </c>
      <c r="D79" s="204">
        <v>46631</v>
      </c>
      <c r="E79" s="205">
        <f t="shared" si="9"/>
        <v>103898.93651485971</v>
      </c>
      <c r="F79" s="205">
        <f t="shared" si="5"/>
        <v>606.07712967001498</v>
      </c>
      <c r="G79" s="205">
        <f t="shared" si="6"/>
        <v>2322.1695843724815</v>
      </c>
      <c r="H79" s="205">
        <f t="shared" si="7"/>
        <v>1716.0924547024665</v>
      </c>
      <c r="I79" s="205">
        <f t="shared" si="8"/>
        <v>102182.84406015724</v>
      </c>
    </row>
    <row r="80" spans="3:9" x14ac:dyDescent="0.2">
      <c r="C80" s="47">
        <v>70</v>
      </c>
      <c r="D80" s="206">
        <v>46661</v>
      </c>
      <c r="E80" s="207">
        <f t="shared" si="9"/>
        <v>102182.84406015724</v>
      </c>
      <c r="F80" s="207">
        <f t="shared" si="5"/>
        <v>596.06659035091729</v>
      </c>
      <c r="G80" s="207">
        <f t="shared" si="6"/>
        <v>2322.1695843724815</v>
      </c>
      <c r="H80" s="207">
        <f t="shared" si="7"/>
        <v>1726.1029940215642</v>
      </c>
      <c r="I80" s="207">
        <f t="shared" si="8"/>
        <v>100456.74106613567</v>
      </c>
    </row>
    <row r="81" spans="3:9" x14ac:dyDescent="0.2">
      <c r="C81" s="47">
        <v>71</v>
      </c>
      <c r="D81" s="206">
        <v>46692</v>
      </c>
      <c r="E81" s="207">
        <f t="shared" si="9"/>
        <v>100456.74106613567</v>
      </c>
      <c r="F81" s="207">
        <f t="shared" si="5"/>
        <v>585.99765621912479</v>
      </c>
      <c r="G81" s="207">
        <f t="shared" si="6"/>
        <v>2322.1695843724815</v>
      </c>
      <c r="H81" s="207">
        <f t="shared" si="7"/>
        <v>1736.1719281533567</v>
      </c>
      <c r="I81" s="207">
        <f t="shared" si="8"/>
        <v>98720.569137982311</v>
      </c>
    </row>
    <row r="82" spans="3:9" x14ac:dyDescent="0.2">
      <c r="C82" s="47">
        <v>72</v>
      </c>
      <c r="D82" s="204">
        <v>46722</v>
      </c>
      <c r="E82" s="205">
        <f t="shared" si="9"/>
        <v>98720.569137982311</v>
      </c>
      <c r="F82" s="205">
        <f t="shared" si="5"/>
        <v>575.86998663823022</v>
      </c>
      <c r="G82" s="205">
        <f t="shared" si="6"/>
        <v>2322.1695843724815</v>
      </c>
      <c r="H82" s="205">
        <f t="shared" si="7"/>
        <v>1746.2995977342512</v>
      </c>
      <c r="I82" s="205">
        <f t="shared" si="8"/>
        <v>96974.269540248046</v>
      </c>
    </row>
    <row r="83" spans="3:9" x14ac:dyDescent="0.2">
      <c r="C83" s="47">
        <v>73</v>
      </c>
      <c r="D83" s="204">
        <v>46753</v>
      </c>
      <c r="E83" s="205">
        <f t="shared" si="9"/>
        <v>96974.269540248046</v>
      </c>
      <c r="F83" s="205">
        <f t="shared" si="5"/>
        <v>565.68323898478025</v>
      </c>
      <c r="G83" s="205">
        <f t="shared" si="6"/>
        <v>2322.1695843724815</v>
      </c>
      <c r="H83" s="205">
        <f t="shared" si="7"/>
        <v>1756.4863453877012</v>
      </c>
      <c r="I83" s="205">
        <f t="shared" si="8"/>
        <v>95217.783194860342</v>
      </c>
    </row>
    <row r="84" spans="3:9" x14ac:dyDescent="0.2">
      <c r="C84" s="47">
        <v>74</v>
      </c>
      <c r="D84" s="204">
        <v>46784</v>
      </c>
      <c r="E84" s="205">
        <f t="shared" si="9"/>
        <v>95217.783194860342</v>
      </c>
      <c r="F84" s="205">
        <f t="shared" si="5"/>
        <v>555.43706863668535</v>
      </c>
      <c r="G84" s="205">
        <f t="shared" si="6"/>
        <v>2322.1695843724815</v>
      </c>
      <c r="H84" s="205">
        <f t="shared" si="7"/>
        <v>1766.7325157357961</v>
      </c>
      <c r="I84" s="205">
        <f t="shared" si="8"/>
        <v>93451.050679124543</v>
      </c>
    </row>
    <row r="85" spans="3:9" x14ac:dyDescent="0.2">
      <c r="C85" s="47">
        <v>75</v>
      </c>
      <c r="D85" s="204">
        <v>46813</v>
      </c>
      <c r="E85" s="205">
        <f t="shared" si="9"/>
        <v>93451.050679124543</v>
      </c>
      <c r="F85" s="205">
        <f t="shared" si="5"/>
        <v>545.13112896155985</v>
      </c>
      <c r="G85" s="205">
        <f t="shared" si="6"/>
        <v>2322.1695843724815</v>
      </c>
      <c r="H85" s="205">
        <f t="shared" si="7"/>
        <v>1777.0384554109216</v>
      </c>
      <c r="I85" s="205">
        <f t="shared" si="8"/>
        <v>91674.012223713609</v>
      </c>
    </row>
    <row r="86" spans="3:9" x14ac:dyDescent="0.2">
      <c r="C86" s="47">
        <v>76</v>
      </c>
      <c r="D86" s="204">
        <v>46844</v>
      </c>
      <c r="E86" s="205">
        <f t="shared" si="9"/>
        <v>91674.012223713609</v>
      </c>
      <c r="F86" s="205">
        <f t="shared" si="5"/>
        <v>534.76507130499613</v>
      </c>
      <c r="G86" s="205">
        <f t="shared" si="6"/>
        <v>2322.1695843724815</v>
      </c>
      <c r="H86" s="205">
        <f t="shared" si="7"/>
        <v>1787.4045130674854</v>
      </c>
      <c r="I86" s="205">
        <f t="shared" si="8"/>
        <v>89886.607710646116</v>
      </c>
    </row>
    <row r="87" spans="3:9" x14ac:dyDescent="0.2">
      <c r="C87" s="47">
        <v>77</v>
      </c>
      <c r="D87" s="204">
        <v>46874</v>
      </c>
      <c r="E87" s="205">
        <f t="shared" si="9"/>
        <v>89886.607710646116</v>
      </c>
      <c r="F87" s="205">
        <f t="shared" si="5"/>
        <v>524.33854497876905</v>
      </c>
      <c r="G87" s="205">
        <f t="shared" si="6"/>
        <v>2322.1695843724815</v>
      </c>
      <c r="H87" s="205">
        <f t="shared" si="7"/>
        <v>1797.8310393937124</v>
      </c>
      <c r="I87" s="205">
        <f t="shared" si="8"/>
        <v>88088.776671252403</v>
      </c>
    </row>
    <row r="88" spans="3:9" x14ac:dyDescent="0.2">
      <c r="C88" s="47">
        <v>78</v>
      </c>
      <c r="D88" s="204">
        <v>46905</v>
      </c>
      <c r="E88" s="205">
        <f t="shared" si="9"/>
        <v>88088.776671252403</v>
      </c>
      <c r="F88" s="205">
        <f t="shared" si="5"/>
        <v>513.85119724897243</v>
      </c>
      <c r="G88" s="205">
        <f t="shared" si="6"/>
        <v>2322.1695843724815</v>
      </c>
      <c r="H88" s="205">
        <f t="shared" si="7"/>
        <v>1808.3183871235092</v>
      </c>
      <c r="I88" s="205">
        <f t="shared" si="8"/>
        <v>86280.458284128894</v>
      </c>
    </row>
    <row r="89" spans="3:9" x14ac:dyDescent="0.2">
      <c r="C89" s="47">
        <v>79</v>
      </c>
      <c r="D89" s="204">
        <v>46935</v>
      </c>
      <c r="E89" s="205">
        <f t="shared" si="9"/>
        <v>86280.458284128894</v>
      </c>
      <c r="F89" s="205">
        <f t="shared" si="5"/>
        <v>503.30267332408522</v>
      </c>
      <c r="G89" s="205">
        <f t="shared" si="6"/>
        <v>2322.1695843724815</v>
      </c>
      <c r="H89" s="205">
        <f t="shared" si="7"/>
        <v>1818.8669110483963</v>
      </c>
      <c r="I89" s="205">
        <f t="shared" si="8"/>
        <v>84461.59137308049</v>
      </c>
    </row>
    <row r="90" spans="3:9" x14ac:dyDescent="0.2">
      <c r="C90" s="47">
        <v>80</v>
      </c>
      <c r="D90" s="204">
        <v>46966</v>
      </c>
      <c r="E90" s="205">
        <f t="shared" si="9"/>
        <v>84461.59137308049</v>
      </c>
      <c r="F90" s="205">
        <f t="shared" si="5"/>
        <v>492.69261634296953</v>
      </c>
      <c r="G90" s="205">
        <f t="shared" si="6"/>
        <v>2322.1695843724815</v>
      </c>
      <c r="H90" s="205">
        <f t="shared" si="7"/>
        <v>1829.4769680295119</v>
      </c>
      <c r="I90" s="205">
        <f t="shared" si="8"/>
        <v>82632.114405050976</v>
      </c>
    </row>
    <row r="91" spans="3:9" x14ac:dyDescent="0.2">
      <c r="C91" s="47">
        <v>81</v>
      </c>
      <c r="D91" s="204">
        <v>46997</v>
      </c>
      <c r="E91" s="205">
        <f t="shared" si="9"/>
        <v>82632.114405050976</v>
      </c>
      <c r="F91" s="205">
        <f t="shared" si="5"/>
        <v>482.02066736279738</v>
      </c>
      <c r="G91" s="205">
        <f t="shared" si="6"/>
        <v>2322.1695843724815</v>
      </c>
      <c r="H91" s="205">
        <f t="shared" si="7"/>
        <v>1840.1489170096841</v>
      </c>
      <c r="I91" s="205">
        <f t="shared" si="8"/>
        <v>80791.965488041285</v>
      </c>
    </row>
    <row r="92" spans="3:9" x14ac:dyDescent="0.2">
      <c r="C92" s="47">
        <v>82</v>
      </c>
      <c r="D92" s="204">
        <v>47027</v>
      </c>
      <c r="E92" s="205">
        <f t="shared" si="9"/>
        <v>80791.965488041285</v>
      </c>
      <c r="F92" s="205">
        <f t="shared" si="5"/>
        <v>471.28646534690751</v>
      </c>
      <c r="G92" s="205">
        <f t="shared" si="6"/>
        <v>2322.1695843724815</v>
      </c>
      <c r="H92" s="205">
        <f t="shared" si="7"/>
        <v>1850.8831190255739</v>
      </c>
      <c r="I92" s="205">
        <f t="shared" si="8"/>
        <v>78941.082369015698</v>
      </c>
    </row>
    <row r="93" spans="3:9" x14ac:dyDescent="0.2">
      <c r="C93" s="47">
        <v>83</v>
      </c>
      <c r="D93" s="204">
        <v>47058</v>
      </c>
      <c r="E93" s="205">
        <f t="shared" si="9"/>
        <v>78941.082369015698</v>
      </c>
      <c r="F93" s="205">
        <f t="shared" si="5"/>
        <v>460.4896471525916</v>
      </c>
      <c r="G93" s="205">
        <f t="shared" si="6"/>
        <v>2322.1695843724815</v>
      </c>
      <c r="H93" s="205">
        <f t="shared" si="7"/>
        <v>1861.6799372198898</v>
      </c>
      <c r="I93" s="205">
        <f t="shared" si="8"/>
        <v>77079.402431795796</v>
      </c>
    </row>
    <row r="94" spans="3:9" x14ac:dyDescent="0.2">
      <c r="C94" s="47">
        <v>84</v>
      </c>
      <c r="D94" s="204">
        <v>47088</v>
      </c>
      <c r="E94" s="205">
        <f t="shared" si="9"/>
        <v>77079.402431795796</v>
      </c>
      <c r="F94" s="205">
        <f t="shared" si="5"/>
        <v>449.62984751880884</v>
      </c>
      <c r="G94" s="205">
        <f t="shared" si="6"/>
        <v>2322.1695843724815</v>
      </c>
      <c r="H94" s="205">
        <f t="shared" si="7"/>
        <v>1872.5397368536726</v>
      </c>
      <c r="I94" s="205">
        <f t="shared" si="8"/>
        <v>75206.862694942116</v>
      </c>
    </row>
    <row r="95" spans="3:9" x14ac:dyDescent="0.2">
      <c r="C95" s="47">
        <v>85</v>
      </c>
      <c r="D95" s="204">
        <v>47119</v>
      </c>
      <c r="E95" s="205">
        <f t="shared" si="9"/>
        <v>75206.862694942116</v>
      </c>
      <c r="F95" s="205">
        <f t="shared" si="5"/>
        <v>438.70669905382903</v>
      </c>
      <c r="G95" s="205">
        <f t="shared" si="6"/>
        <v>2322.1695843724815</v>
      </c>
      <c r="H95" s="205">
        <f t="shared" si="7"/>
        <v>1883.4628853186525</v>
      </c>
      <c r="I95" s="205">
        <f t="shared" si="8"/>
        <v>73323.399809623457</v>
      </c>
    </row>
    <row r="96" spans="3:9" x14ac:dyDescent="0.2">
      <c r="C96" s="47">
        <v>86</v>
      </c>
      <c r="D96" s="204">
        <v>47150</v>
      </c>
      <c r="E96" s="205">
        <f t="shared" si="9"/>
        <v>73323.399809623457</v>
      </c>
      <c r="F96" s="205">
        <f t="shared" si="5"/>
        <v>427.71983222280352</v>
      </c>
      <c r="G96" s="205">
        <f t="shared" si="6"/>
        <v>2322.1695843724815</v>
      </c>
      <c r="H96" s="205">
        <f t="shared" si="7"/>
        <v>1894.449752149678</v>
      </c>
      <c r="I96" s="205">
        <f t="shared" si="8"/>
        <v>71428.950057473776</v>
      </c>
    </row>
    <row r="97" spans="3:9" x14ac:dyDescent="0.2">
      <c r="C97" s="47">
        <v>87</v>
      </c>
      <c r="D97" s="204">
        <v>47178</v>
      </c>
      <c r="E97" s="205">
        <f t="shared" si="9"/>
        <v>71428.950057473776</v>
      </c>
      <c r="F97" s="205">
        <f t="shared" si="5"/>
        <v>416.66887533526369</v>
      </c>
      <c r="G97" s="205">
        <f t="shared" si="6"/>
        <v>2322.1695843724815</v>
      </c>
      <c r="H97" s="205">
        <f t="shared" si="7"/>
        <v>1905.5007090372178</v>
      </c>
      <c r="I97" s="205">
        <f t="shared" si="8"/>
        <v>69523.449348436552</v>
      </c>
    </row>
    <row r="98" spans="3:9" x14ac:dyDescent="0.2">
      <c r="C98" s="47">
        <v>88</v>
      </c>
      <c r="D98" s="204">
        <v>47209</v>
      </c>
      <c r="E98" s="205">
        <f t="shared" si="9"/>
        <v>69523.449348436552</v>
      </c>
      <c r="F98" s="205">
        <f t="shared" si="5"/>
        <v>405.5534545325466</v>
      </c>
      <c r="G98" s="205">
        <f t="shared" si="6"/>
        <v>2322.1695843724815</v>
      </c>
      <c r="H98" s="205">
        <f t="shared" si="7"/>
        <v>1916.616129839935</v>
      </c>
      <c r="I98" s="205">
        <f t="shared" si="8"/>
        <v>67606.833218596614</v>
      </c>
    </row>
    <row r="99" spans="3:9" x14ac:dyDescent="0.2">
      <c r="C99" s="47">
        <v>89</v>
      </c>
      <c r="D99" s="204">
        <v>47239</v>
      </c>
      <c r="E99" s="205">
        <f t="shared" si="9"/>
        <v>67606.833218596614</v>
      </c>
      <c r="F99" s="205">
        <f t="shared" si="5"/>
        <v>394.37319377514694</v>
      </c>
      <c r="G99" s="205">
        <f t="shared" si="6"/>
        <v>2322.1695843724815</v>
      </c>
      <c r="H99" s="205">
        <f t="shared" si="7"/>
        <v>1927.7963905973345</v>
      </c>
      <c r="I99" s="205">
        <f t="shared" si="8"/>
        <v>65679.036827999269</v>
      </c>
    </row>
    <row r="100" spans="3:9" x14ac:dyDescent="0.2">
      <c r="C100" s="47">
        <v>90</v>
      </c>
      <c r="D100" s="204">
        <v>47270</v>
      </c>
      <c r="E100" s="205">
        <f t="shared" si="9"/>
        <v>65679.036827999269</v>
      </c>
      <c r="F100" s="205">
        <f t="shared" si="5"/>
        <v>383.12771482999574</v>
      </c>
      <c r="G100" s="205">
        <f t="shared" si="6"/>
        <v>2322.1695843724815</v>
      </c>
      <c r="H100" s="205">
        <f t="shared" si="7"/>
        <v>1939.0418695424858</v>
      </c>
      <c r="I100" s="205">
        <f t="shared" si="8"/>
        <v>63739.994958456788</v>
      </c>
    </row>
    <row r="101" spans="3:9" x14ac:dyDescent="0.2">
      <c r="C101" s="47">
        <v>91</v>
      </c>
      <c r="D101" s="204">
        <v>47300</v>
      </c>
      <c r="E101" s="205">
        <f t="shared" si="9"/>
        <v>63739.994958456788</v>
      </c>
      <c r="F101" s="205">
        <f t="shared" si="5"/>
        <v>371.81663725766464</v>
      </c>
      <c r="G101" s="205">
        <f t="shared" si="6"/>
        <v>2322.1695843724815</v>
      </c>
      <c r="H101" s="205">
        <f t="shared" si="7"/>
        <v>1950.3529471148167</v>
      </c>
      <c r="I101" s="205">
        <f t="shared" si="8"/>
        <v>61789.642011341974</v>
      </c>
    </row>
    <row r="102" spans="3:9" x14ac:dyDescent="0.2">
      <c r="C102" s="47">
        <v>92</v>
      </c>
      <c r="D102" s="204">
        <v>47331</v>
      </c>
      <c r="E102" s="205">
        <f t="shared" si="9"/>
        <v>61789.642011341974</v>
      </c>
      <c r="F102" s="205">
        <f t="shared" si="5"/>
        <v>360.43957839949485</v>
      </c>
      <c r="G102" s="205">
        <f t="shared" si="6"/>
        <v>2322.1695843724815</v>
      </c>
      <c r="H102" s="205">
        <f t="shared" si="7"/>
        <v>1961.7300059729866</v>
      </c>
      <c r="I102" s="205">
        <f t="shared" si="8"/>
        <v>59827.912005368984</v>
      </c>
    </row>
    <row r="103" spans="3:9" x14ac:dyDescent="0.2">
      <c r="C103" s="47">
        <v>93</v>
      </c>
      <c r="D103" s="204">
        <v>47362</v>
      </c>
      <c r="E103" s="205">
        <f t="shared" si="9"/>
        <v>59827.912005368984</v>
      </c>
      <c r="F103" s="205">
        <f t="shared" si="5"/>
        <v>348.9961533646524</v>
      </c>
      <c r="G103" s="205">
        <f t="shared" si="6"/>
        <v>2322.1695843724815</v>
      </c>
      <c r="H103" s="205">
        <f t="shared" si="7"/>
        <v>1973.1734310078291</v>
      </c>
      <c r="I103" s="205">
        <f t="shared" si="8"/>
        <v>57854.738574361152</v>
      </c>
    </row>
    <row r="104" spans="3:9" x14ac:dyDescent="0.2">
      <c r="C104" s="47">
        <v>94</v>
      </c>
      <c r="D104" s="204">
        <v>47392</v>
      </c>
      <c r="E104" s="205">
        <f t="shared" si="9"/>
        <v>57854.738574361152</v>
      </c>
      <c r="F104" s="205">
        <f t="shared" si="5"/>
        <v>337.48597501710674</v>
      </c>
      <c r="G104" s="205">
        <f t="shared" si="6"/>
        <v>2322.1695843724815</v>
      </c>
      <c r="H104" s="205">
        <f t="shared" si="7"/>
        <v>1984.6836093553748</v>
      </c>
      <c r="I104" s="205">
        <f t="shared" si="8"/>
        <v>55870.05496500578</v>
      </c>
    </row>
    <row r="105" spans="3:9" x14ac:dyDescent="0.2">
      <c r="C105" s="47">
        <v>95</v>
      </c>
      <c r="D105" s="204">
        <v>47423</v>
      </c>
      <c r="E105" s="205">
        <f t="shared" si="9"/>
        <v>55870.05496500578</v>
      </c>
      <c r="F105" s="205">
        <f t="shared" si="5"/>
        <v>325.90865396253372</v>
      </c>
      <c r="G105" s="205">
        <f t="shared" si="6"/>
        <v>2322.1695843724815</v>
      </c>
      <c r="H105" s="205">
        <f t="shared" si="7"/>
        <v>1996.2609304099478</v>
      </c>
      <c r="I105" s="205">
        <f t="shared" si="8"/>
        <v>53873.794034595834</v>
      </c>
    </row>
    <row r="106" spans="3:9" x14ac:dyDescent="0.2">
      <c r="C106" s="47">
        <v>96</v>
      </c>
      <c r="D106" s="204">
        <v>47453</v>
      </c>
      <c r="E106" s="205">
        <f t="shared" si="9"/>
        <v>53873.794034595834</v>
      </c>
      <c r="F106" s="205">
        <f t="shared" si="5"/>
        <v>314.26379853514237</v>
      </c>
      <c r="G106" s="205">
        <f t="shared" si="6"/>
        <v>2322.1695843724815</v>
      </c>
      <c r="H106" s="205">
        <f t="shared" si="7"/>
        <v>2007.9057858373392</v>
      </c>
      <c r="I106" s="205">
        <f t="shared" si="8"/>
        <v>51865.888248758492</v>
      </c>
    </row>
    <row r="107" spans="3:9" x14ac:dyDescent="0.2">
      <c r="C107" s="47">
        <v>97</v>
      </c>
      <c r="D107" s="204">
        <v>47484</v>
      </c>
      <c r="E107" s="205">
        <f t="shared" si="9"/>
        <v>51865.888248758492</v>
      </c>
      <c r="F107" s="205">
        <f t="shared" si="5"/>
        <v>302.55101478442458</v>
      </c>
      <c r="G107" s="205">
        <f t="shared" si="6"/>
        <v>2322.1695843724815</v>
      </c>
      <c r="H107" s="205">
        <f t="shared" si="7"/>
        <v>2019.618569588057</v>
      </c>
      <c r="I107" s="205">
        <f t="shared" si="8"/>
        <v>49846.269679170437</v>
      </c>
    </row>
    <row r="108" spans="3:9" x14ac:dyDescent="0.2">
      <c r="C108" s="47">
        <v>98</v>
      </c>
      <c r="D108" s="204">
        <v>47515</v>
      </c>
      <c r="E108" s="205">
        <f t="shared" si="9"/>
        <v>49846.269679170437</v>
      </c>
      <c r="F108" s="205">
        <f t="shared" si="5"/>
        <v>290.76990646182753</v>
      </c>
      <c r="G108" s="205">
        <f t="shared" si="6"/>
        <v>2322.1695843724815</v>
      </c>
      <c r="H108" s="205">
        <f t="shared" si="7"/>
        <v>2031.399677910654</v>
      </c>
      <c r="I108" s="205">
        <f t="shared" si="8"/>
        <v>47814.870001259784</v>
      </c>
    </row>
    <row r="109" spans="3:9" x14ac:dyDescent="0.2">
      <c r="C109" s="47">
        <v>99</v>
      </c>
      <c r="D109" s="204">
        <v>47543</v>
      </c>
      <c r="E109" s="205">
        <f t="shared" si="9"/>
        <v>47814.870001259784</v>
      </c>
      <c r="F109" s="205">
        <f t="shared" si="5"/>
        <v>278.92007500734877</v>
      </c>
      <c r="G109" s="205">
        <f t="shared" si="6"/>
        <v>2322.1695843724815</v>
      </c>
      <c r="H109" s="205">
        <f t="shared" si="7"/>
        <v>2043.2495093651328</v>
      </c>
      <c r="I109" s="205">
        <f t="shared" si="8"/>
        <v>45771.620491894653</v>
      </c>
    </row>
    <row r="110" spans="3:9" x14ac:dyDescent="0.2">
      <c r="C110" s="47">
        <v>100</v>
      </c>
      <c r="D110" s="204">
        <v>47574</v>
      </c>
      <c r="E110" s="205">
        <f t="shared" si="9"/>
        <v>45771.620491894653</v>
      </c>
      <c r="F110" s="205">
        <f t="shared" si="5"/>
        <v>267.00111953605216</v>
      </c>
      <c r="G110" s="205">
        <f t="shared" si="6"/>
        <v>2322.1695843724815</v>
      </c>
      <c r="H110" s="205">
        <f t="shared" si="7"/>
        <v>2055.1684648364294</v>
      </c>
      <c r="I110" s="205">
        <f t="shared" si="8"/>
        <v>43716.452027058222</v>
      </c>
    </row>
    <row r="111" spans="3:9" x14ac:dyDescent="0.2">
      <c r="C111" s="47">
        <v>101</v>
      </c>
      <c r="D111" s="204">
        <v>47604</v>
      </c>
      <c r="E111" s="205">
        <f t="shared" si="9"/>
        <v>43716.452027058222</v>
      </c>
      <c r="F111" s="205">
        <f t="shared" si="5"/>
        <v>255.0126368245063</v>
      </c>
      <c r="G111" s="205">
        <f t="shared" si="6"/>
        <v>2322.1695843724815</v>
      </c>
      <c r="H111" s="205">
        <f t="shared" si="7"/>
        <v>2067.1569475479751</v>
      </c>
      <c r="I111" s="205">
        <f t="shared" si="8"/>
        <v>41649.295079510244</v>
      </c>
    </row>
    <row r="112" spans="3:9" x14ac:dyDescent="0.2">
      <c r="C112" s="47">
        <v>102</v>
      </c>
      <c r="D112" s="204">
        <v>47635</v>
      </c>
      <c r="E112" s="205">
        <f t="shared" si="9"/>
        <v>41649.295079510244</v>
      </c>
      <c r="F112" s="205">
        <f t="shared" si="5"/>
        <v>242.95422129714311</v>
      </c>
      <c r="G112" s="205">
        <f t="shared" si="6"/>
        <v>2322.1695843724815</v>
      </c>
      <c r="H112" s="205">
        <f t="shared" si="7"/>
        <v>2079.2153630753382</v>
      </c>
      <c r="I112" s="205">
        <f t="shared" si="8"/>
        <v>39570.079716434906</v>
      </c>
    </row>
    <row r="113" spans="3:9" x14ac:dyDescent="0.2">
      <c r="C113" s="47">
        <v>103</v>
      </c>
      <c r="D113" s="204">
        <v>47665</v>
      </c>
      <c r="E113" s="205">
        <f t="shared" si="9"/>
        <v>39570.079716434906</v>
      </c>
      <c r="F113" s="205">
        <f t="shared" si="5"/>
        <v>230.82546501253697</v>
      </c>
      <c r="G113" s="205">
        <f t="shared" si="6"/>
        <v>2322.1695843724815</v>
      </c>
      <c r="H113" s="205">
        <f t="shared" si="7"/>
        <v>2091.3441193599447</v>
      </c>
      <c r="I113" s="205">
        <f t="shared" si="8"/>
        <v>37478.735597074963</v>
      </c>
    </row>
    <row r="114" spans="3:9" x14ac:dyDescent="0.2">
      <c r="C114" s="47">
        <v>104</v>
      </c>
      <c r="D114" s="204">
        <v>47696</v>
      </c>
      <c r="E114" s="205">
        <f t="shared" si="9"/>
        <v>37478.735597074963</v>
      </c>
      <c r="F114" s="205">
        <f t="shared" si="5"/>
        <v>218.62595764960398</v>
      </c>
      <c r="G114" s="205">
        <f t="shared" si="6"/>
        <v>2322.1695843724815</v>
      </c>
      <c r="H114" s="205">
        <f t="shared" si="7"/>
        <v>2103.5436267228774</v>
      </c>
      <c r="I114" s="205">
        <f t="shared" si="8"/>
        <v>35375.191970352083</v>
      </c>
    </row>
    <row r="115" spans="3:9" x14ac:dyDescent="0.2">
      <c r="C115" s="47">
        <v>105</v>
      </c>
      <c r="D115" s="204">
        <v>47727</v>
      </c>
      <c r="E115" s="205">
        <f t="shared" si="9"/>
        <v>35375.191970352083</v>
      </c>
      <c r="F115" s="205">
        <f t="shared" si="5"/>
        <v>206.35528649372048</v>
      </c>
      <c r="G115" s="205">
        <f t="shared" si="6"/>
        <v>2322.1695843724815</v>
      </c>
      <c r="H115" s="205">
        <f t="shared" si="7"/>
        <v>2115.814297878761</v>
      </c>
      <c r="I115" s="205">
        <f t="shared" si="8"/>
        <v>33259.377672473325</v>
      </c>
    </row>
    <row r="116" spans="3:9" x14ac:dyDescent="0.2">
      <c r="C116" s="47">
        <v>106</v>
      </c>
      <c r="D116" s="204">
        <v>47757</v>
      </c>
      <c r="E116" s="205">
        <f t="shared" si="9"/>
        <v>33259.377672473325</v>
      </c>
      <c r="F116" s="205">
        <f t="shared" si="5"/>
        <v>194.01303642276108</v>
      </c>
      <c r="G116" s="205">
        <f t="shared" si="6"/>
        <v>2322.1695843724815</v>
      </c>
      <c r="H116" s="205">
        <f t="shared" si="7"/>
        <v>2128.1565479497203</v>
      </c>
      <c r="I116" s="205">
        <f t="shared" si="8"/>
        <v>31131.221124523603</v>
      </c>
    </row>
    <row r="117" spans="3:9" x14ac:dyDescent="0.2">
      <c r="C117" s="47">
        <v>107</v>
      </c>
      <c r="D117" s="204">
        <v>47788</v>
      </c>
      <c r="E117" s="205">
        <f t="shared" si="9"/>
        <v>31131.221124523603</v>
      </c>
      <c r="F117" s="205">
        <f t="shared" si="5"/>
        <v>181.59878989305437</v>
      </c>
      <c r="G117" s="205">
        <f t="shared" si="6"/>
        <v>2322.1695843724815</v>
      </c>
      <c r="H117" s="205">
        <f t="shared" si="7"/>
        <v>2140.5707944794271</v>
      </c>
      <c r="I117" s="205">
        <f t="shared" si="8"/>
        <v>28990.650330044176</v>
      </c>
    </row>
    <row r="118" spans="3:9" x14ac:dyDescent="0.2">
      <c r="C118" s="47">
        <v>108</v>
      </c>
      <c r="D118" s="204">
        <v>47818</v>
      </c>
      <c r="E118" s="205">
        <f t="shared" si="9"/>
        <v>28990.650330044176</v>
      </c>
      <c r="F118" s="205">
        <f t="shared" si="5"/>
        <v>169.11212692525771</v>
      </c>
      <c r="G118" s="205">
        <f t="shared" si="6"/>
        <v>2322.1695843724815</v>
      </c>
      <c r="H118" s="205">
        <f t="shared" si="7"/>
        <v>2153.0574574472239</v>
      </c>
      <c r="I118" s="205">
        <f t="shared" si="8"/>
        <v>26837.592872596953</v>
      </c>
    </row>
    <row r="119" spans="3:9" x14ac:dyDescent="0.2">
      <c r="C119" s="47">
        <v>109</v>
      </c>
      <c r="D119" s="204">
        <v>47849</v>
      </c>
      <c r="E119" s="205">
        <f t="shared" si="9"/>
        <v>26837.592872596953</v>
      </c>
      <c r="F119" s="205">
        <f t="shared" si="5"/>
        <v>156.55262509014889</v>
      </c>
      <c r="G119" s="205">
        <f t="shared" si="6"/>
        <v>2322.1695843724815</v>
      </c>
      <c r="H119" s="205">
        <f t="shared" si="7"/>
        <v>2165.6169592823326</v>
      </c>
      <c r="I119" s="205">
        <f t="shared" si="8"/>
        <v>24671.975913314622</v>
      </c>
    </row>
    <row r="120" spans="3:9" x14ac:dyDescent="0.2">
      <c r="C120" s="47">
        <v>110</v>
      </c>
      <c r="D120" s="204">
        <v>47880</v>
      </c>
      <c r="E120" s="205">
        <f t="shared" si="9"/>
        <v>24671.975913314622</v>
      </c>
      <c r="F120" s="205">
        <f t="shared" si="5"/>
        <v>143.9198594943353</v>
      </c>
      <c r="G120" s="205">
        <f t="shared" si="6"/>
        <v>2322.1695843724815</v>
      </c>
      <c r="H120" s="205">
        <f t="shared" si="7"/>
        <v>2178.249724878146</v>
      </c>
      <c r="I120" s="205">
        <f t="shared" si="8"/>
        <v>22493.726188436474</v>
      </c>
    </row>
    <row r="121" spans="3:9" x14ac:dyDescent="0.2">
      <c r="C121" s="47">
        <v>111</v>
      </c>
      <c r="D121" s="204">
        <v>47908</v>
      </c>
      <c r="E121" s="205">
        <f t="shared" si="9"/>
        <v>22493.726188436474</v>
      </c>
      <c r="F121" s="205">
        <f t="shared" si="5"/>
        <v>131.21340276587944</v>
      </c>
      <c r="G121" s="205">
        <f t="shared" si="6"/>
        <v>2322.1695843724815</v>
      </c>
      <c r="H121" s="205">
        <f t="shared" si="7"/>
        <v>2190.9561816066021</v>
      </c>
      <c r="I121" s="205">
        <f t="shared" si="8"/>
        <v>20302.770006829873</v>
      </c>
    </row>
    <row r="122" spans="3:9" x14ac:dyDescent="0.2">
      <c r="C122" s="47">
        <v>112</v>
      </c>
      <c r="D122" s="204">
        <v>47939</v>
      </c>
      <c r="E122" s="205">
        <f t="shared" si="9"/>
        <v>20302.770006829873</v>
      </c>
      <c r="F122" s="205">
        <f t="shared" si="5"/>
        <v>118.43282503984094</v>
      </c>
      <c r="G122" s="205">
        <f t="shared" si="6"/>
        <v>2322.1695843724815</v>
      </c>
      <c r="H122" s="205">
        <f t="shared" si="7"/>
        <v>2203.7367593326408</v>
      </c>
      <c r="I122" s="205">
        <f t="shared" si="8"/>
        <v>18099.033247497231</v>
      </c>
    </row>
    <row r="123" spans="3:9" x14ac:dyDescent="0.2">
      <c r="C123" s="47">
        <v>113</v>
      </c>
      <c r="D123" s="204">
        <v>47969</v>
      </c>
      <c r="E123" s="205">
        <f t="shared" si="9"/>
        <v>18099.033247497231</v>
      </c>
      <c r="F123" s="205">
        <f t="shared" si="5"/>
        <v>105.57769394373385</v>
      </c>
      <c r="G123" s="205">
        <f t="shared" si="6"/>
        <v>2322.1695843724815</v>
      </c>
      <c r="H123" s="205">
        <f t="shared" si="7"/>
        <v>2216.5918904287478</v>
      </c>
      <c r="I123" s="205">
        <f t="shared" si="8"/>
        <v>15882.441357068485</v>
      </c>
    </row>
    <row r="124" spans="3:9" x14ac:dyDescent="0.2">
      <c r="C124" s="47">
        <v>114</v>
      </c>
      <c r="D124" s="204">
        <v>48000</v>
      </c>
      <c r="E124" s="205">
        <f t="shared" si="9"/>
        <v>15882.441357068485</v>
      </c>
      <c r="F124" s="205">
        <f t="shared" si="5"/>
        <v>92.647574582899495</v>
      </c>
      <c r="G124" s="205">
        <f t="shared" si="6"/>
        <v>2322.1695843724815</v>
      </c>
      <c r="H124" s="205">
        <f t="shared" si="7"/>
        <v>2229.5220097895822</v>
      </c>
      <c r="I124" s="205">
        <f t="shared" si="8"/>
        <v>13652.919347278903</v>
      </c>
    </row>
    <row r="125" spans="3:9" x14ac:dyDescent="0.2">
      <c r="C125" s="47">
        <v>115</v>
      </c>
      <c r="D125" s="204">
        <v>48030</v>
      </c>
      <c r="E125" s="205">
        <f t="shared" si="9"/>
        <v>13652.919347278903</v>
      </c>
      <c r="F125" s="205">
        <f t="shared" si="5"/>
        <v>79.642029525793603</v>
      </c>
      <c r="G125" s="205">
        <f t="shared" si="6"/>
        <v>2322.1695843724815</v>
      </c>
      <c r="H125" s="205">
        <f t="shared" si="7"/>
        <v>2242.527554846688</v>
      </c>
      <c r="I125" s="205">
        <f t="shared" si="8"/>
        <v>11410.391792432216</v>
      </c>
    </row>
    <row r="126" spans="3:9" x14ac:dyDescent="0.2">
      <c r="C126" s="47">
        <v>116</v>
      </c>
      <c r="D126" s="204">
        <v>48061</v>
      </c>
      <c r="E126" s="205">
        <f t="shared" si="9"/>
        <v>11410.391792432216</v>
      </c>
      <c r="F126" s="205">
        <f t="shared" si="5"/>
        <v>66.560618789187927</v>
      </c>
      <c r="G126" s="205">
        <f t="shared" si="6"/>
        <v>2322.1695843724815</v>
      </c>
      <c r="H126" s="205">
        <f t="shared" si="7"/>
        <v>2255.6089655832934</v>
      </c>
      <c r="I126" s="205">
        <f t="shared" si="8"/>
        <v>9154.7828268489229</v>
      </c>
    </row>
    <row r="127" spans="3:9" x14ac:dyDescent="0.2">
      <c r="C127" s="47">
        <v>117</v>
      </c>
      <c r="D127" s="204">
        <v>48092</v>
      </c>
      <c r="E127" s="205">
        <f t="shared" si="9"/>
        <v>9154.7828268489229</v>
      </c>
      <c r="F127" s="205">
        <f t="shared" si="5"/>
        <v>53.402899823285388</v>
      </c>
      <c r="G127" s="205">
        <f t="shared" si="6"/>
        <v>2322.1695843724815</v>
      </c>
      <c r="H127" s="205">
        <f t="shared" si="7"/>
        <v>2268.7666845491963</v>
      </c>
      <c r="I127" s="205">
        <f t="shared" si="8"/>
        <v>6886.016142299728</v>
      </c>
    </row>
    <row r="128" spans="3:9" x14ac:dyDescent="0.2">
      <c r="C128" s="47">
        <v>118</v>
      </c>
      <c r="D128" s="204">
        <v>48093</v>
      </c>
      <c r="E128" s="205">
        <f t="shared" ref="E128:E130" si="10">I127</f>
        <v>6886.016142299728</v>
      </c>
      <c r="F128" s="205">
        <f t="shared" si="5"/>
        <v>40.168427496748414</v>
      </c>
      <c r="G128" s="205">
        <f t="shared" si="6"/>
        <v>2322.1695843724815</v>
      </c>
      <c r="H128" s="205">
        <f t="shared" ref="H128:H130" si="11">G128-F128</f>
        <v>2282.0011568757332</v>
      </c>
      <c r="I128" s="205">
        <f t="shared" ref="I128:I130" si="12">E128+F128-G128</f>
        <v>4604.0149854239953</v>
      </c>
    </row>
    <row r="129" spans="3:9" x14ac:dyDescent="0.2">
      <c r="C129" s="47">
        <v>119</v>
      </c>
      <c r="D129" s="204">
        <v>48094</v>
      </c>
      <c r="E129" s="205">
        <f t="shared" si="10"/>
        <v>4604.0149854239953</v>
      </c>
      <c r="F129" s="205">
        <f t="shared" si="5"/>
        <v>26.856754081639973</v>
      </c>
      <c r="G129" s="205">
        <f t="shared" si="6"/>
        <v>2322.1695843724815</v>
      </c>
      <c r="H129" s="205">
        <f t="shared" si="11"/>
        <v>2295.3128302908417</v>
      </c>
      <c r="I129" s="205">
        <f t="shared" si="12"/>
        <v>2308.7021551331541</v>
      </c>
    </row>
    <row r="130" spans="3:9" x14ac:dyDescent="0.2">
      <c r="C130" s="47">
        <v>120</v>
      </c>
      <c r="D130" s="204">
        <v>48095</v>
      </c>
      <c r="E130" s="205">
        <f t="shared" si="10"/>
        <v>2308.7021551331541</v>
      </c>
      <c r="F130" s="205">
        <f t="shared" si="5"/>
        <v>13.467429238276733</v>
      </c>
      <c r="G130" s="205">
        <f t="shared" si="6"/>
        <v>2322.1695843724815</v>
      </c>
      <c r="H130" s="205">
        <f t="shared" si="11"/>
        <v>2308.702155134205</v>
      </c>
      <c r="I130" s="205">
        <f t="shared" si="12"/>
        <v>-1.0509211278986186E-9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128"/>
  <sheetViews>
    <sheetView topLeftCell="A19" zoomScale="150" zoomScaleNormal="150" zoomScalePageLayoutView="150" workbookViewId="0">
      <selection activeCell="B3" sqref="B3"/>
    </sheetView>
  </sheetViews>
  <sheetFormatPr baseColWidth="10" defaultColWidth="8.83203125" defaultRowHeight="15" x14ac:dyDescent="0.2"/>
  <cols>
    <col min="2" max="2" width="11.33203125" customWidth="1"/>
    <col min="3" max="3" width="15.1640625" style="75" customWidth="1"/>
    <col min="4" max="4" width="21.5" style="23" customWidth="1"/>
    <col min="5" max="5" width="25.1640625" style="36" customWidth="1"/>
    <col min="6" max="6" width="27.5" style="36" customWidth="1"/>
    <col min="7" max="7" width="10.5" bestFit="1" customWidth="1"/>
  </cols>
  <sheetData>
    <row r="1" spans="2:7" ht="16" thickBot="1" x14ac:dyDescent="0.25"/>
    <row r="2" spans="2:7" x14ac:dyDescent="0.2">
      <c r="B2" s="33" t="s">
        <v>114</v>
      </c>
      <c r="C2" s="120" t="s">
        <v>46</v>
      </c>
      <c r="D2" s="65" t="s">
        <v>5</v>
      </c>
      <c r="E2" s="64">
        <f>'HW 2 Ans'!C135</f>
        <v>2.8051108520066943E-3</v>
      </c>
      <c r="F2" s="37"/>
      <c r="G2" s="24"/>
    </row>
    <row r="3" spans="2:7" x14ac:dyDescent="0.2">
      <c r="B3" s="25"/>
      <c r="D3" s="32" t="s">
        <v>3</v>
      </c>
      <c r="E3" s="50">
        <v>9826</v>
      </c>
      <c r="F3" s="40" t="s">
        <v>4</v>
      </c>
      <c r="G3" s="51">
        <f>E3*12</f>
        <v>117912</v>
      </c>
    </row>
    <row r="4" spans="2:7" ht="29" customHeight="1" thickBot="1" x14ac:dyDescent="0.25">
      <c r="B4" s="42" t="s">
        <v>21</v>
      </c>
      <c r="C4" s="111" t="s">
        <v>1</v>
      </c>
      <c r="D4" s="43" t="s">
        <v>52</v>
      </c>
      <c r="E4" s="44" t="s">
        <v>2</v>
      </c>
      <c r="F4" s="44" t="s">
        <v>0</v>
      </c>
      <c r="G4" s="26"/>
    </row>
    <row r="5" spans="2:7" x14ac:dyDescent="0.2">
      <c r="B5" s="27">
        <v>1</v>
      </c>
      <c r="C5" s="112">
        <f>$E$3</f>
        <v>9826</v>
      </c>
      <c r="D5" s="34">
        <f>C5*1/(1+$E$2)^B5</f>
        <v>9798.5140818155596</v>
      </c>
      <c r="E5" s="38">
        <f t="shared" ref="E5:E36" si="0">D5/$D$127</f>
        <v>9.7985140818154133E-3</v>
      </c>
      <c r="F5" s="38">
        <f>E5*B5</f>
        <v>9.7985140818154133E-3</v>
      </c>
      <c r="G5" s="26"/>
    </row>
    <row r="6" spans="2:7" x14ac:dyDescent="0.2">
      <c r="B6" s="27">
        <v>2</v>
      </c>
      <c r="C6" s="112">
        <f t="shared" ref="C6:C69" si="1">$E$3</f>
        <v>9826</v>
      </c>
      <c r="D6" s="34">
        <f t="shared" ref="D6:D69" si="2">C6*1/(1+$E$2)^B6</f>
        <v>9771.1050490064936</v>
      </c>
      <c r="E6" s="38">
        <f t="shared" si="0"/>
        <v>9.7711050490063463E-3</v>
      </c>
      <c r="F6" s="38">
        <f t="shared" ref="F6:F69" si="3">E6*B6</f>
        <v>1.9542210098012693E-2</v>
      </c>
      <c r="G6" s="26"/>
    </row>
    <row r="7" spans="2:7" x14ac:dyDescent="0.2">
      <c r="B7" s="27">
        <v>3</v>
      </c>
      <c r="C7" s="112">
        <f t="shared" si="1"/>
        <v>9826</v>
      </c>
      <c r="D7" s="34">
        <f t="shared" si="2"/>
        <v>9743.772686504095</v>
      </c>
      <c r="E7" s="38">
        <f t="shared" si="0"/>
        <v>9.7437726865039487E-3</v>
      </c>
      <c r="F7" s="38">
        <f t="shared" si="3"/>
        <v>2.9231318059511846E-2</v>
      </c>
      <c r="G7" s="26"/>
    </row>
    <row r="8" spans="2:7" x14ac:dyDescent="0.2">
      <c r="B8" s="27">
        <v>4</v>
      </c>
      <c r="C8" s="112">
        <f t="shared" si="1"/>
        <v>9826</v>
      </c>
      <c r="D8" s="34">
        <f t="shared" si="2"/>
        <v>9716.5167798412585</v>
      </c>
      <c r="E8" s="38">
        <f t="shared" si="0"/>
        <v>9.7165167798411133E-3</v>
      </c>
      <c r="F8" s="38">
        <f t="shared" si="3"/>
        <v>3.8866067119364453E-2</v>
      </c>
      <c r="G8" s="26"/>
    </row>
    <row r="9" spans="2:7" x14ac:dyDescent="0.2">
      <c r="B9" s="27">
        <v>5</v>
      </c>
      <c r="C9" s="112">
        <f t="shared" si="1"/>
        <v>9826</v>
      </c>
      <c r="D9" s="34">
        <f t="shared" si="2"/>
        <v>9689.3371151507981</v>
      </c>
      <c r="E9" s="38">
        <f t="shared" si="0"/>
        <v>9.6893371151506522E-3</v>
      </c>
      <c r="F9" s="38">
        <f t="shared" si="3"/>
        <v>4.8446685575753261E-2</v>
      </c>
      <c r="G9" s="26"/>
    </row>
    <row r="10" spans="2:7" x14ac:dyDescent="0.2">
      <c r="B10" s="27">
        <v>6</v>
      </c>
      <c r="C10" s="112">
        <f t="shared" si="1"/>
        <v>9826</v>
      </c>
      <c r="D10" s="34">
        <f t="shared" si="2"/>
        <v>9662.2334791637732</v>
      </c>
      <c r="E10" s="38">
        <f t="shared" si="0"/>
        <v>9.6622334791636282E-3</v>
      </c>
      <c r="F10" s="38">
        <f t="shared" si="3"/>
        <v>5.7973400874981769E-2</v>
      </c>
      <c r="G10" s="26"/>
    </row>
    <row r="11" spans="2:7" x14ac:dyDescent="0.2">
      <c r="B11" s="27">
        <v>7</v>
      </c>
      <c r="C11" s="112">
        <f t="shared" si="1"/>
        <v>9826</v>
      </c>
      <c r="D11" s="34">
        <f t="shared" si="2"/>
        <v>9635.2056592078152</v>
      </c>
      <c r="E11" s="38">
        <f t="shared" si="0"/>
        <v>9.6352056592076702E-3</v>
      </c>
      <c r="F11" s="38">
        <f t="shared" si="3"/>
        <v>6.7446439614453693E-2</v>
      </c>
      <c r="G11" s="26"/>
    </row>
    <row r="12" spans="2:7" x14ac:dyDescent="0.2">
      <c r="B12" s="27">
        <v>8</v>
      </c>
      <c r="C12" s="112">
        <f t="shared" si="1"/>
        <v>9826</v>
      </c>
      <c r="D12" s="34">
        <f t="shared" si="2"/>
        <v>9608.2534432054472</v>
      </c>
      <c r="E12" s="38">
        <f t="shared" si="0"/>
        <v>9.6082534432053029E-3</v>
      </c>
      <c r="F12" s="38">
        <f t="shared" si="3"/>
        <v>7.6866027545642424E-2</v>
      </c>
      <c r="G12" s="26"/>
    </row>
    <row r="13" spans="2:7" x14ac:dyDescent="0.2">
      <c r="B13" s="27">
        <v>9</v>
      </c>
      <c r="C13" s="112">
        <f t="shared" si="1"/>
        <v>9826</v>
      </c>
      <c r="D13" s="34">
        <f t="shared" si="2"/>
        <v>9581.3766196724428</v>
      </c>
      <c r="E13" s="38">
        <f t="shared" si="0"/>
        <v>9.5813766196722987E-3</v>
      </c>
      <c r="F13" s="38">
        <f t="shared" si="3"/>
        <v>8.6232389577050692E-2</v>
      </c>
      <c r="G13" s="26"/>
    </row>
    <row r="14" spans="2:7" x14ac:dyDescent="0.2">
      <c r="B14" s="27">
        <v>10</v>
      </c>
      <c r="C14" s="112">
        <f t="shared" si="1"/>
        <v>9826</v>
      </c>
      <c r="D14" s="34">
        <f t="shared" si="2"/>
        <v>9554.57497771614</v>
      </c>
      <c r="E14" s="38">
        <f t="shared" si="0"/>
        <v>9.5545749777159964E-3</v>
      </c>
      <c r="F14" s="38">
        <f t="shared" si="3"/>
        <v>9.5545749777159961E-2</v>
      </c>
      <c r="G14" s="26"/>
    </row>
    <row r="15" spans="2:7" x14ac:dyDescent="0.2">
      <c r="B15" s="27">
        <v>11</v>
      </c>
      <c r="C15" s="112">
        <f t="shared" si="1"/>
        <v>9826</v>
      </c>
      <c r="D15" s="34">
        <f t="shared" si="2"/>
        <v>9527.8483070338061</v>
      </c>
      <c r="E15" s="38">
        <f t="shared" si="0"/>
        <v>9.5278483070336626E-3</v>
      </c>
      <c r="F15" s="38">
        <f t="shared" si="3"/>
        <v>0.10480633137737029</v>
      </c>
      <c r="G15" s="26"/>
    </row>
    <row r="16" spans="2:7" x14ac:dyDescent="0.2">
      <c r="B16" s="27">
        <v>12</v>
      </c>
      <c r="C16" s="112">
        <f t="shared" si="1"/>
        <v>9826</v>
      </c>
      <c r="D16" s="34">
        <f t="shared" si="2"/>
        <v>9501.1963979109805</v>
      </c>
      <c r="E16" s="38">
        <f t="shared" si="0"/>
        <v>9.5011963979108379E-3</v>
      </c>
      <c r="F16" s="38">
        <f t="shared" si="3"/>
        <v>0.11401435677493005</v>
      </c>
      <c r="G16" s="26"/>
    </row>
    <row r="17" spans="2:7" x14ac:dyDescent="0.2">
      <c r="B17" s="27">
        <v>13</v>
      </c>
      <c r="C17" s="112">
        <f t="shared" si="1"/>
        <v>9826</v>
      </c>
      <c r="D17" s="34">
        <f t="shared" si="2"/>
        <v>9474.619041219823</v>
      </c>
      <c r="E17" s="38">
        <f t="shared" si="0"/>
        <v>9.4746190412196805E-3</v>
      </c>
      <c r="F17" s="38">
        <f t="shared" si="3"/>
        <v>0.12317004753585585</v>
      </c>
      <c r="G17" s="26"/>
    </row>
    <row r="18" spans="2:7" x14ac:dyDescent="0.2">
      <c r="B18" s="27">
        <v>14</v>
      </c>
      <c r="C18" s="112">
        <f t="shared" si="1"/>
        <v>9826</v>
      </c>
      <c r="D18" s="34">
        <f t="shared" si="2"/>
        <v>9448.116028417493</v>
      </c>
      <c r="E18" s="38">
        <f t="shared" si="0"/>
        <v>9.4481160284173513E-3</v>
      </c>
      <c r="F18" s="38">
        <f t="shared" si="3"/>
        <v>0.1322736243978429</v>
      </c>
      <c r="G18" s="26"/>
    </row>
    <row r="19" spans="2:7" x14ac:dyDescent="0.2">
      <c r="B19" s="27">
        <v>15</v>
      </c>
      <c r="C19" s="112">
        <f t="shared" si="1"/>
        <v>9826</v>
      </c>
      <c r="D19" s="34">
        <f t="shared" si="2"/>
        <v>9421.6871515444855</v>
      </c>
      <c r="E19" s="38">
        <f t="shared" si="0"/>
        <v>9.4216871515443446E-3</v>
      </c>
      <c r="F19" s="38">
        <f t="shared" si="3"/>
        <v>0.14132530727316517</v>
      </c>
      <c r="G19" s="26"/>
    </row>
    <row r="20" spans="2:7" x14ac:dyDescent="0.2">
      <c r="B20" s="27">
        <v>16</v>
      </c>
      <c r="C20" s="112">
        <f t="shared" si="1"/>
        <v>9826</v>
      </c>
      <c r="D20" s="34">
        <f t="shared" si="2"/>
        <v>9395.3322032230153</v>
      </c>
      <c r="E20" s="38">
        <f t="shared" si="0"/>
        <v>9.3953322032228736E-3</v>
      </c>
      <c r="F20" s="38">
        <f t="shared" si="3"/>
        <v>0.15032531525156598</v>
      </c>
      <c r="G20" s="26"/>
    </row>
    <row r="21" spans="2:7" x14ac:dyDescent="0.2">
      <c r="B21" s="27">
        <v>17</v>
      </c>
      <c r="C21" s="112">
        <f t="shared" si="1"/>
        <v>9826</v>
      </c>
      <c r="D21" s="34">
        <f t="shared" si="2"/>
        <v>9369.0509766553951</v>
      </c>
      <c r="E21" s="38">
        <f t="shared" si="0"/>
        <v>9.3690509766552535E-3</v>
      </c>
      <c r="F21" s="38">
        <f t="shared" si="3"/>
        <v>0.1592738666031393</v>
      </c>
      <c r="G21" s="26"/>
    </row>
    <row r="22" spans="2:7" x14ac:dyDescent="0.2">
      <c r="B22" s="27">
        <v>18</v>
      </c>
      <c r="C22" s="112">
        <f t="shared" si="1"/>
        <v>9826</v>
      </c>
      <c r="D22" s="34">
        <f t="shared" si="2"/>
        <v>9342.8432656224013</v>
      </c>
      <c r="E22" s="38">
        <f t="shared" si="0"/>
        <v>9.3428432656222603E-3</v>
      </c>
      <c r="F22" s="38">
        <f t="shared" si="3"/>
        <v>0.16817117878120069</v>
      </c>
      <c r="G22" s="26"/>
    </row>
    <row r="23" spans="2:7" x14ac:dyDescent="0.2">
      <c r="B23" s="27">
        <v>19</v>
      </c>
      <c r="C23" s="112">
        <f t="shared" si="1"/>
        <v>9826</v>
      </c>
      <c r="D23" s="34">
        <f t="shared" si="2"/>
        <v>9316.7088644816577</v>
      </c>
      <c r="E23" s="38">
        <f t="shared" si="0"/>
        <v>9.3167088644815176E-3</v>
      </c>
      <c r="F23" s="38">
        <f t="shared" si="3"/>
        <v>0.17701746842514884</v>
      </c>
      <c r="G23" s="26"/>
    </row>
    <row r="24" spans="2:7" x14ac:dyDescent="0.2">
      <c r="B24" s="27">
        <v>20</v>
      </c>
      <c r="C24" s="112">
        <f t="shared" si="1"/>
        <v>9826</v>
      </c>
      <c r="D24" s="34">
        <f t="shared" si="2"/>
        <v>9290.6475681660268</v>
      </c>
      <c r="E24" s="38">
        <f t="shared" si="0"/>
        <v>9.2906475681658867E-3</v>
      </c>
      <c r="F24" s="38">
        <f t="shared" si="3"/>
        <v>0.18581295136331774</v>
      </c>
      <c r="G24" s="26"/>
    </row>
    <row r="25" spans="2:7" x14ac:dyDescent="0.2">
      <c r="B25" s="27">
        <v>21</v>
      </c>
      <c r="C25" s="112">
        <f t="shared" si="1"/>
        <v>9826</v>
      </c>
      <c r="D25" s="34">
        <f t="shared" si="2"/>
        <v>9264.6591721819932</v>
      </c>
      <c r="E25" s="38">
        <f t="shared" si="0"/>
        <v>9.2646591721818536E-3</v>
      </c>
      <c r="F25" s="38">
        <f t="shared" si="3"/>
        <v>0.19455784261581893</v>
      </c>
      <c r="G25" s="26"/>
    </row>
    <row r="26" spans="2:7" x14ac:dyDescent="0.2">
      <c r="B26" s="27">
        <v>22</v>
      </c>
      <c r="C26" s="112">
        <f t="shared" si="1"/>
        <v>9826</v>
      </c>
      <c r="D26" s="34">
        <f t="shared" si="2"/>
        <v>9238.7434726080774</v>
      </c>
      <c r="E26" s="38">
        <f t="shared" si="0"/>
        <v>9.2387434726079378E-3</v>
      </c>
      <c r="F26" s="38">
        <f t="shared" si="3"/>
        <v>0.20325235639737463</v>
      </c>
      <c r="G26" s="26"/>
    </row>
    <row r="27" spans="2:7" x14ac:dyDescent="0.2">
      <c r="B27" s="27">
        <v>23</v>
      </c>
      <c r="C27" s="112">
        <f t="shared" si="1"/>
        <v>9826</v>
      </c>
      <c r="D27" s="34">
        <f t="shared" si="2"/>
        <v>9212.9002660932038</v>
      </c>
      <c r="E27" s="38">
        <f t="shared" si="0"/>
        <v>9.2129002660930655E-3</v>
      </c>
      <c r="F27" s="38">
        <f t="shared" si="3"/>
        <v>0.2118967061201405</v>
      </c>
      <c r="G27" s="26"/>
    </row>
    <row r="28" spans="2:7" x14ac:dyDescent="0.2">
      <c r="B28" s="27">
        <v>24</v>
      </c>
      <c r="C28" s="112">
        <f t="shared" si="1"/>
        <v>9826</v>
      </c>
      <c r="D28" s="34">
        <f t="shared" si="2"/>
        <v>9187.1293498551349</v>
      </c>
      <c r="E28" s="38">
        <f t="shared" si="0"/>
        <v>9.1871293498549961E-3</v>
      </c>
      <c r="F28" s="38">
        <f t="shared" si="3"/>
        <v>0.22049110439651992</v>
      </c>
      <c r="G28" s="26"/>
    </row>
    <row r="29" spans="2:7" x14ac:dyDescent="0.2">
      <c r="B29" s="27">
        <v>25</v>
      </c>
      <c r="C29" s="112">
        <f t="shared" si="1"/>
        <v>9826</v>
      </c>
      <c r="D29" s="34">
        <f t="shared" si="2"/>
        <v>9161.4305216788707</v>
      </c>
      <c r="E29" s="38">
        <f t="shared" si="0"/>
        <v>9.1614305216787331E-3</v>
      </c>
      <c r="F29" s="38">
        <f t="shared" si="3"/>
        <v>0.22903576304196832</v>
      </c>
      <c r="G29" s="26"/>
    </row>
    <row r="30" spans="2:7" x14ac:dyDescent="0.2">
      <c r="B30" s="27">
        <v>26</v>
      </c>
      <c r="C30" s="112">
        <f t="shared" si="1"/>
        <v>9826</v>
      </c>
      <c r="D30" s="34">
        <f t="shared" si="2"/>
        <v>9135.8035799150493</v>
      </c>
      <c r="E30" s="38">
        <f t="shared" si="0"/>
        <v>9.1358035799149126E-3</v>
      </c>
      <c r="F30" s="38">
        <f t="shared" si="3"/>
        <v>0.23753089307778774</v>
      </c>
      <c r="G30" s="26"/>
    </row>
    <row r="31" spans="2:7" x14ac:dyDescent="0.2">
      <c r="B31" s="27">
        <v>27</v>
      </c>
      <c r="C31" s="112">
        <f t="shared" si="1"/>
        <v>9826</v>
      </c>
      <c r="D31" s="34">
        <f t="shared" si="2"/>
        <v>9110.2483234783849</v>
      </c>
      <c r="E31" s="38">
        <f t="shared" si="0"/>
        <v>9.1102483234782473E-3</v>
      </c>
      <c r="F31" s="38">
        <f t="shared" si="3"/>
        <v>0.24597670473391267</v>
      </c>
      <c r="G31" s="26"/>
    </row>
    <row r="32" spans="2:7" x14ac:dyDescent="0.2">
      <c r="B32" s="27">
        <v>28</v>
      </c>
      <c r="C32" s="112">
        <f t="shared" si="1"/>
        <v>9826</v>
      </c>
      <c r="D32" s="34">
        <f t="shared" si="2"/>
        <v>9084.7645518460758</v>
      </c>
      <c r="E32" s="38">
        <f t="shared" si="0"/>
        <v>9.0847645518459391E-3</v>
      </c>
      <c r="F32" s="38">
        <f t="shared" si="3"/>
        <v>0.2543734074516863</v>
      </c>
      <c r="G32" s="26"/>
    </row>
    <row r="33" spans="2:7" x14ac:dyDescent="0.2">
      <c r="B33" s="27">
        <v>29</v>
      </c>
      <c r="C33" s="112">
        <f t="shared" si="1"/>
        <v>9826</v>
      </c>
      <c r="D33" s="34">
        <f t="shared" si="2"/>
        <v>9059.3520650562368</v>
      </c>
      <c r="E33" s="38">
        <f t="shared" si="0"/>
        <v>9.0593520650561008E-3</v>
      </c>
      <c r="F33" s="38">
        <f t="shared" si="3"/>
        <v>0.26272120988662695</v>
      </c>
      <c r="G33" s="26"/>
    </row>
    <row r="34" spans="2:7" x14ac:dyDescent="0.2">
      <c r="B34" s="27">
        <v>30</v>
      </c>
      <c r="C34" s="112">
        <f t="shared" si="1"/>
        <v>9826</v>
      </c>
      <c r="D34" s="34">
        <f t="shared" si="2"/>
        <v>9034.0106637063309</v>
      </c>
      <c r="E34" s="38">
        <f t="shared" si="0"/>
        <v>9.0340106637061945E-3</v>
      </c>
      <c r="F34" s="38">
        <f t="shared" si="3"/>
        <v>0.27102031991118586</v>
      </c>
      <c r="G34" s="26"/>
    </row>
    <row r="35" spans="2:7" x14ac:dyDescent="0.2">
      <c r="B35" s="27">
        <v>31</v>
      </c>
      <c r="C35" s="112">
        <f t="shared" si="1"/>
        <v>9826</v>
      </c>
      <c r="D35" s="34">
        <f t="shared" si="2"/>
        <v>9008.7401489515996</v>
      </c>
      <c r="E35" s="38">
        <f t="shared" si="0"/>
        <v>9.0087401489514635E-3</v>
      </c>
      <c r="F35" s="38">
        <f t="shared" si="3"/>
        <v>0.27927094461749535</v>
      </c>
      <c r="G35" s="26"/>
    </row>
    <row r="36" spans="2:7" x14ac:dyDescent="0.2">
      <c r="B36" s="27">
        <v>32</v>
      </c>
      <c r="C36" s="112">
        <f t="shared" si="1"/>
        <v>9826</v>
      </c>
      <c r="D36" s="34">
        <f t="shared" si="2"/>
        <v>8983.5403225035043</v>
      </c>
      <c r="E36" s="38">
        <f t="shared" si="0"/>
        <v>8.9835403225033694E-3</v>
      </c>
      <c r="F36" s="38">
        <f t="shared" si="3"/>
        <v>0.28747329032010782</v>
      </c>
      <c r="G36" s="26"/>
    </row>
    <row r="37" spans="2:7" x14ac:dyDescent="0.2">
      <c r="B37" s="27">
        <v>33</v>
      </c>
      <c r="C37" s="112">
        <f t="shared" si="1"/>
        <v>9826</v>
      </c>
      <c r="D37" s="34">
        <f t="shared" si="2"/>
        <v>8958.4109866281797</v>
      </c>
      <c r="E37" s="38">
        <f t="shared" ref="E37:E68" si="4">D37/$D$127</f>
        <v>8.9584109866280449E-3</v>
      </c>
      <c r="F37" s="38">
        <f t="shared" si="3"/>
        <v>0.29562756255872547</v>
      </c>
      <c r="G37" s="26"/>
    </row>
    <row r="38" spans="2:7" x14ac:dyDescent="0.2">
      <c r="B38" s="27">
        <v>34</v>
      </c>
      <c r="C38" s="112">
        <f t="shared" si="1"/>
        <v>9826</v>
      </c>
      <c r="D38" s="34">
        <f t="shared" si="2"/>
        <v>8933.3519441448643</v>
      </c>
      <c r="E38" s="38">
        <f t="shared" si="4"/>
        <v>8.9333519441447302E-3</v>
      </c>
      <c r="F38" s="38">
        <f t="shared" si="3"/>
        <v>0.30373396610092085</v>
      </c>
      <c r="G38" s="26"/>
    </row>
    <row r="39" spans="2:7" x14ac:dyDescent="0.2">
      <c r="B39" s="27">
        <v>35</v>
      </c>
      <c r="C39" s="112">
        <f t="shared" si="1"/>
        <v>9826</v>
      </c>
      <c r="D39" s="34">
        <f t="shared" si="2"/>
        <v>8908.3629984243689</v>
      </c>
      <c r="E39" s="38">
        <f t="shared" si="4"/>
        <v>8.9083629984242352E-3</v>
      </c>
      <c r="F39" s="38">
        <f t="shared" si="3"/>
        <v>0.31179270494484823</v>
      </c>
      <c r="G39" s="26"/>
    </row>
    <row r="40" spans="2:7" x14ac:dyDescent="0.2">
      <c r="B40" s="27">
        <v>36</v>
      </c>
      <c r="C40" s="112">
        <f t="shared" si="1"/>
        <v>9826</v>
      </c>
      <c r="D40" s="34">
        <f t="shared" si="2"/>
        <v>8883.4439533875284</v>
      </c>
      <c r="E40" s="38">
        <f t="shared" si="4"/>
        <v>8.8834439533873946E-3</v>
      </c>
      <c r="F40" s="38">
        <f t="shared" si="3"/>
        <v>0.31980398232194618</v>
      </c>
      <c r="G40" s="26"/>
    </row>
    <row r="41" spans="2:7" x14ac:dyDescent="0.2">
      <c r="B41" s="27">
        <v>37</v>
      </c>
      <c r="C41" s="112">
        <f t="shared" si="1"/>
        <v>9826</v>
      </c>
      <c r="D41" s="34">
        <f t="shared" si="2"/>
        <v>8858.5946135036611</v>
      </c>
      <c r="E41" s="38">
        <f t="shared" si="4"/>
        <v>8.8585946135035284E-3</v>
      </c>
      <c r="F41" s="38">
        <f t="shared" si="3"/>
        <v>0.32776800069963052</v>
      </c>
      <c r="G41" s="26"/>
    </row>
    <row r="42" spans="2:7" x14ac:dyDescent="0.2">
      <c r="B42" s="27">
        <v>38</v>
      </c>
      <c r="C42" s="112">
        <f t="shared" si="1"/>
        <v>9826</v>
      </c>
      <c r="D42" s="34">
        <f t="shared" si="2"/>
        <v>8833.8147837890392</v>
      </c>
      <c r="E42" s="38">
        <f t="shared" si="4"/>
        <v>8.8338147837889059E-3</v>
      </c>
      <c r="F42" s="38">
        <f t="shared" si="3"/>
        <v>0.33568496178397844</v>
      </c>
      <c r="G42" s="26"/>
    </row>
    <row r="43" spans="2:7" x14ac:dyDescent="0.2">
      <c r="B43" s="27">
        <v>39</v>
      </c>
      <c r="C43" s="112">
        <f t="shared" si="1"/>
        <v>9826</v>
      </c>
      <c r="D43" s="34">
        <f t="shared" si="2"/>
        <v>8809.1042698053498</v>
      </c>
      <c r="E43" s="38">
        <f t="shared" si="4"/>
        <v>8.809104269805218E-3</v>
      </c>
      <c r="F43" s="38">
        <f t="shared" si="3"/>
        <v>0.34355506652240353</v>
      </c>
      <c r="G43" s="26"/>
    </row>
    <row r="44" spans="2:7" x14ac:dyDescent="0.2">
      <c r="B44" s="27">
        <v>40</v>
      </c>
      <c r="C44" s="112">
        <f t="shared" si="1"/>
        <v>9826</v>
      </c>
      <c r="D44" s="34">
        <f t="shared" si="2"/>
        <v>8784.4628776581794</v>
      </c>
      <c r="E44" s="38">
        <f t="shared" si="4"/>
        <v>8.7844628776580468E-3</v>
      </c>
      <c r="F44" s="38">
        <f t="shared" si="3"/>
        <v>0.3513785151063219</v>
      </c>
      <c r="G44" s="26"/>
    </row>
    <row r="45" spans="2:7" x14ac:dyDescent="0.2">
      <c r="B45" s="27">
        <v>41</v>
      </c>
      <c r="C45" s="112">
        <f t="shared" si="1"/>
        <v>9826</v>
      </c>
      <c r="D45" s="34">
        <f t="shared" si="2"/>
        <v>8759.8904139954939</v>
      </c>
      <c r="E45" s="38">
        <f t="shared" si="4"/>
        <v>8.7598904139953616E-3</v>
      </c>
      <c r="F45" s="38">
        <f t="shared" si="3"/>
        <v>0.35915550697380982</v>
      </c>
      <c r="G45" s="26"/>
    </row>
    <row r="46" spans="2:7" x14ac:dyDescent="0.2">
      <c r="B46" s="27">
        <v>42</v>
      </c>
      <c r="C46" s="112">
        <f t="shared" si="1"/>
        <v>9826</v>
      </c>
      <c r="D46" s="34">
        <f t="shared" si="2"/>
        <v>8735.3866860061025</v>
      </c>
      <c r="E46" s="38">
        <f t="shared" si="4"/>
        <v>8.735386686005972E-3</v>
      </c>
      <c r="F46" s="38">
        <f t="shared" si="3"/>
        <v>0.36688624081225085</v>
      </c>
      <c r="G46" s="26"/>
    </row>
    <row r="47" spans="2:7" x14ac:dyDescent="0.2">
      <c r="B47" s="27">
        <v>43</v>
      </c>
      <c r="C47" s="112">
        <f t="shared" si="1"/>
        <v>9826</v>
      </c>
      <c r="D47" s="34">
        <f t="shared" si="2"/>
        <v>8710.9515014181707</v>
      </c>
      <c r="E47" s="38">
        <f t="shared" si="4"/>
        <v>8.7109515014180405E-3</v>
      </c>
      <c r="F47" s="38">
        <f t="shared" si="3"/>
        <v>0.37457091456097574</v>
      </c>
      <c r="G47" s="26"/>
    </row>
    <row r="48" spans="2:7" x14ac:dyDescent="0.2">
      <c r="B48" s="27">
        <v>44</v>
      </c>
      <c r="C48" s="112">
        <f t="shared" si="1"/>
        <v>9826</v>
      </c>
      <c r="D48" s="34">
        <f t="shared" si="2"/>
        <v>8686.584668497695</v>
      </c>
      <c r="E48" s="38">
        <f t="shared" si="4"/>
        <v>8.6865846684975653E-3</v>
      </c>
      <c r="F48" s="38">
        <f t="shared" si="3"/>
        <v>0.38220972541389286</v>
      </c>
      <c r="G48" s="26"/>
    </row>
    <row r="49" spans="2:7" x14ac:dyDescent="0.2">
      <c r="B49" s="27">
        <v>45</v>
      </c>
      <c r="C49" s="112">
        <f t="shared" si="1"/>
        <v>9826</v>
      </c>
      <c r="D49" s="34">
        <f t="shared" si="2"/>
        <v>8662.2859960469978</v>
      </c>
      <c r="E49" s="38">
        <f t="shared" si="4"/>
        <v>8.662285996046867E-3</v>
      </c>
      <c r="F49" s="38">
        <f t="shared" si="3"/>
        <v>0.38980286982210899</v>
      </c>
      <c r="G49" s="26"/>
    </row>
    <row r="50" spans="2:7" x14ac:dyDescent="0.2">
      <c r="B50" s="27">
        <v>46</v>
      </c>
      <c r="C50" s="112">
        <f t="shared" si="1"/>
        <v>9826</v>
      </c>
      <c r="D50" s="34">
        <f t="shared" si="2"/>
        <v>8638.0552934032385</v>
      </c>
      <c r="E50" s="38">
        <f t="shared" si="4"/>
        <v>8.6380552934031095E-3</v>
      </c>
      <c r="F50" s="38">
        <f t="shared" si="3"/>
        <v>0.39735054349654303</v>
      </c>
      <c r="G50" s="26"/>
    </row>
    <row r="51" spans="2:7" x14ac:dyDescent="0.2">
      <c r="B51" s="27">
        <v>47</v>
      </c>
      <c r="C51" s="112">
        <f t="shared" si="1"/>
        <v>9826</v>
      </c>
      <c r="D51" s="34">
        <f t="shared" si="2"/>
        <v>8613.8923704369081</v>
      </c>
      <c r="E51" s="38">
        <f t="shared" si="4"/>
        <v>8.6138923704367782E-3</v>
      </c>
      <c r="F51" s="38">
        <f t="shared" si="3"/>
        <v>0.40485294141052858</v>
      </c>
      <c r="G51" s="26"/>
    </row>
    <row r="52" spans="2:7" x14ac:dyDescent="0.2">
      <c r="B52" s="27">
        <v>48</v>
      </c>
      <c r="C52" s="112">
        <f t="shared" si="1"/>
        <v>9826</v>
      </c>
      <c r="D52" s="34">
        <f t="shared" si="2"/>
        <v>8589.797037550341</v>
      </c>
      <c r="E52" s="38">
        <f t="shared" si="4"/>
        <v>8.5897970375502126E-3</v>
      </c>
      <c r="F52" s="38">
        <f t="shared" si="3"/>
        <v>0.41231025780241021</v>
      </c>
      <c r="G52" s="26"/>
    </row>
    <row r="53" spans="2:7" x14ac:dyDescent="0.2">
      <c r="B53" s="27">
        <v>49</v>
      </c>
      <c r="C53" s="112">
        <f t="shared" si="1"/>
        <v>9826</v>
      </c>
      <c r="D53" s="34">
        <f t="shared" si="2"/>
        <v>8565.7691056762251</v>
      </c>
      <c r="E53" s="38">
        <f t="shared" si="4"/>
        <v>8.5657691056760972E-3</v>
      </c>
      <c r="F53" s="38">
        <f t="shared" si="3"/>
        <v>0.41972268617812875</v>
      </c>
      <c r="G53" s="26"/>
    </row>
    <row r="54" spans="2:7" x14ac:dyDescent="0.2">
      <c r="B54" s="27">
        <v>50</v>
      </c>
      <c r="C54" s="112">
        <f t="shared" si="1"/>
        <v>9826</v>
      </c>
      <c r="D54" s="34">
        <f t="shared" si="2"/>
        <v>8541.8083862761196</v>
      </c>
      <c r="E54" s="38">
        <f t="shared" si="4"/>
        <v>8.5418083862759918E-3</v>
      </c>
      <c r="F54" s="38">
        <f t="shared" si="3"/>
        <v>0.4270904193137996</v>
      </c>
      <c r="G54" s="26"/>
    </row>
    <row r="55" spans="2:7" x14ac:dyDescent="0.2">
      <c r="B55" s="27">
        <v>51</v>
      </c>
      <c r="C55" s="112">
        <f t="shared" si="1"/>
        <v>9826</v>
      </c>
      <c r="D55" s="34">
        <f t="shared" si="2"/>
        <v>8517.9146913389795</v>
      </c>
      <c r="E55" s="38">
        <f t="shared" si="4"/>
        <v>8.5179146913388522E-3</v>
      </c>
      <c r="F55" s="38">
        <f t="shared" si="3"/>
        <v>0.43441364925828146</v>
      </c>
      <c r="G55" s="26"/>
    </row>
    <row r="56" spans="2:7" x14ac:dyDescent="0.2">
      <c r="B56" s="27">
        <v>52</v>
      </c>
      <c r="C56" s="112">
        <f t="shared" si="1"/>
        <v>9826</v>
      </c>
      <c r="D56" s="34">
        <f t="shared" si="2"/>
        <v>8494.0878333796682</v>
      </c>
      <c r="E56" s="38">
        <f t="shared" si="4"/>
        <v>8.4940878333795398E-3</v>
      </c>
      <c r="F56" s="38">
        <f t="shared" si="3"/>
        <v>0.44169256733573609</v>
      </c>
      <c r="G56" s="26"/>
    </row>
    <row r="57" spans="2:7" x14ac:dyDescent="0.2">
      <c r="B57" s="27">
        <v>53</v>
      </c>
      <c r="C57" s="112">
        <f t="shared" si="1"/>
        <v>9826</v>
      </c>
      <c r="D57" s="34">
        <f t="shared" si="2"/>
        <v>8470.3276254375014</v>
      </c>
      <c r="E57" s="38">
        <f t="shared" si="4"/>
        <v>8.4703276254373735E-3</v>
      </c>
      <c r="F57" s="38">
        <f t="shared" si="3"/>
        <v>0.4489273641481808</v>
      </c>
      <c r="G57" s="26"/>
    </row>
    <row r="58" spans="2:7" x14ac:dyDescent="0.2">
      <c r="B58" s="27">
        <v>54</v>
      </c>
      <c r="C58" s="112">
        <f t="shared" si="1"/>
        <v>9826</v>
      </c>
      <c r="D58" s="34">
        <f t="shared" si="2"/>
        <v>8446.6338810747729</v>
      </c>
      <c r="E58" s="38">
        <f t="shared" si="4"/>
        <v>8.4466338810746458E-3</v>
      </c>
      <c r="F58" s="38">
        <f t="shared" si="3"/>
        <v>0.45611822957803089</v>
      </c>
      <c r="G58" s="26"/>
    </row>
    <row r="59" spans="2:7" x14ac:dyDescent="0.2">
      <c r="B59" s="27">
        <v>55</v>
      </c>
      <c r="C59" s="112">
        <f t="shared" si="1"/>
        <v>9826</v>
      </c>
      <c r="D59" s="34">
        <f t="shared" si="2"/>
        <v>8423.0064143752879</v>
      </c>
      <c r="E59" s="38">
        <f t="shared" si="4"/>
        <v>8.4230064143751612E-3</v>
      </c>
      <c r="F59" s="38">
        <f t="shared" si="3"/>
        <v>0.46326535279063386</v>
      </c>
      <c r="G59" s="26"/>
    </row>
    <row r="60" spans="2:7" x14ac:dyDescent="0.2">
      <c r="B60" s="27">
        <v>56</v>
      </c>
      <c r="C60" s="112">
        <f t="shared" si="1"/>
        <v>9826</v>
      </c>
      <c r="D60" s="34">
        <f t="shared" si="2"/>
        <v>8399.4450399429097</v>
      </c>
      <c r="E60" s="38">
        <f t="shared" si="4"/>
        <v>8.3994450399427836E-3</v>
      </c>
      <c r="F60" s="38">
        <f t="shared" si="3"/>
        <v>0.47036892223679588</v>
      </c>
      <c r="G60" s="26"/>
    </row>
    <row r="61" spans="2:7" x14ac:dyDescent="0.2">
      <c r="B61" s="27">
        <v>57</v>
      </c>
      <c r="C61" s="112">
        <f t="shared" si="1"/>
        <v>9826</v>
      </c>
      <c r="D61" s="34">
        <f t="shared" si="2"/>
        <v>8375.9495729001083</v>
      </c>
      <c r="E61" s="38">
        <f t="shared" si="4"/>
        <v>8.3759495728999833E-3</v>
      </c>
      <c r="F61" s="38">
        <f t="shared" si="3"/>
        <v>0.47742912565529905</v>
      </c>
      <c r="G61" s="26"/>
    </row>
    <row r="62" spans="2:7" x14ac:dyDescent="0.2">
      <c r="B62" s="27">
        <v>58</v>
      </c>
      <c r="C62" s="112">
        <f t="shared" si="1"/>
        <v>9826</v>
      </c>
      <c r="D62" s="34">
        <f t="shared" si="2"/>
        <v>8352.5198288864976</v>
      </c>
      <c r="E62" s="38">
        <f t="shared" si="4"/>
        <v>8.352519828886372E-3</v>
      </c>
      <c r="F62" s="38">
        <f t="shared" si="3"/>
        <v>0.48444615007540959</v>
      </c>
      <c r="G62" s="26"/>
    </row>
    <row r="63" spans="2:7" x14ac:dyDescent="0.2">
      <c r="B63" s="27">
        <v>59</v>
      </c>
      <c r="C63" s="112">
        <f t="shared" si="1"/>
        <v>9826</v>
      </c>
      <c r="D63" s="34">
        <f t="shared" si="2"/>
        <v>8329.1556240574009</v>
      </c>
      <c r="E63" s="38">
        <f t="shared" si="4"/>
        <v>8.3291556240572759E-3</v>
      </c>
      <c r="F63" s="38">
        <f t="shared" si="3"/>
        <v>0.4914201818193793</v>
      </c>
      <c r="G63" s="26"/>
    </row>
    <row r="64" spans="2:7" x14ac:dyDescent="0.2">
      <c r="B64" s="27">
        <v>60</v>
      </c>
      <c r="C64" s="112">
        <f t="shared" si="1"/>
        <v>9826</v>
      </c>
      <c r="D64" s="34">
        <f t="shared" si="2"/>
        <v>8305.8567750824041</v>
      </c>
      <c r="E64" s="38">
        <f t="shared" si="4"/>
        <v>8.30585677508228E-3</v>
      </c>
      <c r="F64" s="38">
        <f t="shared" si="3"/>
        <v>0.49835140650493681</v>
      </c>
      <c r="G64" s="26"/>
    </row>
    <row r="65" spans="2:7" x14ac:dyDescent="0.2">
      <c r="B65" s="27">
        <v>61</v>
      </c>
      <c r="C65" s="112">
        <f t="shared" si="1"/>
        <v>9826</v>
      </c>
      <c r="D65" s="34">
        <f t="shared" si="2"/>
        <v>8282.6230991439134</v>
      </c>
      <c r="E65" s="38">
        <f t="shared" si="4"/>
        <v>8.2826230991437898E-3</v>
      </c>
      <c r="F65" s="38">
        <f t="shared" si="3"/>
        <v>0.50524000904777122</v>
      </c>
      <c r="G65" s="26"/>
    </row>
    <row r="66" spans="2:7" x14ac:dyDescent="0.2">
      <c r="B66" s="27">
        <v>62</v>
      </c>
      <c r="C66" s="112">
        <f t="shared" si="1"/>
        <v>9826</v>
      </c>
      <c r="D66" s="34">
        <f t="shared" si="2"/>
        <v>8259.4544139357276</v>
      </c>
      <c r="E66" s="38">
        <f t="shared" si="4"/>
        <v>8.259454413935604E-3</v>
      </c>
      <c r="F66" s="38">
        <f t="shared" si="3"/>
        <v>0.51208617366400744</v>
      </c>
      <c r="G66" s="26"/>
    </row>
    <row r="67" spans="2:7" x14ac:dyDescent="0.2">
      <c r="B67" s="27">
        <v>63</v>
      </c>
      <c r="C67" s="112">
        <f t="shared" si="1"/>
        <v>9826</v>
      </c>
      <c r="D67" s="34">
        <f t="shared" si="2"/>
        <v>8236.3505376616049</v>
      </c>
      <c r="E67" s="38">
        <f t="shared" si="4"/>
        <v>8.2363505376614812E-3</v>
      </c>
      <c r="F67" s="38">
        <f t="shared" si="3"/>
        <v>0.51889008387267332</v>
      </c>
      <c r="G67" s="26"/>
    </row>
    <row r="68" spans="2:7" x14ac:dyDescent="0.2">
      <c r="B68" s="27">
        <v>64</v>
      </c>
      <c r="C68" s="112">
        <f t="shared" si="1"/>
        <v>9826</v>
      </c>
      <c r="D68" s="34">
        <f t="shared" si="2"/>
        <v>8213.3112890338252</v>
      </c>
      <c r="E68" s="38">
        <f t="shared" si="4"/>
        <v>8.2133112890337024E-3</v>
      </c>
      <c r="F68" s="38">
        <f t="shared" si="3"/>
        <v>0.52565192249815695</v>
      </c>
      <c r="G68" s="26"/>
    </row>
    <row r="69" spans="2:7" x14ac:dyDescent="0.2">
      <c r="B69" s="27">
        <v>65</v>
      </c>
      <c r="C69" s="112">
        <f t="shared" si="1"/>
        <v>9826</v>
      </c>
      <c r="D69" s="34">
        <f t="shared" si="2"/>
        <v>8190.3364872717939</v>
      </c>
      <c r="E69" s="38">
        <f t="shared" ref="E69:E100" si="5">D69/$D$127</f>
        <v>8.1903364872716704E-3</v>
      </c>
      <c r="F69" s="38">
        <f t="shared" si="3"/>
        <v>0.53237187167265854</v>
      </c>
      <c r="G69" s="26"/>
    </row>
    <row r="70" spans="2:7" x14ac:dyDescent="0.2">
      <c r="B70" s="27">
        <v>66</v>
      </c>
      <c r="C70" s="112">
        <f t="shared" ref="C70:C124" si="6">$E$3</f>
        <v>9826</v>
      </c>
      <c r="D70" s="34">
        <f t="shared" ref="D70:D124" si="7">C70*1/(1+$E$2)^B70</f>
        <v>8167.4259521005961</v>
      </c>
      <c r="E70" s="38">
        <f t="shared" si="5"/>
        <v>8.1674259521004738E-3</v>
      </c>
      <c r="F70" s="38">
        <f t="shared" ref="F70:F124" si="8">E70*B70</f>
        <v>0.53905011283863125</v>
      </c>
      <c r="G70" s="26"/>
    </row>
    <row r="71" spans="2:7" x14ac:dyDescent="0.2">
      <c r="B71" s="27">
        <v>67</v>
      </c>
      <c r="C71" s="112">
        <f t="shared" si="6"/>
        <v>9826</v>
      </c>
      <c r="D71" s="34">
        <f t="shared" si="7"/>
        <v>8144.5795037495973</v>
      </c>
      <c r="E71" s="38">
        <f t="shared" si="5"/>
        <v>8.1445795037494752E-3</v>
      </c>
      <c r="F71" s="38">
        <f t="shared" si="8"/>
        <v>0.54568682675121483</v>
      </c>
      <c r="G71" s="26"/>
    </row>
    <row r="72" spans="2:7" x14ac:dyDescent="0.2">
      <c r="B72" s="27">
        <v>68</v>
      </c>
      <c r="C72" s="112">
        <f t="shared" si="6"/>
        <v>9826</v>
      </c>
      <c r="D72" s="34">
        <f t="shared" si="7"/>
        <v>8121.7969629510289</v>
      </c>
      <c r="E72" s="38">
        <f t="shared" si="5"/>
        <v>8.1217969629509071E-3</v>
      </c>
      <c r="F72" s="38">
        <f t="shared" si="8"/>
        <v>0.55228219348066165</v>
      </c>
      <c r="G72" s="26"/>
    </row>
    <row r="73" spans="2:7" x14ac:dyDescent="0.2">
      <c r="B73" s="27">
        <v>69</v>
      </c>
      <c r="C73" s="112">
        <f t="shared" si="6"/>
        <v>9826</v>
      </c>
      <c r="D73" s="34">
        <f t="shared" si="7"/>
        <v>8099.0781509385806</v>
      </c>
      <c r="E73" s="38">
        <f t="shared" si="5"/>
        <v>8.0990781509384588E-3</v>
      </c>
      <c r="F73" s="38">
        <f t="shared" si="8"/>
        <v>0.55883639241475369</v>
      </c>
      <c r="G73" s="26"/>
    </row>
    <row r="74" spans="2:7" x14ac:dyDescent="0.2">
      <c r="B74" s="27">
        <v>70</v>
      </c>
      <c r="C74" s="112">
        <f t="shared" si="6"/>
        <v>9826</v>
      </c>
      <c r="D74" s="34">
        <f t="shared" si="7"/>
        <v>8076.4228894460011</v>
      </c>
      <c r="E74" s="38">
        <f t="shared" si="5"/>
        <v>8.0764228894458796E-3</v>
      </c>
      <c r="F74" s="38">
        <f t="shared" si="8"/>
        <v>0.56534960226121156</v>
      </c>
      <c r="G74" s="26"/>
    </row>
    <row r="75" spans="2:7" x14ac:dyDescent="0.2">
      <c r="B75" s="27">
        <v>71</v>
      </c>
      <c r="C75" s="112">
        <f t="shared" si="6"/>
        <v>9826</v>
      </c>
      <c r="D75" s="34">
        <f t="shared" si="7"/>
        <v>8053.8310007056934</v>
      </c>
      <c r="E75" s="38">
        <f t="shared" si="5"/>
        <v>8.0538310007055719E-3</v>
      </c>
      <c r="F75" s="38">
        <f t="shared" si="8"/>
        <v>0.57182200105009562</v>
      </c>
      <c r="G75" s="26"/>
    </row>
    <row r="76" spans="2:7" x14ac:dyDescent="0.2">
      <c r="B76" s="27">
        <v>72</v>
      </c>
      <c r="C76" s="112">
        <f t="shared" si="6"/>
        <v>9826</v>
      </c>
      <c r="D76" s="34">
        <f t="shared" si="7"/>
        <v>8031.3023074473267</v>
      </c>
      <c r="E76" s="38">
        <f t="shared" si="5"/>
        <v>8.0313023074472054E-3</v>
      </c>
      <c r="F76" s="38">
        <f t="shared" si="8"/>
        <v>0.57825376613619883</v>
      </c>
      <c r="G76" s="26"/>
    </row>
    <row r="77" spans="2:7" x14ac:dyDescent="0.2">
      <c r="B77" s="27">
        <v>73</v>
      </c>
      <c r="C77" s="112">
        <f t="shared" si="6"/>
        <v>9826</v>
      </c>
      <c r="D77" s="34">
        <f t="shared" si="7"/>
        <v>8008.8366328964403</v>
      </c>
      <c r="E77" s="38">
        <f t="shared" si="5"/>
        <v>8.0088366328963205E-3</v>
      </c>
      <c r="F77" s="38">
        <f t="shared" si="8"/>
        <v>0.58464507420143141</v>
      </c>
      <c r="G77" s="26"/>
    </row>
    <row r="78" spans="2:7" x14ac:dyDescent="0.2">
      <c r="B78" s="27">
        <v>74</v>
      </c>
      <c r="C78" s="112">
        <f t="shared" si="6"/>
        <v>9826</v>
      </c>
      <c r="D78" s="34">
        <f t="shared" si="7"/>
        <v>7986.4338007730603</v>
      </c>
      <c r="E78" s="38">
        <f t="shared" si="5"/>
        <v>7.9864338007729404E-3</v>
      </c>
      <c r="F78" s="38">
        <f t="shared" si="8"/>
        <v>0.59099610125719759</v>
      </c>
      <c r="G78" s="26"/>
    </row>
    <row r="79" spans="2:7" x14ac:dyDescent="0.2">
      <c r="B79" s="27">
        <v>75</v>
      </c>
      <c r="C79" s="112">
        <f t="shared" si="6"/>
        <v>9826</v>
      </c>
      <c r="D79" s="34">
        <f t="shared" si="7"/>
        <v>7964.0936352903109</v>
      </c>
      <c r="E79" s="38">
        <f t="shared" si="5"/>
        <v>7.9640936352901905E-3</v>
      </c>
      <c r="F79" s="38">
        <f t="shared" si="8"/>
        <v>0.59730702264676427</v>
      </c>
      <c r="G79" s="26"/>
    </row>
    <row r="80" spans="2:7" x14ac:dyDescent="0.2">
      <c r="B80" s="27">
        <v>76</v>
      </c>
      <c r="C80" s="112">
        <f t="shared" si="6"/>
        <v>9826</v>
      </c>
      <c r="D80" s="34">
        <f t="shared" si="7"/>
        <v>7941.81596115304</v>
      </c>
      <c r="E80" s="38">
        <f t="shared" si="5"/>
        <v>7.9418159611529208E-3</v>
      </c>
      <c r="F80" s="38">
        <f t="shared" si="8"/>
        <v>0.60357801304762193</v>
      </c>
      <c r="G80" s="26"/>
    </row>
    <row r="81" spans="2:7" x14ac:dyDescent="0.2">
      <c r="B81" s="27">
        <v>77</v>
      </c>
      <c r="C81" s="112">
        <f t="shared" si="6"/>
        <v>9826</v>
      </c>
      <c r="D81" s="34">
        <f t="shared" si="7"/>
        <v>7919.6006035564442</v>
      </c>
      <c r="E81" s="38">
        <f t="shared" si="5"/>
        <v>7.9196006035563253E-3</v>
      </c>
      <c r="F81" s="38">
        <f t="shared" si="8"/>
        <v>0.60980924647383705</v>
      </c>
      <c r="G81" s="26"/>
    </row>
    <row r="82" spans="2:7" x14ac:dyDescent="0.2">
      <c r="B82" s="27">
        <v>78</v>
      </c>
      <c r="C82" s="112">
        <f t="shared" si="6"/>
        <v>9826</v>
      </c>
      <c r="D82" s="34">
        <f t="shared" si="7"/>
        <v>7897.447388184697</v>
      </c>
      <c r="E82" s="38">
        <f t="shared" si="5"/>
        <v>7.8974473881845784E-3</v>
      </c>
      <c r="F82" s="38">
        <f t="shared" si="8"/>
        <v>0.61600089627839716</v>
      </c>
      <c r="G82" s="26"/>
    </row>
    <row r="83" spans="2:7" x14ac:dyDescent="0.2">
      <c r="B83" s="27">
        <v>79</v>
      </c>
      <c r="C83" s="112">
        <f t="shared" si="6"/>
        <v>9826</v>
      </c>
      <c r="D83" s="34">
        <f t="shared" si="7"/>
        <v>7875.3561412095733</v>
      </c>
      <c r="E83" s="38">
        <f t="shared" si="5"/>
        <v>7.8753561412094556E-3</v>
      </c>
      <c r="F83" s="38">
        <f t="shared" si="8"/>
        <v>0.62215313515554704</v>
      </c>
      <c r="G83" s="26"/>
    </row>
    <row r="84" spans="2:7" x14ac:dyDescent="0.2">
      <c r="B84" s="27">
        <v>80</v>
      </c>
      <c r="C84" s="112">
        <f t="shared" si="6"/>
        <v>9826</v>
      </c>
      <c r="D84" s="34">
        <f t="shared" si="7"/>
        <v>7853.3266892890942</v>
      </c>
      <c r="E84" s="38">
        <f t="shared" si="5"/>
        <v>7.8533266892889756E-3</v>
      </c>
      <c r="F84" s="38">
        <f t="shared" si="8"/>
        <v>0.62826613514311802</v>
      </c>
      <c r="G84" s="26"/>
    </row>
    <row r="85" spans="2:7" x14ac:dyDescent="0.2">
      <c r="B85" s="27">
        <v>81</v>
      </c>
      <c r="C85" s="112">
        <f t="shared" si="6"/>
        <v>9826</v>
      </c>
      <c r="D85" s="34">
        <f t="shared" si="7"/>
        <v>7831.3588595661668</v>
      </c>
      <c r="E85" s="38">
        <f t="shared" si="5"/>
        <v>7.8313588595660486E-3</v>
      </c>
      <c r="F85" s="38">
        <f t="shared" si="8"/>
        <v>0.63434006762484996</v>
      </c>
      <c r="G85" s="26"/>
    </row>
    <row r="86" spans="2:7" x14ac:dyDescent="0.2">
      <c r="B86" s="27">
        <v>82</v>
      </c>
      <c r="C86" s="112">
        <f t="shared" si="6"/>
        <v>9826</v>
      </c>
      <c r="D86" s="34">
        <f t="shared" si="7"/>
        <v>7809.4524796672213</v>
      </c>
      <c r="E86" s="38">
        <f t="shared" si="5"/>
        <v>7.8094524796671044E-3</v>
      </c>
      <c r="F86" s="38">
        <f t="shared" si="8"/>
        <v>0.64037510333270253</v>
      </c>
      <c r="G86" s="26"/>
    </row>
    <row r="87" spans="2:7" x14ac:dyDescent="0.2">
      <c r="B87" s="27">
        <v>83</v>
      </c>
      <c r="C87" s="112">
        <f t="shared" si="6"/>
        <v>9826</v>
      </c>
      <c r="D87" s="34">
        <f t="shared" si="7"/>
        <v>7787.607377700866</v>
      </c>
      <c r="E87" s="38">
        <f t="shared" si="5"/>
        <v>7.7876073777007494E-3</v>
      </c>
      <c r="F87" s="38">
        <f t="shared" si="8"/>
        <v>0.64637141234916218</v>
      </c>
      <c r="G87" s="26"/>
    </row>
    <row r="88" spans="2:7" x14ac:dyDescent="0.2">
      <c r="B88" s="27">
        <v>84</v>
      </c>
      <c r="C88" s="112">
        <f t="shared" si="6"/>
        <v>9826</v>
      </c>
      <c r="D88" s="34">
        <f t="shared" si="7"/>
        <v>7765.8233822565326</v>
      </c>
      <c r="E88" s="38">
        <f t="shared" si="5"/>
        <v>7.7658233822564156E-3</v>
      </c>
      <c r="F88" s="38">
        <f t="shared" si="8"/>
        <v>0.65232916410953889</v>
      </c>
      <c r="G88" s="26"/>
    </row>
    <row r="89" spans="2:7" x14ac:dyDescent="0.2">
      <c r="B89" s="27">
        <v>85</v>
      </c>
      <c r="C89" s="112">
        <f t="shared" si="6"/>
        <v>9826</v>
      </c>
      <c r="D89" s="34">
        <f t="shared" si="7"/>
        <v>7744.1003224031301</v>
      </c>
      <c r="E89" s="38">
        <f t="shared" si="5"/>
        <v>7.7441003224030134E-3</v>
      </c>
      <c r="F89" s="38">
        <f t="shared" si="8"/>
        <v>0.6582485274042561</v>
      </c>
      <c r="G89" s="26"/>
    </row>
    <row r="90" spans="2:7" x14ac:dyDescent="0.2">
      <c r="B90" s="27">
        <v>86</v>
      </c>
      <c r="C90" s="112">
        <f t="shared" si="6"/>
        <v>9826</v>
      </c>
      <c r="D90" s="34">
        <f t="shared" si="7"/>
        <v>7722.4380276877155</v>
      </c>
      <c r="E90" s="38">
        <f t="shared" si="5"/>
        <v>7.7224380276875995E-3</v>
      </c>
      <c r="F90" s="38">
        <f t="shared" si="8"/>
        <v>0.66412967038113357</v>
      </c>
      <c r="G90" s="26"/>
    </row>
    <row r="91" spans="2:7" x14ac:dyDescent="0.2">
      <c r="B91" s="27">
        <v>87</v>
      </c>
      <c r="C91" s="112">
        <f t="shared" si="6"/>
        <v>9826</v>
      </c>
      <c r="D91" s="34">
        <f t="shared" si="7"/>
        <v>7700.836328134139</v>
      </c>
      <c r="E91" s="38">
        <f t="shared" si="5"/>
        <v>7.7008363281340234E-3</v>
      </c>
      <c r="F91" s="38">
        <f t="shared" si="8"/>
        <v>0.66997276054766008</v>
      </c>
      <c r="G91" s="26"/>
    </row>
    <row r="92" spans="2:7" x14ac:dyDescent="0.2">
      <c r="B92" s="27">
        <v>88</v>
      </c>
      <c r="C92" s="112">
        <f t="shared" si="6"/>
        <v>9826</v>
      </c>
      <c r="D92" s="34">
        <f t="shared" si="7"/>
        <v>7679.2950542417238</v>
      </c>
      <c r="E92" s="38">
        <f t="shared" si="5"/>
        <v>7.6792950542416086E-3</v>
      </c>
      <c r="F92" s="38">
        <f t="shared" si="8"/>
        <v>0.67577796477326157</v>
      </c>
      <c r="G92" s="26"/>
    </row>
    <row r="93" spans="2:7" x14ac:dyDescent="0.2">
      <c r="B93" s="27">
        <v>89</v>
      </c>
      <c r="C93" s="112">
        <f t="shared" si="6"/>
        <v>9826</v>
      </c>
      <c r="D93" s="34">
        <f t="shared" si="7"/>
        <v>7657.8140369839321</v>
      </c>
      <c r="E93" s="38">
        <f t="shared" si="5"/>
        <v>7.6578140369838168E-3</v>
      </c>
      <c r="F93" s="38">
        <f t="shared" si="8"/>
        <v>0.68154544929155969</v>
      </c>
      <c r="G93" s="26"/>
    </row>
    <row r="94" spans="2:7" x14ac:dyDescent="0.2">
      <c r="B94" s="27">
        <v>90</v>
      </c>
      <c r="C94" s="112">
        <f t="shared" si="6"/>
        <v>9826</v>
      </c>
      <c r="D94" s="34">
        <f t="shared" si="7"/>
        <v>7636.3931078070345</v>
      </c>
      <c r="E94" s="38">
        <f t="shared" si="5"/>
        <v>7.6363931078069196E-3</v>
      </c>
      <c r="F94" s="38">
        <f t="shared" si="8"/>
        <v>0.68727537970262276</v>
      </c>
      <c r="G94" s="26"/>
    </row>
    <row r="95" spans="2:7" x14ac:dyDescent="0.2">
      <c r="B95" s="27">
        <v>91</v>
      </c>
      <c r="C95" s="112">
        <f t="shared" si="6"/>
        <v>9826</v>
      </c>
      <c r="D95" s="34">
        <f t="shared" si="7"/>
        <v>7615.0320986287916</v>
      </c>
      <c r="E95" s="38">
        <f t="shared" si="5"/>
        <v>7.6150320986286772E-3</v>
      </c>
      <c r="F95" s="38">
        <f t="shared" si="8"/>
        <v>0.69296792097520965</v>
      </c>
      <c r="G95" s="26"/>
    </row>
    <row r="96" spans="2:7" x14ac:dyDescent="0.2">
      <c r="B96" s="27">
        <v>92</v>
      </c>
      <c r="C96" s="112">
        <f t="shared" si="6"/>
        <v>9826</v>
      </c>
      <c r="D96" s="34">
        <f t="shared" si="7"/>
        <v>7593.7308418371358</v>
      </c>
      <c r="E96" s="38">
        <f t="shared" si="5"/>
        <v>7.5937308418370219E-3</v>
      </c>
      <c r="F96" s="38">
        <f t="shared" si="8"/>
        <v>0.69862323744900601</v>
      </c>
      <c r="G96" s="26"/>
    </row>
    <row r="97" spans="2:7" x14ac:dyDescent="0.2">
      <c r="B97" s="27">
        <v>93</v>
      </c>
      <c r="C97" s="112">
        <f t="shared" si="6"/>
        <v>9826</v>
      </c>
      <c r="D97" s="34">
        <f t="shared" si="7"/>
        <v>7572.4891702888544</v>
      </c>
      <c r="E97" s="38">
        <f t="shared" si="5"/>
        <v>7.5724891702887405E-3</v>
      </c>
      <c r="F97" s="38">
        <f t="shared" si="8"/>
        <v>0.70424149283685289</v>
      </c>
      <c r="G97" s="26"/>
    </row>
    <row r="98" spans="2:7" x14ac:dyDescent="0.2">
      <c r="B98" s="27">
        <v>94</v>
      </c>
      <c r="C98" s="112">
        <f t="shared" si="6"/>
        <v>9826</v>
      </c>
      <c r="D98" s="34">
        <f t="shared" si="7"/>
        <v>7551.3069173082813</v>
      </c>
      <c r="E98" s="38">
        <f t="shared" si="5"/>
        <v>7.5513069173081676E-3</v>
      </c>
      <c r="F98" s="38">
        <f t="shared" si="8"/>
        <v>0.70982285022696778</v>
      </c>
      <c r="G98" s="26"/>
    </row>
    <row r="99" spans="2:7" x14ac:dyDescent="0.2">
      <c r="B99" s="27">
        <v>95</v>
      </c>
      <c r="C99" s="112">
        <f t="shared" si="6"/>
        <v>9826</v>
      </c>
      <c r="D99" s="34">
        <f t="shared" si="7"/>
        <v>7530.18391668598</v>
      </c>
      <c r="E99" s="38">
        <f t="shared" si="5"/>
        <v>7.5301839166858672E-3</v>
      </c>
      <c r="F99" s="38">
        <f t="shared" si="8"/>
        <v>0.71536747208515739</v>
      </c>
      <c r="G99" s="26"/>
    </row>
    <row r="100" spans="2:7" x14ac:dyDescent="0.2">
      <c r="B100" s="27">
        <v>96</v>
      </c>
      <c r="C100" s="112">
        <f t="shared" si="6"/>
        <v>9826</v>
      </c>
      <c r="D100" s="34">
        <f t="shared" si="7"/>
        <v>7509.1200026774495</v>
      </c>
      <c r="E100" s="38">
        <f t="shared" si="5"/>
        <v>7.5091200026773369E-3</v>
      </c>
      <c r="F100" s="38">
        <f t="shared" si="8"/>
        <v>0.72087552025702428</v>
      </c>
      <c r="G100" s="26"/>
    </row>
    <row r="101" spans="2:7" x14ac:dyDescent="0.2">
      <c r="B101" s="27">
        <v>97</v>
      </c>
      <c r="C101" s="112">
        <f t="shared" si="6"/>
        <v>9826</v>
      </c>
      <c r="D101" s="34">
        <f t="shared" si="7"/>
        <v>7488.1150100018203</v>
      </c>
      <c r="E101" s="38">
        <f t="shared" ref="E101:E124" si="9">D101/$D$127</f>
        <v>7.4881150100017078E-3</v>
      </c>
      <c r="F101" s="38">
        <f t="shared" si="8"/>
        <v>0.72634715597016564</v>
      </c>
      <c r="G101" s="26"/>
    </row>
    <row r="102" spans="2:7" x14ac:dyDescent="0.2">
      <c r="B102" s="27">
        <v>98</v>
      </c>
      <c r="C102" s="112">
        <f t="shared" si="6"/>
        <v>9826</v>
      </c>
      <c r="D102" s="34">
        <f t="shared" si="7"/>
        <v>7467.1687738405553</v>
      </c>
      <c r="E102" s="38">
        <f t="shared" si="9"/>
        <v>7.4671687738404428E-3</v>
      </c>
      <c r="F102" s="38">
        <f t="shared" si="8"/>
        <v>0.73178253983636343</v>
      </c>
      <c r="G102" s="26"/>
    </row>
    <row r="103" spans="2:7" x14ac:dyDescent="0.2">
      <c r="B103" s="27">
        <v>99</v>
      </c>
      <c r="C103" s="112">
        <f t="shared" si="6"/>
        <v>9826</v>
      </c>
      <c r="D103" s="34">
        <f t="shared" si="7"/>
        <v>7446.2811298361585</v>
      </c>
      <c r="E103" s="38">
        <f t="shared" si="9"/>
        <v>7.4462811298360463E-3</v>
      </c>
      <c r="F103" s="38">
        <f t="shared" si="8"/>
        <v>0.73718183185376862</v>
      </c>
      <c r="G103" s="26"/>
    </row>
    <row r="104" spans="2:7" x14ac:dyDescent="0.2">
      <c r="B104" s="27">
        <v>100</v>
      </c>
      <c r="C104" s="112">
        <f t="shared" si="6"/>
        <v>9826</v>
      </c>
      <c r="D104" s="34">
        <f t="shared" si="7"/>
        <v>7425.4519140908878</v>
      </c>
      <c r="E104" s="38">
        <f t="shared" si="9"/>
        <v>7.4254519140907766E-3</v>
      </c>
      <c r="F104" s="38">
        <f t="shared" si="8"/>
        <v>0.74254519140907771</v>
      </c>
      <c r="G104" s="26"/>
    </row>
    <row r="105" spans="2:7" x14ac:dyDescent="0.2">
      <c r="B105" s="27">
        <v>101</v>
      </c>
      <c r="C105" s="112">
        <f t="shared" si="6"/>
        <v>9826</v>
      </c>
      <c r="D105" s="34">
        <f t="shared" si="7"/>
        <v>7404.680963165466</v>
      </c>
      <c r="E105" s="38">
        <f t="shared" si="9"/>
        <v>7.4046809631653551E-3</v>
      </c>
      <c r="F105" s="38">
        <f t="shared" si="8"/>
        <v>0.74787277727970081</v>
      </c>
      <c r="G105" s="26"/>
    </row>
    <row r="106" spans="2:7" x14ac:dyDescent="0.2">
      <c r="B106" s="27">
        <v>102</v>
      </c>
      <c r="C106" s="112">
        <f t="shared" si="6"/>
        <v>9826</v>
      </c>
      <c r="D106" s="34">
        <f t="shared" si="7"/>
        <v>7383.9681140777957</v>
      </c>
      <c r="E106" s="38">
        <f t="shared" si="9"/>
        <v>7.3839681140776851E-3</v>
      </c>
      <c r="F106" s="38">
        <f t="shared" si="8"/>
        <v>0.75316474763592389</v>
      </c>
      <c r="G106" s="26"/>
    </row>
    <row r="107" spans="2:7" x14ac:dyDescent="0.2">
      <c r="B107" s="27">
        <v>103</v>
      </c>
      <c r="C107" s="112">
        <f t="shared" si="6"/>
        <v>9826</v>
      </c>
      <c r="D107" s="34">
        <f t="shared" si="7"/>
        <v>7363.3132043016849</v>
      </c>
      <c r="E107" s="38">
        <f t="shared" si="9"/>
        <v>7.3633132043015746E-3</v>
      </c>
      <c r="F107" s="38">
        <f t="shared" si="8"/>
        <v>0.75842126004306221</v>
      </c>
      <c r="G107" s="26"/>
    </row>
    <row r="108" spans="2:7" x14ac:dyDescent="0.2">
      <c r="B108" s="27">
        <v>104</v>
      </c>
      <c r="C108" s="112">
        <f t="shared" si="6"/>
        <v>9826</v>
      </c>
      <c r="D108" s="34">
        <f t="shared" si="7"/>
        <v>7342.7160717655706</v>
      </c>
      <c r="E108" s="38">
        <f t="shared" si="9"/>
        <v>7.3427160717654608E-3</v>
      </c>
      <c r="F108" s="38">
        <f t="shared" si="8"/>
        <v>0.76364247146360786</v>
      </c>
      <c r="G108" s="26"/>
    </row>
    <row r="109" spans="2:7" x14ac:dyDescent="0.2">
      <c r="B109" s="27">
        <v>105</v>
      </c>
      <c r="C109" s="112">
        <f t="shared" si="6"/>
        <v>9826</v>
      </c>
      <c r="D109" s="34">
        <f t="shared" si="7"/>
        <v>7322.1765548512503</v>
      </c>
      <c r="E109" s="38">
        <f t="shared" si="9"/>
        <v>7.3221765548511404E-3</v>
      </c>
      <c r="F109" s="38">
        <f t="shared" si="8"/>
        <v>0.7688285382593697</v>
      </c>
      <c r="G109" s="26"/>
    </row>
    <row r="110" spans="2:7" x14ac:dyDescent="0.2">
      <c r="B110" s="27">
        <v>106</v>
      </c>
      <c r="C110" s="112">
        <f t="shared" si="6"/>
        <v>9826</v>
      </c>
      <c r="D110" s="34">
        <f t="shared" si="7"/>
        <v>7301.6944923926021</v>
      </c>
      <c r="E110" s="38">
        <f t="shared" si="9"/>
        <v>7.3016944923924923E-3</v>
      </c>
      <c r="F110" s="38">
        <f t="shared" si="8"/>
        <v>0.77397961619360423</v>
      </c>
      <c r="G110" s="26"/>
    </row>
    <row r="111" spans="2:7" x14ac:dyDescent="0.2">
      <c r="B111" s="27">
        <v>107</v>
      </c>
      <c r="C111" s="112">
        <f t="shared" si="6"/>
        <v>9826</v>
      </c>
      <c r="D111" s="34">
        <f t="shared" si="7"/>
        <v>7281.2697236743352</v>
      </c>
      <c r="E111" s="38">
        <f t="shared" si="9"/>
        <v>7.2812697236742255E-3</v>
      </c>
      <c r="F111" s="38">
        <f t="shared" si="8"/>
        <v>0.77909586043314216</v>
      </c>
      <c r="G111" s="26"/>
    </row>
    <row r="112" spans="2:7" x14ac:dyDescent="0.2">
      <c r="B112" s="27">
        <v>108</v>
      </c>
      <c r="C112" s="112">
        <f t="shared" si="6"/>
        <v>9826</v>
      </c>
      <c r="D112" s="34">
        <f t="shared" si="7"/>
        <v>7260.902088430722</v>
      </c>
      <c r="E112" s="38">
        <f t="shared" si="9"/>
        <v>7.2609020884306132E-3</v>
      </c>
      <c r="F112" s="38">
        <f t="shared" si="8"/>
        <v>0.78417742555050618</v>
      </c>
      <c r="G112" s="26"/>
    </row>
    <row r="113" spans="2:7" x14ac:dyDescent="0.2">
      <c r="B113" s="27">
        <v>109</v>
      </c>
      <c r="C113" s="112">
        <f t="shared" si="6"/>
        <v>9826</v>
      </c>
      <c r="D113" s="34">
        <f t="shared" si="7"/>
        <v>7240.591426844333</v>
      </c>
      <c r="E113" s="38">
        <f t="shared" si="9"/>
        <v>7.2405914268442242E-3</v>
      </c>
      <c r="F113" s="38">
        <f t="shared" si="8"/>
        <v>0.78922446552602044</v>
      </c>
      <c r="G113" s="26"/>
    </row>
    <row r="114" spans="2:7" x14ac:dyDescent="0.2">
      <c r="B114" s="27">
        <v>110</v>
      </c>
      <c r="C114" s="112">
        <f t="shared" si="6"/>
        <v>9826</v>
      </c>
      <c r="D114" s="34">
        <f t="shared" si="7"/>
        <v>7220.337579544801</v>
      </c>
      <c r="E114" s="38">
        <f t="shared" si="9"/>
        <v>7.2203375795446929E-3</v>
      </c>
      <c r="F114" s="38">
        <f t="shared" si="8"/>
        <v>0.79423713374991622</v>
      </c>
      <c r="G114" s="26"/>
    </row>
    <row r="115" spans="2:7" x14ac:dyDescent="0.2">
      <c r="B115" s="27">
        <v>111</v>
      </c>
      <c r="C115" s="112">
        <f t="shared" si="6"/>
        <v>9826</v>
      </c>
      <c r="D115" s="34">
        <f t="shared" si="7"/>
        <v>7200.1403876075519</v>
      </c>
      <c r="E115" s="38">
        <f t="shared" si="9"/>
        <v>7.2001403876074434E-3</v>
      </c>
      <c r="F115" s="38">
        <f t="shared" si="8"/>
        <v>0.79921558302442619</v>
      </c>
      <c r="G115" s="26"/>
    </row>
    <row r="116" spans="2:7" x14ac:dyDescent="0.2">
      <c r="B116" s="27">
        <v>112</v>
      </c>
      <c r="C116" s="112">
        <f t="shared" si="6"/>
        <v>9826</v>
      </c>
      <c r="D116" s="34">
        <f t="shared" si="7"/>
        <v>7179.9996925525675</v>
      </c>
      <c r="E116" s="38">
        <f t="shared" si="9"/>
        <v>7.1799996925524592E-3</v>
      </c>
      <c r="F116" s="38">
        <f t="shared" si="8"/>
        <v>0.80415996556587543</v>
      </c>
      <c r="G116" s="26"/>
    </row>
    <row r="117" spans="2:7" x14ac:dyDescent="0.2">
      <c r="B117" s="27">
        <v>113</v>
      </c>
      <c r="C117" s="112">
        <f t="shared" si="6"/>
        <v>9826</v>
      </c>
      <c r="D117" s="34">
        <f t="shared" si="7"/>
        <v>7159.9153363431433</v>
      </c>
      <c r="E117" s="38">
        <f t="shared" si="9"/>
        <v>7.1599153363430361E-3</v>
      </c>
      <c r="F117" s="38">
        <f t="shared" si="8"/>
        <v>0.80907043300676307</v>
      </c>
      <c r="G117" s="26"/>
    </row>
    <row r="118" spans="2:7" x14ac:dyDescent="0.2">
      <c r="B118" s="27">
        <v>114</v>
      </c>
      <c r="C118" s="112">
        <f t="shared" si="6"/>
        <v>9826</v>
      </c>
      <c r="D118" s="34">
        <f t="shared" si="7"/>
        <v>7139.8871613846386</v>
      </c>
      <c r="E118" s="38">
        <f t="shared" si="9"/>
        <v>7.1398871613845317E-3</v>
      </c>
      <c r="F118" s="38">
        <f t="shared" si="8"/>
        <v>0.81394713639783667</v>
      </c>
      <c r="G118" s="26"/>
    </row>
    <row r="119" spans="2:7" x14ac:dyDescent="0.2">
      <c r="B119" s="27">
        <v>115</v>
      </c>
      <c r="C119" s="112">
        <f t="shared" si="6"/>
        <v>9826</v>
      </c>
      <c r="D119" s="34">
        <f t="shared" si="7"/>
        <v>7119.9150105232566</v>
      </c>
      <c r="E119" s="38">
        <f t="shared" si="9"/>
        <v>7.1199150105231493E-3</v>
      </c>
      <c r="F119" s="38">
        <f t="shared" si="8"/>
        <v>0.81879022621016218</v>
      </c>
      <c r="G119" s="26"/>
    </row>
    <row r="120" spans="2:7" x14ac:dyDescent="0.2">
      <c r="B120" s="27">
        <v>116</v>
      </c>
      <c r="C120" s="112">
        <f t="shared" si="6"/>
        <v>9826</v>
      </c>
      <c r="D120" s="34">
        <f t="shared" si="7"/>
        <v>7099.99872704479</v>
      </c>
      <c r="E120" s="38">
        <f t="shared" si="9"/>
        <v>7.0999987270446837E-3</v>
      </c>
      <c r="F120" s="38">
        <f t="shared" si="8"/>
        <v>0.82359985233718336</v>
      </c>
      <c r="G120" s="26"/>
    </row>
    <row r="121" spans="2:7" x14ac:dyDescent="0.2">
      <c r="B121" s="27">
        <v>117</v>
      </c>
      <c r="C121" s="112">
        <f t="shared" si="6"/>
        <v>9826</v>
      </c>
      <c r="D121" s="34">
        <f t="shared" si="7"/>
        <v>7080.1381546734074</v>
      </c>
      <c r="E121" s="38">
        <f t="shared" si="9"/>
        <v>7.0801381546733008E-3</v>
      </c>
      <c r="F121" s="38">
        <f t="shared" si="8"/>
        <v>0.82837616409677617</v>
      </c>
      <c r="G121" s="26"/>
    </row>
    <row r="122" spans="2:7" x14ac:dyDescent="0.2">
      <c r="B122" s="27">
        <v>118</v>
      </c>
      <c r="C122" s="112">
        <f t="shared" si="6"/>
        <v>9826</v>
      </c>
      <c r="D122" s="34">
        <f t="shared" si="7"/>
        <v>7060.3331375704283</v>
      </c>
      <c r="E122" s="38">
        <f t="shared" si="9"/>
        <v>7.0603331375703226E-3</v>
      </c>
      <c r="F122" s="38">
        <f t="shared" si="8"/>
        <v>0.8331193102332981</v>
      </c>
      <c r="G122" s="26"/>
    </row>
    <row r="123" spans="2:7" x14ac:dyDescent="0.2">
      <c r="B123" s="27">
        <v>119</v>
      </c>
      <c r="C123" s="112">
        <f t="shared" si="6"/>
        <v>9826</v>
      </c>
      <c r="D123" s="34">
        <f t="shared" si="7"/>
        <v>7040.5835203330835</v>
      </c>
      <c r="E123" s="38">
        <f t="shared" si="9"/>
        <v>7.0405835203329777E-3</v>
      </c>
      <c r="F123" s="38">
        <f t="shared" si="8"/>
        <v>0.83782943891962436</v>
      </c>
      <c r="G123" s="26"/>
    </row>
    <row r="124" spans="2:7" x14ac:dyDescent="0.2">
      <c r="B124" s="27">
        <v>120</v>
      </c>
      <c r="C124" s="112">
        <f t="shared" si="6"/>
        <v>9826</v>
      </c>
      <c r="D124" s="34">
        <f t="shared" si="7"/>
        <v>7020.8891479933109</v>
      </c>
      <c r="E124" s="38">
        <f t="shared" si="9"/>
        <v>7.0208891479932051E-3</v>
      </c>
      <c r="F124" s="38">
        <f t="shared" si="8"/>
        <v>0.84250669775918463</v>
      </c>
      <c r="G124" s="26"/>
    </row>
    <row r="125" spans="2:7" ht="16" thickBot="1" x14ac:dyDescent="0.25">
      <c r="B125" s="28"/>
      <c r="C125" s="113"/>
      <c r="D125" s="35"/>
      <c r="E125" s="39"/>
      <c r="F125" s="39"/>
      <c r="G125" s="26"/>
    </row>
    <row r="126" spans="2:7" ht="16" thickTop="1" x14ac:dyDescent="0.2">
      <c r="B126" s="53"/>
      <c r="C126" s="114"/>
      <c r="D126" s="54"/>
      <c r="E126" s="55"/>
      <c r="F126" s="40"/>
      <c r="G126" s="31"/>
    </row>
    <row r="127" spans="2:7" x14ac:dyDescent="0.2">
      <c r="B127" s="53" t="s">
        <v>28</v>
      </c>
      <c r="C127" s="115">
        <f>SUM(C5:C125)</f>
        <v>1179120</v>
      </c>
      <c r="D127" s="63">
        <f>SUM(D5:D125)</f>
        <v>1000000.000000015</v>
      </c>
      <c r="E127" s="62">
        <f>SUM(E5:E125)</f>
        <v>1.0000000000000002</v>
      </c>
      <c r="F127" s="32">
        <f>SUM(F5:F124)</f>
        <v>57.145126003898085</v>
      </c>
      <c r="G127" s="31" t="s">
        <v>6</v>
      </c>
    </row>
    <row r="128" spans="2:7" ht="16" thickBot="1" x14ac:dyDescent="0.25">
      <c r="B128" s="29"/>
      <c r="C128" s="76"/>
      <c r="D128" s="30"/>
      <c r="E128" s="41"/>
      <c r="F128" s="57">
        <f>F127/12</f>
        <v>4.7620938336581737</v>
      </c>
      <c r="G128" s="58" t="s">
        <v>29</v>
      </c>
    </row>
  </sheetData>
  <phoneticPr fontId="16" type="noConversion"/>
  <pageMargins left="0.7" right="0.7" top="0.75" bottom="0.75" header="0.3" footer="0.3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HW 2 Ans</vt:lpstr>
      <vt:lpstr>Q# 2</vt:lpstr>
      <vt:lpstr>Q#4</vt:lpstr>
      <vt:lpstr>Q# 8</vt:lpstr>
    </vt:vector>
  </TitlesOfParts>
  <Company>FORDHAM LAW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jcolon</dc:creator>
  <cp:lastModifiedBy>J.M. Colon</cp:lastModifiedBy>
  <cp:lastPrinted>2014-10-02T16:06:56Z</cp:lastPrinted>
  <dcterms:created xsi:type="dcterms:W3CDTF">2011-02-16T22:04:21Z</dcterms:created>
  <dcterms:modified xsi:type="dcterms:W3CDTF">2022-09-17T19:59:27Z</dcterms:modified>
</cp:coreProperties>
</file>