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5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jmcolon1/Dropbox/Corp Finance/Corp Fin Web/Corporate-Finance/homeworks/"/>
    </mc:Choice>
  </mc:AlternateContent>
  <xr:revisionPtr revIDLastSave="0" documentId="8_{9FD2B4F6-561B-8844-BD20-A6CEFF1A6BE8}" xr6:coauthVersionLast="47" xr6:coauthVersionMax="47" xr10:uidLastSave="{00000000-0000-0000-0000-000000000000}"/>
  <bookViews>
    <workbookView xWindow="20580" yWindow="460" windowWidth="24060" windowHeight="25020" tabRatio="500" xr2:uid="{00000000-000D-0000-FFFF-FFFF00000000}"/>
  </bookViews>
  <sheets>
    <sheet name="Answers" sheetId="1" r:id="rId1"/>
    <sheet name="Details" sheetId="2" r:id="rId2"/>
  </sheets>
  <definedNames>
    <definedName name="_xlnm.Print_Area" localSheetId="0">Answers!$B$2:$F$142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0" i="1" l="1"/>
  <c r="C216" i="1"/>
  <c r="C211" i="1"/>
  <c r="C192" i="1"/>
  <c r="C194" i="1" s="1"/>
  <c r="C199" i="1"/>
  <c r="C200" i="1" s="1"/>
  <c r="C191" i="1"/>
  <c r="C175" i="1"/>
  <c r="C171" i="1"/>
  <c r="C174" i="1" s="1"/>
  <c r="C166" i="1"/>
  <c r="C159" i="1"/>
  <c r="C161" i="1" s="1"/>
  <c r="C144" i="1"/>
  <c r="C155" i="1"/>
  <c r="C151" i="1"/>
  <c r="C154" i="1" s="1"/>
  <c r="C121" i="1"/>
  <c r="C123" i="1" s="1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18" i="2"/>
  <c r="M12" i="2"/>
  <c r="M13" i="2"/>
  <c r="M14" i="2"/>
  <c r="M15" i="2"/>
  <c r="M16" i="2"/>
  <c r="M17" i="2"/>
  <c r="M18" i="2"/>
  <c r="M11" i="2"/>
  <c r="N11" i="2" s="1"/>
  <c r="K12" i="2" s="1"/>
  <c r="L12" i="2" s="1"/>
  <c r="D18" i="2"/>
  <c r="E18" i="2" s="1"/>
  <c r="C156" i="1" l="1"/>
  <c r="C176" i="1"/>
  <c r="N12" i="2"/>
  <c r="K13" i="2" s="1"/>
  <c r="L13" i="2" s="1"/>
  <c r="G18" i="2"/>
  <c r="D19" i="2" s="1"/>
  <c r="E19" i="2" s="1"/>
  <c r="G19" i="2" l="1"/>
  <c r="D20" i="2" s="1"/>
  <c r="E20" i="2" s="1"/>
  <c r="N13" i="2"/>
  <c r="K14" i="2" s="1"/>
  <c r="L14" i="2" s="1"/>
  <c r="C84" i="1"/>
  <c r="C32" i="1"/>
  <c r="C91" i="1" s="1"/>
  <c r="C60" i="1"/>
  <c r="C50" i="1"/>
  <c r="C49" i="1" s="1"/>
  <c r="C19" i="1"/>
  <c r="C24" i="1" s="1"/>
  <c r="C25" i="1" s="1"/>
  <c r="C12" i="1"/>
  <c r="C74" i="1"/>
  <c r="C72" i="1"/>
  <c r="C73" i="1" l="1"/>
  <c r="C76" i="1" s="1"/>
  <c r="C43" i="1"/>
  <c r="C55" i="1"/>
  <c r="C56" i="1" s="1"/>
  <c r="C61" i="1"/>
  <c r="C35" i="1"/>
  <c r="C83" i="1"/>
  <c r="N14" i="2"/>
  <c r="K15" i="2" s="1"/>
  <c r="L15" i="2" s="1"/>
  <c r="G20" i="2"/>
  <c r="D21" i="2" s="1"/>
  <c r="E21" i="2" s="1"/>
  <c r="C41" i="1" l="1"/>
  <c r="C42" i="1" s="1"/>
  <c r="C86" i="1"/>
  <c r="C96" i="1" s="1"/>
  <c r="C64" i="1"/>
  <c r="C65" i="1" s="1"/>
  <c r="C66" i="1" s="1"/>
  <c r="N15" i="2"/>
  <c r="K16" i="2" s="1"/>
  <c r="L16" i="2" s="1"/>
  <c r="G21" i="2"/>
  <c r="D22" i="2" s="1"/>
  <c r="E22" i="2" s="1"/>
  <c r="C82" i="1" l="1"/>
  <c r="C90" i="1" s="1"/>
  <c r="C92" i="1" s="1"/>
  <c r="C93" i="1" s="1"/>
  <c r="C94" i="1" s="1"/>
  <c r="G22" i="2"/>
  <c r="D23" i="2" s="1"/>
  <c r="E23" i="2" s="1"/>
  <c r="N16" i="2"/>
  <c r="K17" i="2" s="1"/>
  <c r="L17" i="2" s="1"/>
  <c r="N17" i="2" l="1"/>
  <c r="K18" i="2" s="1"/>
  <c r="L18" i="2" s="1"/>
  <c r="G23" i="2"/>
  <c r="D24" i="2" s="1"/>
  <c r="E24" i="2" s="1"/>
  <c r="G24" i="2" l="1"/>
  <c r="D25" i="2" s="1"/>
  <c r="E25" i="2" s="1"/>
  <c r="N18" i="2"/>
  <c r="K19" i="2" s="1"/>
  <c r="L19" i="2" s="1"/>
  <c r="N19" i="2" l="1"/>
  <c r="K20" i="2" s="1"/>
  <c r="L20" i="2" s="1"/>
  <c r="G25" i="2"/>
  <c r="D26" i="2" s="1"/>
  <c r="E26" i="2" s="1"/>
  <c r="N20" i="2" l="1"/>
  <c r="K21" i="2" s="1"/>
  <c r="L21" i="2" s="1"/>
  <c r="G26" i="2"/>
  <c r="D27" i="2" s="1"/>
  <c r="E27" i="2" s="1"/>
  <c r="G27" i="2" l="1"/>
  <c r="D28" i="2" s="1"/>
  <c r="E28" i="2" s="1"/>
  <c r="N21" i="2"/>
  <c r="K22" i="2" s="1"/>
  <c r="L22" i="2" s="1"/>
  <c r="N22" i="2" l="1"/>
  <c r="K23" i="2" s="1"/>
  <c r="L23" i="2" s="1"/>
  <c r="G28" i="2"/>
  <c r="D29" i="2" s="1"/>
  <c r="E29" i="2" s="1"/>
  <c r="G29" i="2" l="1"/>
  <c r="D30" i="2" s="1"/>
  <c r="E30" i="2" s="1"/>
  <c r="N23" i="2"/>
  <c r="K24" i="2" s="1"/>
  <c r="L24" i="2" s="1"/>
  <c r="N24" i="2" l="1"/>
  <c r="K25" i="2" s="1"/>
  <c r="L25" i="2" s="1"/>
  <c r="G30" i="2"/>
  <c r="D31" i="2" s="1"/>
  <c r="E31" i="2" s="1"/>
  <c r="G31" i="2" l="1"/>
  <c r="D32" i="2" s="1"/>
  <c r="E32" i="2" s="1"/>
  <c r="N25" i="2"/>
  <c r="K26" i="2" s="1"/>
  <c r="L26" i="2" s="1"/>
  <c r="N26" i="2" l="1"/>
  <c r="K27" i="2" s="1"/>
  <c r="L27" i="2" s="1"/>
  <c r="G32" i="2"/>
  <c r="D33" i="2" s="1"/>
  <c r="E33" i="2" s="1"/>
  <c r="N27" i="2" l="1"/>
  <c r="K28" i="2" s="1"/>
  <c r="L28" i="2" s="1"/>
  <c r="G33" i="2"/>
  <c r="D34" i="2" s="1"/>
  <c r="E34" i="2" s="1"/>
  <c r="G34" i="2" l="1"/>
  <c r="D35" i="2" s="1"/>
  <c r="E35" i="2" s="1"/>
  <c r="N28" i="2"/>
  <c r="K29" i="2" s="1"/>
  <c r="L29" i="2" s="1"/>
  <c r="G35" i="2" l="1"/>
  <c r="D36" i="2" s="1"/>
  <c r="E36" i="2" s="1"/>
  <c r="N29" i="2"/>
  <c r="K30" i="2" s="1"/>
  <c r="L30" i="2" s="1"/>
  <c r="N30" i="2" l="1"/>
  <c r="K31" i="2" s="1"/>
  <c r="L31" i="2" s="1"/>
  <c r="G36" i="2"/>
  <c r="D37" i="2" s="1"/>
  <c r="E37" i="2" s="1"/>
  <c r="N31" i="2" l="1"/>
  <c r="K32" i="2" s="1"/>
  <c r="L32" i="2" s="1"/>
  <c r="G37" i="2"/>
  <c r="D38" i="2" s="1"/>
  <c r="E38" i="2" s="1"/>
  <c r="N32" i="2" l="1"/>
  <c r="K33" i="2" s="1"/>
  <c r="L33" i="2" s="1"/>
  <c r="G38" i="2"/>
  <c r="D39" i="2" s="1"/>
  <c r="E39" i="2" s="1"/>
  <c r="G39" i="2" l="1"/>
  <c r="D40" i="2" s="1"/>
  <c r="E40" i="2" s="1"/>
  <c r="N33" i="2"/>
  <c r="K34" i="2" s="1"/>
  <c r="L34" i="2" s="1"/>
  <c r="N34" i="2" l="1"/>
  <c r="K35" i="2" s="1"/>
  <c r="L35" i="2" s="1"/>
  <c r="G40" i="2"/>
  <c r="D41" i="2" s="1"/>
  <c r="E41" i="2" s="1"/>
  <c r="G41" i="2" l="1"/>
  <c r="D42" i="2" s="1"/>
  <c r="E42" i="2" s="1"/>
  <c r="N35" i="2"/>
  <c r="K36" i="2" s="1"/>
  <c r="L36" i="2" s="1"/>
  <c r="N36" i="2" l="1"/>
  <c r="K37" i="2" s="1"/>
  <c r="L37" i="2" s="1"/>
  <c r="G42" i="2"/>
  <c r="D43" i="2" s="1"/>
  <c r="E43" i="2" s="1"/>
  <c r="G43" i="2" l="1"/>
  <c r="D44" i="2" s="1"/>
  <c r="E44" i="2" s="1"/>
  <c r="N37" i="2"/>
  <c r="K38" i="2" s="1"/>
  <c r="L38" i="2" s="1"/>
  <c r="N38" i="2" l="1"/>
  <c r="K39" i="2" s="1"/>
  <c r="L39" i="2" s="1"/>
  <c r="G44" i="2"/>
  <c r="D45" i="2" s="1"/>
  <c r="E45" i="2" s="1"/>
  <c r="N39" i="2" l="1"/>
  <c r="K40" i="2" s="1"/>
  <c r="L40" i="2" s="1"/>
  <c r="G45" i="2"/>
  <c r="D46" i="2" s="1"/>
  <c r="E46" i="2" s="1"/>
  <c r="N40" i="2" l="1"/>
  <c r="K41" i="2" s="1"/>
  <c r="L41" i="2" s="1"/>
  <c r="G46" i="2"/>
  <c r="D47" i="2" s="1"/>
  <c r="E47" i="2" s="1"/>
  <c r="G47" i="2" l="1"/>
  <c r="D48" i="2" s="1"/>
  <c r="E48" i="2" s="1"/>
  <c r="N41" i="2"/>
  <c r="K42" i="2" s="1"/>
  <c r="L42" i="2" s="1"/>
  <c r="N42" i="2" l="1"/>
  <c r="K43" i="2" s="1"/>
  <c r="L43" i="2" s="1"/>
  <c r="G48" i="2"/>
  <c r="D49" i="2" s="1"/>
  <c r="E49" i="2" s="1"/>
  <c r="N43" i="2" l="1"/>
  <c r="K44" i="2" s="1"/>
  <c r="L44" i="2" s="1"/>
  <c r="G49" i="2"/>
  <c r="D50" i="2" s="1"/>
  <c r="E50" i="2" s="1"/>
  <c r="N44" i="2" l="1"/>
  <c r="K45" i="2" s="1"/>
  <c r="L45" i="2" s="1"/>
  <c r="G50" i="2"/>
  <c r="D51" i="2" s="1"/>
  <c r="E51" i="2" s="1"/>
  <c r="G51" i="2" l="1"/>
  <c r="D52" i="2" s="1"/>
  <c r="E52" i="2" s="1"/>
  <c r="N45" i="2"/>
  <c r="K46" i="2" s="1"/>
  <c r="L46" i="2" s="1"/>
  <c r="N46" i="2" l="1"/>
  <c r="K47" i="2" s="1"/>
  <c r="L47" i="2" s="1"/>
  <c r="G52" i="2"/>
  <c r="D53" i="2" s="1"/>
  <c r="E53" i="2" s="1"/>
  <c r="N47" i="2" l="1"/>
  <c r="K48" i="2" s="1"/>
  <c r="L48" i="2" s="1"/>
  <c r="G53" i="2"/>
  <c r="D54" i="2" s="1"/>
  <c r="E54" i="2" s="1"/>
  <c r="N48" i="2" l="1"/>
  <c r="K49" i="2" s="1"/>
  <c r="L49" i="2" s="1"/>
  <c r="G54" i="2"/>
  <c r="D55" i="2" s="1"/>
  <c r="E55" i="2" s="1"/>
  <c r="G55" i="2" l="1"/>
  <c r="D56" i="2" s="1"/>
  <c r="E56" i="2" s="1"/>
  <c r="N49" i="2"/>
  <c r="K50" i="2" s="1"/>
  <c r="L50" i="2" s="1"/>
  <c r="N50" i="2" l="1"/>
  <c r="K51" i="2" s="1"/>
  <c r="L51" i="2" s="1"/>
  <c r="G56" i="2"/>
  <c r="D57" i="2" s="1"/>
  <c r="E57" i="2" s="1"/>
  <c r="N51" i="2" l="1"/>
  <c r="K52" i="2" s="1"/>
  <c r="L52" i="2" s="1"/>
  <c r="G57" i="2"/>
  <c r="N52" i="2" l="1"/>
  <c r="K53" i="2" s="1"/>
  <c r="L53" i="2" s="1"/>
  <c r="N53" i="2" l="1"/>
  <c r="K54" i="2" s="1"/>
  <c r="L54" i="2" s="1"/>
  <c r="N54" i="2" l="1"/>
  <c r="K55" i="2" s="1"/>
  <c r="L55" i="2" s="1"/>
  <c r="N55" i="2" l="1"/>
  <c r="K56" i="2" s="1"/>
  <c r="L56" i="2" s="1"/>
  <c r="N56" i="2" l="1"/>
  <c r="K57" i="2" s="1"/>
  <c r="L57" i="2" s="1"/>
  <c r="N57" i="2" l="1"/>
</calcChain>
</file>

<file path=xl/sharedStrings.xml><?xml version="1.0" encoding="utf-8"?>
<sst xmlns="http://schemas.openxmlformats.org/spreadsheetml/2006/main" count="265" uniqueCount="192">
  <si>
    <t>Rate</t>
  </si>
  <si>
    <t>(c)</t>
    <phoneticPr fontId="3" type="noConversion"/>
  </si>
  <si>
    <t xml:space="preserve"> From above</t>
    <phoneticPr fontId="3" type="noConversion"/>
  </si>
  <si>
    <t>12  * 30 years</t>
  </si>
  <si>
    <t>Corporate Finance</t>
  </si>
  <si>
    <t>PV</t>
  </si>
  <si>
    <t>PMT</t>
  </si>
  <si>
    <t>(b)</t>
  </si>
  <si>
    <t>I</t>
  </si>
  <si>
    <t>FV</t>
  </si>
  <si>
    <t>=PMT(rate,nper,pv,fv,type)</t>
  </si>
  <si>
    <t>=PV(rate,nper,pmt,fv,type)</t>
  </si>
  <si>
    <t>Principal Paid</t>
  </si>
  <si>
    <t>(a)</t>
  </si>
  <si>
    <t>NPER</t>
  </si>
  <si>
    <r>
      <t>&lt;--</t>
    </r>
    <r>
      <rPr>
        <sz val="10"/>
        <rFont val="Verdana"/>
        <family val="2"/>
      </rPr>
      <t>250</t>
    </r>
    <r>
      <rPr>
        <sz val="10"/>
        <rFont val="Verdana"/>
        <family val="2"/>
      </rPr>
      <t xml:space="preserve"> + PMT from above</t>
    </r>
  </si>
  <si>
    <t>N (Years)</t>
  </si>
  <si>
    <t>You hope</t>
  </si>
  <si>
    <t>Extra $/month</t>
  </si>
  <si>
    <t>Bonus</t>
  </si>
  <si>
    <t>New PMT</t>
  </si>
  <si>
    <t>=NPER(rate,pmt,pv,fv,type)</t>
  </si>
  <si>
    <t>NPER Change</t>
  </si>
  <si>
    <t>Change to 180 (15*12)</t>
  </si>
  <si>
    <t xml:space="preserve">Payments </t>
  </si>
  <si>
    <t>Total Int</t>
  </si>
  <si>
    <t>(use negative sign to convert to positive)</t>
  </si>
  <si>
    <t>(2) Use COMPRINC function</t>
  </si>
  <si>
    <t>&lt;----Change to 180</t>
  </si>
  <si>
    <t>&lt;---Calculate PV using PV formula and changed inputs</t>
  </si>
  <si>
    <t>d</t>
  </si>
  <si>
    <t>=CUMIPMT(rate,nper,pv,start_period,end_period,type)</t>
  </si>
  <si>
    <t>=CUMPRINC(rate,nper,pv,start_period,end_period,type) (total principal paid)</t>
  </si>
  <si>
    <t>Balance = Beginning Balance (500k) - Principal paid</t>
  </si>
  <si>
    <t>Remaining Principal</t>
  </si>
  <si>
    <t>(e)</t>
  </si>
  <si>
    <t>(f)</t>
  </si>
  <si>
    <t>PV after 72 months minus bonus</t>
  </si>
  <si>
    <t>Question 4</t>
  </si>
  <si>
    <t>Age</t>
  </si>
  <si>
    <t xml:space="preserve">Investment </t>
  </si>
  <si>
    <t>BB</t>
  </si>
  <si>
    <t xml:space="preserve">Earnings </t>
  </si>
  <si>
    <t>EB</t>
  </si>
  <si>
    <t>=(# Payments * PMT) - Principal</t>
  </si>
  <si>
    <t>Able</t>
  </si>
  <si>
    <t>Baker</t>
  </si>
  <si>
    <t>RATE</t>
  </si>
  <si>
    <t>FV end of 26</t>
  </si>
  <si>
    <t>NPER (19-26)</t>
  </si>
  <si>
    <t>Question 1</t>
  </si>
  <si>
    <r>
      <t xml:space="preserve">See </t>
    </r>
    <r>
      <rPr>
        <b/>
        <i/>
        <sz val="10"/>
        <rFont val="Verdana"/>
        <family val="2"/>
      </rPr>
      <t>Details</t>
    </r>
    <r>
      <rPr>
        <b/>
        <sz val="10"/>
        <rFont val="Verdana"/>
        <family val="2"/>
      </rPr>
      <t xml:space="preserve"> tab</t>
    </r>
  </si>
  <si>
    <t xml:space="preserve">The reason Baker ends up with a greater final balance is that Baker's annual earnings are </t>
  </si>
  <si>
    <t>=FV(rate,nper,pmt,pv,type)</t>
  </si>
  <si>
    <t>Mortgage Rate</t>
  </si>
  <si>
    <t>There are two ways to determine this:</t>
  </si>
  <si>
    <t>(1)  Multiple total payments by 360 and subtract the principal, or (2) Use CUMIPMT function.</t>
  </si>
  <si>
    <t xml:space="preserve"> (1) Use inputs from (a) but store PMT as 2,108 value, change NPER to 180 and recompute PV</t>
  </si>
  <si>
    <t>In practice, the 15 year interest rate would be less than the 30 year rate.</t>
  </si>
  <si>
    <t>By increasing the payment by 64%, you knock about 50% off the term.</t>
  </si>
  <si>
    <t>&lt;---Change to 288 (360-72 months)</t>
  </si>
  <si>
    <t>&lt;---=NPER(rate,pmt,pv,fv,type)</t>
  </si>
  <si>
    <t>Difference btwn 288 and 242</t>
  </si>
  <si>
    <t>Mortgage Rate/12</t>
  </si>
  <si>
    <t>After finding the new principal (PV), subtract the bonus and then redetermine NPER</t>
  </si>
  <si>
    <t>=INT rounds down number to nearest Integer and ROUND just rounds the MOD result to 2 decimal places.</t>
  </si>
  <si>
    <t xml:space="preserve">Convert Months to Years: INT(NPER/12)&amp;" years and" "&amp;ROUND(MOD(NPER,12),2)&amp; " months" </t>
  </si>
  <si>
    <t xml:space="preserve">The loan is now repaid in roughly 25  years.  </t>
  </si>
  <si>
    <t>By increasing the payments by 11.8%, you knock about 16.66% off the term</t>
  </si>
  <si>
    <t>Year</t>
  </si>
  <si>
    <t>Q #1</t>
  </si>
  <si>
    <t>&lt;---This is just the FV at the end of 26 from above</t>
  </si>
  <si>
    <t>To determine the principal after the 72nd payment, (1) change NPER to 288 and (2) then recompute PV.</t>
  </si>
  <si>
    <t>See above on how to convert Months (NPER Change) to Years and Months.  Trick from the internet.</t>
  </si>
  <si>
    <t>HW 5 Answers</t>
  </si>
  <si>
    <t>Fall 2021</t>
  </si>
  <si>
    <t>FV end of 40 years</t>
  </si>
  <si>
    <t>NPER (27-65)</t>
  </si>
  <si>
    <t>NPER (26-65)</t>
  </si>
  <si>
    <t xml:space="preserve">Note: I assume that each earns 10%/yr.  That's clearly unrealistic as the </t>
  </si>
  <si>
    <t xml:space="preserve">average annual RoR going forward will be less, and the sequence of returns </t>
  </si>
  <si>
    <t>issue could very easily change these results!</t>
  </si>
  <si>
    <t>Question 2(a)</t>
  </si>
  <si>
    <r>
      <t xml:space="preserve">always greater than Able's annual earnings plus investment.  See </t>
    </r>
    <r>
      <rPr>
        <b/>
        <i/>
        <sz val="10"/>
        <rFont val="Verdana"/>
        <family val="2"/>
      </rPr>
      <t>Details tab.</t>
    </r>
  </si>
  <si>
    <t>&lt;-----Copy from (a) and "Paste Special" as "Value" to make sure that you get the complete number.</t>
  </si>
  <si>
    <t>(3) You could also create an amortization table.  Omitted.</t>
  </si>
  <si>
    <t>Again, two quick ways and one long to determine this.</t>
  </si>
  <si>
    <t>Remember, you lose the interest/returns on the payment you make.</t>
  </si>
  <si>
    <t>Item</t>
  </si>
  <si>
    <t>Increase/Decrease</t>
  </si>
  <si>
    <t>Operating/Investing/Financing</t>
  </si>
  <si>
    <t>Buy warehouse/land</t>
  </si>
  <si>
    <t>Investing</t>
  </si>
  <si>
    <t>Decrease (cash out)</t>
  </si>
  <si>
    <t>Payment of an account receivable</t>
  </si>
  <si>
    <t>Increase (cash in)</t>
  </si>
  <si>
    <t>Operating</t>
  </si>
  <si>
    <t>Issuing more shares of stock</t>
  </si>
  <si>
    <t>Financing</t>
  </si>
  <si>
    <t>Operatilng</t>
  </si>
  <si>
    <t>(c)</t>
  </si>
  <si>
    <t>(d)</t>
  </si>
  <si>
    <t>(g)</t>
  </si>
  <si>
    <t>(h)</t>
  </si>
  <si>
    <t>(i)</t>
  </si>
  <si>
    <t>(j)</t>
  </si>
  <si>
    <t>(k)</t>
  </si>
  <si>
    <t>Question 3</t>
  </si>
  <si>
    <t>Pay dividends</t>
  </si>
  <si>
    <t>Increase AR</t>
  </si>
  <si>
    <t>Increase (dep decrease NI but didn't use cash)</t>
  </si>
  <si>
    <t>Decrease: sale increased  NI but no cash received</t>
  </si>
  <si>
    <t>Borrowing</t>
  </si>
  <si>
    <t>Share buyback</t>
  </si>
  <si>
    <t>Warehouse depreciation expense</t>
  </si>
  <si>
    <t>Increase in law firm payable</t>
  </si>
  <si>
    <t>Increase (payable lowers NI but no $ out)</t>
  </si>
  <si>
    <t>Payment of AP</t>
  </si>
  <si>
    <t>Annual RoR</t>
  </si>
  <si>
    <t>Current Ratio</t>
  </si>
  <si>
    <r>
      <rPr>
        <b/>
        <sz val="10"/>
        <rFont val="Verdana"/>
        <family val="2"/>
      </rPr>
      <t>Current Ratio</t>
    </r>
    <r>
      <rPr>
        <sz val="10"/>
        <rFont val="Verdana"/>
        <family val="2"/>
      </rPr>
      <t xml:space="preserve"> = Current Assets/Current Liabilities</t>
    </r>
  </si>
  <si>
    <t>Current Assets</t>
  </si>
  <si>
    <t>Current Liabilities</t>
  </si>
  <si>
    <r>
      <rPr>
        <b/>
        <sz val="10"/>
        <rFont val="Verdana"/>
        <family val="2"/>
      </rPr>
      <t>Book Value:</t>
    </r>
    <r>
      <rPr>
        <sz val="10"/>
        <rFont val="Verdana"/>
        <family val="2"/>
      </rPr>
      <t xml:space="preserve">  Total Equity/Total Shares outstanding</t>
    </r>
  </si>
  <si>
    <t>Dividends paid</t>
  </si>
  <si>
    <t>Amazon didn't pay any dividends or buy back any stock.  If it had, you would find this information on the CF statement (financing section).</t>
  </si>
  <si>
    <r>
      <rPr>
        <b/>
        <sz val="10"/>
        <rFont val="Verdana"/>
        <family val="2"/>
      </rPr>
      <t>GPM:</t>
    </r>
    <r>
      <rPr>
        <sz val="10"/>
        <rFont val="Verdana"/>
        <family val="2"/>
      </rPr>
      <t xml:space="preserve"> (Net Sales-COGS) / Net Sales</t>
    </r>
  </si>
  <si>
    <t>Depreciation &amp; Amort  (from CF statement)</t>
  </si>
  <si>
    <t>EBITDA</t>
  </si>
  <si>
    <t xml:space="preserve">Sales rev (from Inc. statement) </t>
  </si>
  <si>
    <t>Selling &amp; Marketing Expenses</t>
  </si>
  <si>
    <t>S &amp; M Exp / Revenue</t>
  </si>
  <si>
    <t>Cash Flow from Operations</t>
  </si>
  <si>
    <t>Free Cash Flow</t>
  </si>
  <si>
    <t>(l)</t>
  </si>
  <si>
    <t>Thank goodness, it seems that AMZN will be able to cover its current liabilities.</t>
  </si>
  <si>
    <t>Market value as of 17 Nov 21</t>
  </si>
  <si>
    <t>GPM</t>
  </si>
  <si>
    <t>Net Sales (Inc. statement)</t>
  </si>
  <si>
    <t>COGS (Inc. statement)</t>
  </si>
  <si>
    <r>
      <rPr>
        <b/>
        <sz val="10"/>
        <rFont val="Verdana"/>
        <family val="2"/>
      </rPr>
      <t>EBITDA</t>
    </r>
    <r>
      <rPr>
        <sz val="10"/>
        <rFont val="Verdana"/>
        <family val="2"/>
      </rPr>
      <t>: Earnings before Int, Taxes, Dep, and Amort</t>
    </r>
  </si>
  <si>
    <t>Earnings (net income) before Int, Taxes (Inc. statement)</t>
  </si>
  <si>
    <t>EBITDA Margin</t>
  </si>
  <si>
    <r>
      <rPr>
        <b/>
        <sz val="10"/>
        <rFont val="Verdana"/>
        <family val="2"/>
      </rPr>
      <t>EBITDA Margin</t>
    </r>
    <r>
      <rPr>
        <sz val="10"/>
        <rFont val="Verdana"/>
        <family val="2"/>
      </rPr>
      <t>: EBITDA / Sales rev</t>
    </r>
  </si>
  <si>
    <t>Operating Income (Inc. statement)</t>
  </si>
  <si>
    <t>Sales Revenue (Inc. statement)</t>
  </si>
  <si>
    <t>OPM</t>
  </si>
  <si>
    <r>
      <rPr>
        <b/>
        <sz val="10"/>
        <rFont val="Verdana"/>
        <family val="2"/>
      </rPr>
      <t>Net Profit Margin:</t>
    </r>
    <r>
      <rPr>
        <sz val="10"/>
        <rFont val="Verdana"/>
        <family val="2"/>
      </rPr>
      <t xml:space="preserve"> Net Income/Revenue</t>
    </r>
  </si>
  <si>
    <t>Net Income (Inc. statement)</t>
  </si>
  <si>
    <t>Sale Revenue (Inc. statement)</t>
  </si>
  <si>
    <t>Net Profit Margin</t>
  </si>
  <si>
    <t>CFO (from CF statement; operating activities)</t>
  </si>
  <si>
    <t>All numbers in millions, except share prices</t>
  </si>
  <si>
    <r>
      <rPr>
        <b/>
        <sz val="10"/>
        <rFont val="Verdana"/>
        <family val="2"/>
      </rPr>
      <t>Operating Profit Margin</t>
    </r>
    <r>
      <rPr>
        <sz val="10"/>
        <rFont val="Verdana"/>
        <family val="2"/>
      </rPr>
      <t>: Oper Inc / Sales Rev</t>
    </r>
  </si>
  <si>
    <t>S&amp;M Expenses</t>
  </si>
  <si>
    <t>Note, the definition of many of these financial ratios and formulas are not set in stone.  Companies and analyts will often make certain adjustments.</t>
  </si>
  <si>
    <t>S&amp;M Expenses (operating exps minus COS)</t>
  </si>
  <si>
    <t>Revenue</t>
  </si>
  <si>
    <t>S&amp;M Expenses / Rev</t>
  </si>
  <si>
    <t>The difference btwn book and market value can partially attributed to fact that GAAP doesn't permit companies to show on the BS self-created intangibles, e.g., goodwill, customers relations, etc.</t>
  </si>
  <si>
    <r>
      <t xml:space="preserve">Proxy advisors, such as ISS, have begun to focus on this.  </t>
    </r>
    <r>
      <rPr>
        <i/>
        <sz val="10"/>
        <rFont val="Verdana"/>
        <family val="2"/>
      </rPr>
      <t>See https://clsbluesky.law.columbia.edu/2021/11/18/iss-discusses-intangible-assets-and-company-valuation/</t>
    </r>
  </si>
  <si>
    <t>The one we saw in class (s32 in Acc'ting) is: EBIT+Dep-CAPEX-Taxes+/Changes in WC</t>
  </si>
  <si>
    <t>FCF</t>
  </si>
  <si>
    <t>CAPEX from CFS (Investing) (Query: should we included marketables securities? Probably not)</t>
  </si>
  <si>
    <t>CAPEX (CF Investing) (Generally only net purchases of PPE)</t>
  </si>
  <si>
    <t>EBIT (IS, Operating Inc)</t>
  </si>
  <si>
    <t>Note since taxes were subtacted to arrive at Net Income, which is the beginning # in Operating Activities in the CF statement</t>
  </si>
  <si>
    <t>This has been used by the Del. Ch. Ct. in doing appraisals, but requires some future estimates.</t>
  </si>
  <si>
    <t>Other common definitions of FCF are OCF - CAPEX (from p. 30 of AMZN annual report).</t>
  </si>
  <si>
    <t>The other definition of FCF used by AMZN take into account repayments of financial (capital) leases</t>
  </si>
  <si>
    <t xml:space="preserve">and financing obligations.  See pp. 30-31.  </t>
  </si>
  <si>
    <t>Another issue is how to treat stock based comp (SBC), which is an add back to operating CFs.</t>
  </si>
  <si>
    <t>Dep (CF Operating); Note: I don't add back SBC here, but some do.</t>
  </si>
  <si>
    <t xml:space="preserve">There are various definition of FCF.   See, e.g., page 30 of AMZN annual report. </t>
  </si>
  <si>
    <t>Some measure FCF to equity holders (FCFE), while others focus on FCF to the firm (FCFF)</t>
  </si>
  <si>
    <t>Taxes: Unlevered NI * ETR   This is a bit tricky: should we use the statutory rates (21% + state?) or ETR from the IncS?  Here I use ETR.</t>
  </si>
  <si>
    <t>I just used the net changes in assets in liabilities from the CFS</t>
  </si>
  <si>
    <r>
      <rPr>
        <b/>
        <sz val="10"/>
        <rFont val="Verdana"/>
        <family val="2"/>
      </rPr>
      <t>DRO</t>
    </r>
    <r>
      <rPr>
        <sz val="10"/>
        <rFont val="Verdana"/>
        <family val="2"/>
      </rPr>
      <t xml:space="preserve">: (365*Rec)/Net Sales </t>
    </r>
  </si>
  <si>
    <t>DRO</t>
  </si>
  <si>
    <t>Acc Rec (BS)</t>
  </si>
  <si>
    <t>Sales (IS)</t>
  </si>
  <si>
    <t>Yes, 2020 was a leap year, but 365 is fine.</t>
  </si>
  <si>
    <t>DPO: (365*AP)/Sales</t>
  </si>
  <si>
    <t>AP (BS)</t>
  </si>
  <si>
    <t>AMZN gets cash from customers in 23 days but only pays its suppliers in 69 days.  A great business!</t>
  </si>
  <si>
    <t xml:space="preserve">Note: It is not uncommon to use the average shares outstanding, especially if there has been a significant change during the year. </t>
  </si>
  <si>
    <t>Total Shares Outstanding</t>
  </si>
  <si>
    <t>Total Equity (from BS)</t>
  </si>
  <si>
    <t>Book Value</t>
  </si>
  <si>
    <t>OCF (Note, this adds back SBC)</t>
  </si>
  <si>
    <t>FCF   This is generally the definition of FCFF</t>
  </si>
  <si>
    <t>this approach implicitly uses the effective tax rate (accounting tax rate).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</si>
</sst>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%"/>
    <numFmt numFmtId="166" formatCode="&quot;$&quot;#,##0"/>
    <numFmt numFmtId="167" formatCode="0.00000"/>
    <numFmt numFmtId="168" formatCode="#,##0.0000_);[Red]\(#,##0.0000\)"/>
    <numFmt numFmtId="169" formatCode="0.0000"/>
    <numFmt numFmtId="170" formatCode="_(* #,##0.0_);_(* \(#,##0.0\);_(* &quot;-&quot;??_);_(@_)"/>
  </numFmts>
  <fonts count="13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0"/>
      <color theme="4" tint="0.59999389629810485"/>
      <name val="Verdana"/>
      <family val="2"/>
    </font>
    <font>
      <sz val="10"/>
      <color theme="4" tint="0.59999389629810485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i/>
      <sz val="10"/>
      <name val="Verdana"/>
      <family val="2"/>
    </font>
    <font>
      <i/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1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3" applyFont="1" applyBorder="1" applyAlignment="1">
      <alignment horizontal="center"/>
    </xf>
    <xf numFmtId="10" fontId="0" fillId="0" borderId="0" xfId="3" applyNumberFormat="1" applyFont="1" applyBorder="1" applyAlignment="1">
      <alignment horizontal="center"/>
    </xf>
    <xf numFmtId="0" fontId="0" fillId="0" borderId="0" xfId="0" quotePrefix="1" applyBorder="1"/>
    <xf numFmtId="0" fontId="1" fillId="0" borderId="3" xfId="0" applyFont="1" applyBorder="1" applyAlignment="1">
      <alignment horizontal="center"/>
    </xf>
    <xf numFmtId="0" fontId="0" fillId="0" borderId="6" xfId="0" quotePrefix="1" applyBorder="1"/>
    <xf numFmtId="9" fontId="0" fillId="0" borderId="0" xfId="0" applyNumberFormat="1" applyBorder="1" applyAlignment="1">
      <alignment horizontal="center"/>
    </xf>
    <xf numFmtId="164" fontId="0" fillId="0" borderId="0" xfId="1" applyNumberFormat="1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quotePrefix="1" applyFill="1" applyBorder="1"/>
    <xf numFmtId="164" fontId="0" fillId="0" borderId="0" xfId="0" applyNumberFormat="1" applyBorder="1"/>
    <xf numFmtId="0" fontId="1" fillId="0" borderId="3" xfId="0" applyFont="1" applyBorder="1"/>
    <xf numFmtId="0" fontId="1" fillId="0" borderId="0" xfId="0" applyFont="1" applyBorder="1"/>
    <xf numFmtId="6" fontId="1" fillId="0" borderId="0" xfId="0" applyNumberFormat="1" applyFont="1" applyBorder="1"/>
    <xf numFmtId="0" fontId="0" fillId="0" borderId="0" xfId="0" applyFill="1" applyBorder="1"/>
    <xf numFmtId="0" fontId="2" fillId="0" borderId="3" xfId="0" applyFont="1" applyBorder="1" applyAlignment="1">
      <alignment horizontal="center"/>
    </xf>
    <xf numFmtId="10" fontId="1" fillId="0" borderId="0" xfId="0" applyNumberFormat="1" applyFont="1" applyBorder="1"/>
    <xf numFmtId="0" fontId="4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quotePrefix="1" applyFont="1" applyBorder="1"/>
    <xf numFmtId="6" fontId="1" fillId="0" borderId="6" xfId="0" applyNumberFormat="1" applyFont="1" applyBorder="1"/>
    <xf numFmtId="0" fontId="1" fillId="0" borderId="0" xfId="0" applyFo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0" xfId="0" applyFont="1" applyBorder="1"/>
    <xf numFmtId="0" fontId="0" fillId="0" borderId="0" xfId="0" applyAlignment="1">
      <alignment horizontal="left"/>
    </xf>
    <xf numFmtId="0" fontId="0" fillId="0" borderId="3" xfId="0" applyFon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6" fontId="1" fillId="0" borderId="0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40" fontId="1" fillId="0" borderId="0" xfId="0" applyNumberFormat="1" applyFont="1" applyBorder="1" applyAlignment="1">
      <alignment horizontal="center"/>
    </xf>
    <xf numFmtId="6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 applyAlignment="1">
      <alignment horizontal="center"/>
    </xf>
    <xf numFmtId="8" fontId="1" fillId="0" borderId="0" xfId="0" applyNumberFormat="1" applyFont="1" applyFill="1" applyBorder="1"/>
    <xf numFmtId="0" fontId="2" fillId="0" borderId="0" xfId="0" applyFont="1" applyFill="1" applyBorder="1" applyAlignment="1">
      <alignment horizontal="left"/>
    </xf>
    <xf numFmtId="164" fontId="0" fillId="0" borderId="0" xfId="1" applyNumberFormat="1" applyFont="1" applyFill="1" applyBorder="1"/>
    <xf numFmtId="10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2" fontId="0" fillId="0" borderId="0" xfId="0" applyNumberFormat="1" applyFill="1" applyBorder="1"/>
    <xf numFmtId="10" fontId="0" fillId="0" borderId="0" xfId="3" applyNumberFormat="1" applyFont="1" applyFill="1" applyBorder="1"/>
    <xf numFmtId="10" fontId="1" fillId="0" borderId="0" xfId="3" applyNumberFormat="1" applyFont="1" applyFill="1" applyBorder="1"/>
    <xf numFmtId="6" fontId="0" fillId="0" borderId="0" xfId="0" applyNumberFormat="1" applyAlignment="1">
      <alignment horizontal="center"/>
    </xf>
    <xf numFmtId="0" fontId="1" fillId="0" borderId="0" xfId="0" applyFont="1" applyFill="1" applyBorder="1"/>
    <xf numFmtId="0" fontId="1" fillId="0" borderId="0" xfId="0" quotePrefix="1" applyFont="1" applyFill="1" applyBorder="1"/>
    <xf numFmtId="166" fontId="1" fillId="0" borderId="0" xfId="1" applyNumberFormat="1" applyFont="1" applyBorder="1" applyAlignment="1">
      <alignment horizontal="center"/>
    </xf>
    <xf numFmtId="38" fontId="0" fillId="0" borderId="0" xfId="0" applyNumberFormat="1" applyFont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6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43" fontId="0" fillId="0" borderId="0" xfId="1" applyFont="1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8" fontId="0" fillId="0" borderId="0" xfId="0" applyNumberFormat="1" applyFill="1" applyBorder="1" applyAlignment="1">
      <alignment horizontal="center"/>
    </xf>
    <xf numFmtId="43" fontId="1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6" fontId="2" fillId="0" borderId="0" xfId="0" applyNumberFormat="1" applyFont="1" applyBorder="1" applyAlignment="1">
      <alignment horizontal="left"/>
    </xf>
    <xf numFmtId="1" fontId="2" fillId="0" borderId="0" xfId="0" applyNumberFormat="1" applyFont="1" applyBorder="1" applyAlignment="1">
      <alignment horizontal="center"/>
    </xf>
    <xf numFmtId="0" fontId="2" fillId="0" borderId="0" xfId="0" quotePrefix="1" applyFont="1" applyBorder="1"/>
    <xf numFmtId="0" fontId="2" fillId="0" borderId="4" xfId="0" applyFont="1" applyBorder="1"/>
    <xf numFmtId="40" fontId="0" fillId="0" borderId="0" xfId="0" applyNumberFormat="1" applyBorder="1"/>
    <xf numFmtId="40" fontId="0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6" fontId="2" fillId="0" borderId="0" xfId="0" applyNumberFormat="1" applyFont="1" applyFill="1" applyBorder="1"/>
    <xf numFmtId="6" fontId="2" fillId="0" borderId="0" xfId="0" applyNumberFormat="1" applyFont="1" applyBorder="1"/>
    <xf numFmtId="0" fontId="2" fillId="0" borderId="0" xfId="0" quotePrefix="1" applyFont="1" applyFill="1" applyBorder="1"/>
    <xf numFmtId="0" fontId="0" fillId="0" borderId="4" xfId="0" applyFill="1" applyBorder="1"/>
    <xf numFmtId="0" fontId="0" fillId="0" borderId="7" xfId="0" applyFill="1" applyBorder="1"/>
    <xf numFmtId="0" fontId="1" fillId="0" borderId="0" xfId="0" applyFont="1" applyFill="1" applyBorder="1"/>
    <xf numFmtId="3" fontId="0" fillId="0" borderId="0" xfId="0" applyNumberFormat="1" applyAlignment="1">
      <alignment horizontal="center"/>
    </xf>
    <xf numFmtId="0" fontId="1" fillId="0" borderId="6" xfId="0" applyFont="1" applyBorder="1" applyAlignment="1">
      <alignment horizontal="center"/>
    </xf>
    <xf numFmtId="9" fontId="1" fillId="0" borderId="0" xfId="0" applyNumberFormat="1" applyFont="1"/>
    <xf numFmtId="0" fontId="7" fillId="0" borderId="0" xfId="0" applyFont="1" applyFill="1" applyAlignment="1">
      <alignment horizontal="center"/>
    </xf>
    <xf numFmtId="0" fontId="9" fillId="0" borderId="0" xfId="0" applyFont="1"/>
    <xf numFmtId="3" fontId="9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3" fontId="8" fillId="4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left"/>
    </xf>
    <xf numFmtId="6" fontId="1" fillId="0" borderId="6" xfId="0" applyNumberFormat="1" applyFont="1" applyBorder="1" applyAlignment="1">
      <alignment horizontal="center"/>
    </xf>
    <xf numFmtId="0" fontId="1" fillId="4" borderId="8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center"/>
    </xf>
    <xf numFmtId="3" fontId="9" fillId="5" borderId="0" xfId="0" applyNumberFormat="1" applyFont="1" applyFill="1" applyAlignment="1">
      <alignment horizontal="center"/>
    </xf>
    <xf numFmtId="0" fontId="1" fillId="0" borderId="6" xfId="0" quotePrefix="1" applyFont="1" applyBorder="1"/>
    <xf numFmtId="0" fontId="1" fillId="6" borderId="3" xfId="0" applyFont="1" applyFill="1" applyBorder="1" applyAlignment="1">
      <alignment horizontal="center"/>
    </xf>
    <xf numFmtId="9" fontId="1" fillId="6" borderId="0" xfId="0" applyNumberFormat="1" applyFont="1" applyFill="1" applyBorder="1" applyAlignment="1">
      <alignment horizontal="center"/>
    </xf>
    <xf numFmtId="168" fontId="0" fillId="0" borderId="0" xfId="0" applyNumberFormat="1" applyBorder="1"/>
    <xf numFmtId="169" fontId="0" fillId="0" borderId="0" xfId="0" applyNumberFormat="1" applyBorder="1"/>
    <xf numFmtId="166" fontId="1" fillId="0" borderId="0" xfId="2" quotePrefix="1" applyNumberFormat="1" applyFont="1" applyBorder="1" applyAlignment="1">
      <alignment horizontal="center"/>
    </xf>
    <xf numFmtId="0" fontId="1" fillId="0" borderId="6" xfId="0" applyFont="1" applyBorder="1"/>
    <xf numFmtId="0" fontId="10" fillId="0" borderId="6" xfId="0" applyFont="1" applyFill="1" applyBorder="1" applyAlignment="1">
      <alignment horizontal="center"/>
    </xf>
    <xf numFmtId="3" fontId="0" fillId="3" borderId="0" xfId="0" applyNumberFormat="1" applyFill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7" borderId="1" xfId="0" applyFont="1" applyFill="1" applyBorder="1"/>
    <xf numFmtId="166" fontId="0" fillId="0" borderId="0" xfId="2" applyNumberFormat="1" applyFont="1" applyBorder="1" applyAlignment="1">
      <alignment horizontal="left"/>
    </xf>
    <xf numFmtId="0" fontId="0" fillId="0" borderId="0" xfId="0" quotePrefix="1" applyNumberFormat="1" applyFill="1" applyBorder="1"/>
    <xf numFmtId="0" fontId="1" fillId="0" borderId="0" xfId="0" applyFont="1" applyFill="1" applyBorder="1"/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6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 wrapText="1"/>
    </xf>
    <xf numFmtId="8" fontId="1" fillId="0" borderId="0" xfId="0" applyNumberFormat="1" applyFont="1" applyFill="1" applyBorder="1" applyAlignment="1">
      <alignment vertical="top"/>
    </xf>
    <xf numFmtId="0" fontId="2" fillId="0" borderId="0" xfId="0" quotePrefix="1" applyFont="1" applyFill="1" applyBorder="1" applyAlignment="1">
      <alignment vertical="top"/>
    </xf>
    <xf numFmtId="6" fontId="2" fillId="0" borderId="0" xfId="0" applyNumberFormat="1" applyFont="1" applyFill="1" applyBorder="1" applyAlignment="1">
      <alignment vertical="top"/>
    </xf>
    <xf numFmtId="0" fontId="2" fillId="0" borderId="0" xfId="0" quotePrefix="1" applyFont="1" applyFill="1" applyBorder="1" applyAlignment="1">
      <alignment horizontal="center" vertical="top"/>
    </xf>
    <xf numFmtId="0" fontId="0" fillId="0" borderId="9" xfId="0" applyBorder="1"/>
    <xf numFmtId="0" fontId="1" fillId="0" borderId="3" xfId="0" applyFont="1" applyFill="1" applyBorder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vertical="top" wrapText="1"/>
    </xf>
    <xf numFmtId="10" fontId="1" fillId="0" borderId="3" xfId="3" applyNumberFormat="1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  <xf numFmtId="0" fontId="0" fillId="0" borderId="6" xfId="0" applyFill="1" applyBorder="1" applyAlignment="1">
      <alignment vertical="top"/>
    </xf>
    <xf numFmtId="0" fontId="0" fillId="0" borderId="6" xfId="0" applyFill="1" applyBorder="1" applyAlignment="1">
      <alignment horizontal="center" vertical="top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top"/>
    </xf>
    <xf numFmtId="10" fontId="1" fillId="0" borderId="3" xfId="0" applyNumberFormat="1" applyFont="1" applyBorder="1" applyAlignment="1">
      <alignment horizontal="center" vertical="top"/>
    </xf>
    <xf numFmtId="0" fontId="2" fillId="0" borderId="0" xfId="0" applyFont="1" applyFill="1" applyBorder="1" applyAlignment="1">
      <alignment wrapText="1"/>
    </xf>
    <xf numFmtId="10" fontId="2" fillId="0" borderId="0" xfId="0" applyNumberFormat="1" applyFont="1" applyFill="1" applyBorder="1"/>
    <xf numFmtId="0" fontId="2" fillId="0" borderId="0" xfId="0" quotePrefix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top" wrapText="1"/>
    </xf>
    <xf numFmtId="9" fontId="2" fillId="0" borderId="0" xfId="0" applyNumberFormat="1" applyFont="1" applyFill="1" applyBorder="1" applyAlignment="1">
      <alignment horizontal="left" vertical="center" wrapText="1"/>
    </xf>
    <xf numFmtId="165" fontId="2" fillId="0" borderId="0" xfId="3" applyNumberFormat="1" applyFont="1" applyFill="1" applyBorder="1" applyAlignment="1">
      <alignment wrapText="1"/>
    </xf>
    <xf numFmtId="164" fontId="2" fillId="0" borderId="0" xfId="1" applyNumberFormat="1" applyFont="1" applyFill="1" applyBorder="1" applyAlignment="1">
      <alignment horizontal="left" vertical="center" wrapText="1"/>
    </xf>
    <xf numFmtId="0" fontId="2" fillId="0" borderId="0" xfId="1" applyNumberFormat="1" applyFont="1" applyFill="1" applyBorder="1" applyAlignment="1">
      <alignment horizontal="left" vertical="top" wrapText="1"/>
    </xf>
    <xf numFmtId="170" fontId="0" fillId="0" borderId="0" xfId="1" applyNumberFormat="1" applyFont="1" applyFill="1" applyBorder="1"/>
    <xf numFmtId="164" fontId="0" fillId="0" borderId="10" xfId="1" applyNumberFormat="1" applyFont="1" applyFill="1" applyBorder="1"/>
    <xf numFmtId="164" fontId="0" fillId="0" borderId="0" xfId="1" applyNumberFormat="1" applyFont="1" applyFill="1" applyBorder="1" applyAlignment="1">
      <alignment horizontal="right"/>
    </xf>
    <xf numFmtId="164" fontId="0" fillId="0" borderId="10" xfId="1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10" fontId="1" fillId="0" borderId="0" xfId="3" applyNumberFormat="1" applyFont="1" applyFill="1" applyBorder="1" applyAlignment="1">
      <alignment horizontal="right" vertical="center" wrapText="1"/>
    </xf>
    <xf numFmtId="164" fontId="1" fillId="0" borderId="0" xfId="1" applyNumberFormat="1" applyFont="1" applyFill="1" applyBorder="1"/>
    <xf numFmtId="8" fontId="2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right" vertic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2" fillId="0" borderId="4" xfId="0" applyFont="1" applyFill="1" applyBorder="1" applyAlignment="1">
      <alignment horizontal="left" vertical="center" wrapText="1"/>
    </xf>
    <xf numFmtId="10" fontId="0" fillId="0" borderId="4" xfId="3" applyNumberFormat="1" applyFont="1" applyFill="1" applyBorder="1"/>
    <xf numFmtId="0" fontId="0" fillId="0" borderId="5" xfId="0" applyBorder="1" applyAlignment="1">
      <alignment horizontal="center"/>
    </xf>
    <xf numFmtId="8" fontId="0" fillId="0" borderId="6" xfId="0" applyNumberFormat="1" applyBorder="1"/>
    <xf numFmtId="164" fontId="2" fillId="0" borderId="0" xfId="1" applyNumberFormat="1" applyFont="1" applyFill="1" applyBorder="1" applyAlignment="1">
      <alignment horizontal="center" vertical="center" wrapText="1"/>
    </xf>
    <xf numFmtId="164" fontId="2" fillId="0" borderId="10" xfId="1" applyNumberFormat="1" applyFont="1" applyFill="1" applyBorder="1" applyAlignment="1">
      <alignment horizontal="center" vertical="center" wrapText="1"/>
    </xf>
    <xf numFmtId="164" fontId="2" fillId="0" borderId="10" xfId="1" applyNumberFormat="1" applyFont="1" applyFill="1" applyBorder="1" applyAlignment="1">
      <alignment horizontal="right" vertical="center" wrapText="1"/>
    </xf>
    <xf numFmtId="0" fontId="2" fillId="0" borderId="0" xfId="1" applyNumberFormat="1" applyFont="1" applyFill="1" applyBorder="1"/>
    <xf numFmtId="0" fontId="0" fillId="0" borderId="0" xfId="0" quotePrefix="1" applyNumberFormat="1" applyFill="1" applyBorder="1" applyAlignment="1">
      <alignment vertical="top"/>
    </xf>
    <xf numFmtId="0" fontId="2" fillId="0" borderId="0" xfId="0" applyFont="1" applyFill="1" applyBorder="1" applyAlignment="1">
      <alignment horizontal="left" vertical="center" wrapText="1"/>
    </xf>
  </cellXfs>
  <cellStyles count="14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1016001</xdr:colOff>
      <xdr:row>12</xdr:row>
      <xdr:rowOff>95250</xdr:rowOff>
    </xdr:from>
    <xdr:to>
      <xdr:col>6</xdr:col>
      <xdr:colOff>296333</xdr:colOff>
      <xdr:row>17</xdr:row>
      <xdr:rowOff>127000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107B5EC-D8A8-BC4A-B573-90D5DBE26DE7}"/>
            </a:ext>
          </a:extLst>
        </xdr:cNvPr>
        <xdr:cNvCxnSpPr/>
      </xdr:nvCxnSpPr>
      <xdr:spPr>
        <a:xfrm flipH="1">
          <a:off x="4794251" y="1629833"/>
          <a:ext cx="1661582" cy="87841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296333</xdr:colOff>
      <xdr:row>12</xdr:row>
      <xdr:rowOff>116417</xdr:rowOff>
    </xdr:from>
    <xdr:to>
      <xdr:col>11</xdr:col>
      <xdr:colOff>169333</xdr:colOff>
      <xdr:row>18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EA08B40-DEFE-584C-98E7-EEC1E044E8A1}"/>
            </a:ext>
          </a:extLst>
        </xdr:cNvPr>
        <xdr:cNvCxnSpPr/>
      </xdr:nvCxnSpPr>
      <xdr:spPr>
        <a:xfrm>
          <a:off x="6455833" y="1651000"/>
          <a:ext cx="3227917" cy="89958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32"/>
  <sheetViews>
    <sheetView showGridLines="0" tabSelected="1" topLeftCell="A185" zoomScale="110" zoomScaleNormal="110" workbookViewId="0">
      <selection activeCell="C21" sqref="C21"/>
    </sheetView>
  </sheetViews>
  <sheetFormatPr baseColWidth="10" defaultColWidth="11" defaultRowHeight="13" x14ac:dyDescent="0.15"/>
  <cols>
    <col min="1" max="1" width="2.5" customWidth="1"/>
    <col min="2" max="2" width="20.33203125" customWidth="1"/>
    <col min="3" max="3" width="31.83203125" customWidth="1"/>
    <col min="4" max="4" width="48.83203125" customWidth="1"/>
    <col min="5" max="5" width="20.6640625" customWidth="1"/>
    <col min="6" max="6" width="62.33203125" customWidth="1"/>
    <col min="7" max="7" width="19.33203125" customWidth="1"/>
    <col min="8" max="8" width="24.33203125" customWidth="1"/>
    <col min="11" max="11" width="12.83203125" customWidth="1"/>
  </cols>
  <sheetData>
    <row r="2" spans="2:7" x14ac:dyDescent="0.15">
      <c r="B2" s="118" t="s">
        <v>4</v>
      </c>
      <c r="C2" s="119"/>
    </row>
    <row r="3" spans="2:7" x14ac:dyDescent="0.15">
      <c r="B3" s="118" t="s">
        <v>74</v>
      </c>
      <c r="C3" s="119"/>
    </row>
    <row r="4" spans="2:7" x14ac:dyDescent="0.15">
      <c r="B4" s="118" t="s">
        <v>75</v>
      </c>
      <c r="C4" s="119"/>
      <c r="G4" s="36"/>
    </row>
    <row r="5" spans="2:7" ht="14" thickBot="1" x14ac:dyDescent="0.2">
      <c r="B5" s="41"/>
      <c r="G5" s="36"/>
    </row>
    <row r="6" spans="2:7" ht="14" thickBot="1" x14ac:dyDescent="0.2">
      <c r="B6" s="101" t="s">
        <v>50</v>
      </c>
      <c r="C6" s="114" t="s">
        <v>51</v>
      </c>
      <c r="D6" s="1"/>
      <c r="E6" s="1"/>
      <c r="F6" s="2"/>
      <c r="G6" s="36"/>
    </row>
    <row r="7" spans="2:7" x14ac:dyDescent="0.15">
      <c r="B7" s="99" t="s">
        <v>45</v>
      </c>
      <c r="C7" s="36"/>
      <c r="D7" s="36"/>
      <c r="E7" s="36"/>
      <c r="F7" s="5"/>
      <c r="G7" s="36"/>
    </row>
    <row r="8" spans="2:7" x14ac:dyDescent="0.15">
      <c r="B8" s="25" t="s">
        <v>78</v>
      </c>
      <c r="C8" s="9">
        <v>40</v>
      </c>
      <c r="D8" s="36"/>
      <c r="E8" s="36"/>
      <c r="F8" s="5"/>
      <c r="G8" s="36"/>
    </row>
    <row r="9" spans="2:7" x14ac:dyDescent="0.15">
      <c r="B9" s="25" t="s">
        <v>47</v>
      </c>
      <c r="C9" s="15">
        <v>0.1</v>
      </c>
      <c r="D9" s="36"/>
      <c r="E9" s="36"/>
      <c r="F9" s="5"/>
      <c r="G9" s="36"/>
    </row>
    <row r="10" spans="2:7" x14ac:dyDescent="0.15">
      <c r="B10" s="25" t="s">
        <v>6</v>
      </c>
      <c r="C10" s="43">
        <v>-2000</v>
      </c>
      <c r="D10" s="36"/>
      <c r="E10" s="36"/>
      <c r="F10" s="5"/>
      <c r="G10" s="36"/>
    </row>
    <row r="11" spans="2:7" x14ac:dyDescent="0.15">
      <c r="B11" s="25" t="s">
        <v>5</v>
      </c>
      <c r="C11" s="9">
        <v>0</v>
      </c>
      <c r="D11" s="36"/>
      <c r="E11" s="36"/>
      <c r="F11" s="5"/>
      <c r="G11" s="36"/>
    </row>
    <row r="12" spans="2:7" x14ac:dyDescent="0.15">
      <c r="B12" s="13" t="s">
        <v>76</v>
      </c>
      <c r="C12" s="45">
        <f>FV(C9,C8,C10,C11)</f>
        <v>885185.11136352143</v>
      </c>
      <c r="D12" s="30" t="s">
        <v>53</v>
      </c>
      <c r="E12" s="36"/>
      <c r="F12" s="5"/>
      <c r="G12" s="36"/>
    </row>
    <row r="13" spans="2:7" x14ac:dyDescent="0.15">
      <c r="B13" s="8"/>
      <c r="C13" s="9"/>
      <c r="D13" s="36"/>
      <c r="E13" s="36"/>
      <c r="F13" s="5"/>
      <c r="G13" s="36"/>
    </row>
    <row r="14" spans="2:7" x14ac:dyDescent="0.15">
      <c r="B14" s="99" t="s">
        <v>46</v>
      </c>
      <c r="C14" s="36"/>
      <c r="D14" s="36"/>
      <c r="E14" s="36"/>
      <c r="F14" s="5"/>
      <c r="G14" s="36"/>
    </row>
    <row r="15" spans="2:7" x14ac:dyDescent="0.15">
      <c r="B15" s="25" t="s">
        <v>49</v>
      </c>
      <c r="C15" s="9">
        <v>8</v>
      </c>
      <c r="D15" s="36"/>
      <c r="E15" s="40" t="s">
        <v>79</v>
      </c>
      <c r="F15" s="38"/>
      <c r="G15" s="36"/>
    </row>
    <row r="16" spans="2:7" x14ac:dyDescent="0.15">
      <c r="B16" s="25" t="s">
        <v>47</v>
      </c>
      <c r="C16" s="15">
        <v>0.1</v>
      </c>
      <c r="D16" s="36"/>
      <c r="E16" s="40" t="s">
        <v>80</v>
      </c>
      <c r="F16" s="38"/>
      <c r="G16" s="36"/>
    </row>
    <row r="17" spans="2:15" x14ac:dyDescent="0.15">
      <c r="B17" s="25" t="s">
        <v>6</v>
      </c>
      <c r="C17" s="43">
        <v>-2000</v>
      </c>
      <c r="D17" s="36"/>
      <c r="E17" s="40" t="s">
        <v>81</v>
      </c>
      <c r="F17" s="38"/>
      <c r="G17" s="36"/>
    </row>
    <row r="18" spans="2:15" x14ac:dyDescent="0.15">
      <c r="B18" s="25" t="s">
        <v>5</v>
      </c>
      <c r="C18" s="9">
        <v>0</v>
      </c>
      <c r="D18" s="36"/>
      <c r="E18" s="36"/>
      <c r="F18" s="5"/>
      <c r="G18" s="36"/>
    </row>
    <row r="19" spans="2:15" x14ac:dyDescent="0.15">
      <c r="B19" s="13" t="s">
        <v>48</v>
      </c>
      <c r="C19" s="45">
        <f>FV(C16,C15,C17,C18)</f>
        <v>22871.776200000022</v>
      </c>
      <c r="D19" s="30" t="s">
        <v>53</v>
      </c>
      <c r="E19" s="36"/>
      <c r="F19" s="5"/>
      <c r="G19" s="36"/>
    </row>
    <row r="20" spans="2:15" x14ac:dyDescent="0.15">
      <c r="B20" s="25"/>
      <c r="C20" s="43"/>
      <c r="D20" s="36"/>
      <c r="E20" s="36"/>
      <c r="F20" s="5"/>
      <c r="G20" s="36"/>
    </row>
    <row r="21" spans="2:15" x14ac:dyDescent="0.15">
      <c r="B21" s="25" t="s">
        <v>77</v>
      </c>
      <c r="C21" s="9">
        <v>39</v>
      </c>
      <c r="D21" s="40" t="s">
        <v>52</v>
      </c>
      <c r="E21" s="40"/>
      <c r="F21" s="38"/>
      <c r="G21" s="36"/>
    </row>
    <row r="22" spans="2:15" x14ac:dyDescent="0.15">
      <c r="B22" s="25" t="s">
        <v>47</v>
      </c>
      <c r="C22" s="15">
        <v>0.1</v>
      </c>
      <c r="D22" s="40" t="s">
        <v>83</v>
      </c>
      <c r="E22" s="40"/>
      <c r="F22" s="38"/>
      <c r="G22" s="36"/>
    </row>
    <row r="23" spans="2:15" x14ac:dyDescent="0.15">
      <c r="B23" s="25" t="s">
        <v>6</v>
      </c>
      <c r="C23" s="9">
        <v>0</v>
      </c>
      <c r="D23" s="36"/>
      <c r="E23" s="36"/>
      <c r="F23" s="5"/>
      <c r="G23" s="36"/>
    </row>
    <row r="24" spans="2:15" x14ac:dyDescent="0.15">
      <c r="B24" s="25" t="s">
        <v>5</v>
      </c>
      <c r="C24" s="43">
        <f>-C19</f>
        <v>-22871.776200000022</v>
      </c>
      <c r="D24" s="76" t="s">
        <v>71</v>
      </c>
      <c r="E24" s="36"/>
      <c r="F24" s="5"/>
      <c r="G24" s="36"/>
    </row>
    <row r="25" spans="2:15" ht="14" thickBot="1" x14ac:dyDescent="0.2">
      <c r="B25" s="17" t="s">
        <v>9</v>
      </c>
      <c r="C25" s="100">
        <f>FV(C22,C21,C23,C24)</f>
        <v>941054.14939448005</v>
      </c>
      <c r="D25" s="104" t="s">
        <v>53</v>
      </c>
      <c r="E25" s="6"/>
      <c r="F25" s="7"/>
      <c r="G25" s="36"/>
    </row>
    <row r="26" spans="2:15" x14ac:dyDescent="0.15">
      <c r="B26" s="98"/>
      <c r="C26" s="63"/>
      <c r="G26" s="36"/>
    </row>
    <row r="27" spans="2:15" ht="14" thickBot="1" x14ac:dyDescent="0.2">
      <c r="B27" s="9"/>
      <c r="C27" s="115"/>
      <c r="D27" s="36"/>
      <c r="E27" s="36"/>
      <c r="F27" s="36"/>
    </row>
    <row r="28" spans="2:15" ht="14" thickBot="1" x14ac:dyDescent="0.2">
      <c r="B28" s="35" t="s">
        <v>82</v>
      </c>
      <c r="C28" s="1"/>
      <c r="D28" s="1"/>
      <c r="E28" s="1"/>
      <c r="F28" s="2"/>
      <c r="H28" s="4"/>
      <c r="J28" s="4"/>
      <c r="K28" s="4"/>
      <c r="L28" s="4"/>
      <c r="M28" s="4"/>
      <c r="N28" s="4"/>
      <c r="O28" s="4"/>
    </row>
    <row r="29" spans="2:15" x14ac:dyDescent="0.15">
      <c r="B29" s="105" t="s">
        <v>54</v>
      </c>
      <c r="C29" s="106">
        <v>0.03</v>
      </c>
      <c r="D29" s="36"/>
      <c r="E29" s="36"/>
      <c r="F29" s="5"/>
      <c r="H29" s="36"/>
      <c r="J29" s="36"/>
      <c r="K29" s="36"/>
      <c r="L29" s="36"/>
      <c r="M29" s="36"/>
      <c r="N29" s="36"/>
      <c r="O29" s="36"/>
    </row>
    <row r="30" spans="2:15" x14ac:dyDescent="0.15">
      <c r="B30" s="21"/>
      <c r="C30" s="9"/>
      <c r="D30" s="36"/>
      <c r="E30" s="36"/>
      <c r="F30" s="5"/>
      <c r="H30" s="4"/>
      <c r="J30" s="4"/>
      <c r="K30" s="4"/>
      <c r="L30" s="4"/>
      <c r="M30" s="4"/>
      <c r="N30" s="4"/>
      <c r="O30" s="4"/>
    </row>
    <row r="31" spans="2:15" x14ac:dyDescent="0.15">
      <c r="B31" s="8" t="s">
        <v>5</v>
      </c>
      <c r="C31" s="44">
        <v>500000</v>
      </c>
      <c r="D31" s="36"/>
      <c r="E31" s="36"/>
      <c r="F31" s="5"/>
      <c r="H31" s="4"/>
      <c r="J31" s="4"/>
      <c r="K31" s="4"/>
      <c r="L31" s="4"/>
      <c r="M31" s="4"/>
      <c r="N31" s="4"/>
      <c r="O31" s="4"/>
    </row>
    <row r="32" spans="2:15" x14ac:dyDescent="0.15">
      <c r="B32" s="8" t="s">
        <v>0</v>
      </c>
      <c r="C32" s="11">
        <f>$C$29/12</f>
        <v>2.5000000000000001E-3</v>
      </c>
      <c r="D32" s="76" t="s">
        <v>63</v>
      </c>
      <c r="E32" s="36"/>
      <c r="F32" s="5"/>
      <c r="H32" s="4"/>
      <c r="J32" s="4"/>
      <c r="K32" s="4"/>
      <c r="L32" s="4"/>
      <c r="M32" s="4"/>
      <c r="N32" s="4"/>
      <c r="O32" s="4"/>
    </row>
    <row r="33" spans="2:15" x14ac:dyDescent="0.15">
      <c r="B33" s="8" t="s">
        <v>14</v>
      </c>
      <c r="C33" s="9">
        <v>360</v>
      </c>
      <c r="D33" s="36" t="s">
        <v>3</v>
      </c>
      <c r="E33" s="36"/>
      <c r="F33" s="5"/>
      <c r="H33" s="4"/>
      <c r="J33" s="4"/>
      <c r="K33" s="4"/>
      <c r="L33" s="4"/>
      <c r="M33" s="4"/>
      <c r="N33" s="4"/>
      <c r="O33" s="4"/>
    </row>
    <row r="34" spans="2:15" x14ac:dyDescent="0.15">
      <c r="B34" s="8" t="s">
        <v>9</v>
      </c>
      <c r="C34" s="9">
        <v>0</v>
      </c>
      <c r="D34" s="36" t="s">
        <v>17</v>
      </c>
      <c r="E34" s="36"/>
      <c r="F34" s="5"/>
      <c r="H34" s="4"/>
      <c r="J34" s="4"/>
      <c r="K34" s="4"/>
      <c r="L34" s="4"/>
      <c r="M34" s="4"/>
      <c r="N34" s="4"/>
      <c r="O34" s="4"/>
    </row>
    <row r="35" spans="2:15" x14ac:dyDescent="0.15">
      <c r="B35" s="13" t="s">
        <v>6</v>
      </c>
      <c r="C35" s="45">
        <f>PMT(C32,C33,C31)</f>
        <v>-2108.0201686472524</v>
      </c>
      <c r="D35" s="30" t="s">
        <v>10</v>
      </c>
      <c r="E35" s="36"/>
      <c r="F35" s="5"/>
      <c r="H35" s="4"/>
      <c r="J35" s="4"/>
      <c r="K35" s="4"/>
      <c r="L35" s="4"/>
      <c r="M35" s="4"/>
      <c r="N35" s="4"/>
      <c r="O35" s="4"/>
    </row>
    <row r="36" spans="2:15" ht="14" thickBot="1" x14ac:dyDescent="0.2">
      <c r="B36" s="13"/>
      <c r="C36" s="45"/>
      <c r="D36" s="30"/>
      <c r="E36" s="36"/>
      <c r="F36" s="5"/>
      <c r="H36" s="36"/>
      <c r="J36" s="36"/>
      <c r="K36" s="36"/>
      <c r="L36" s="36"/>
      <c r="M36" s="36"/>
      <c r="N36" s="36"/>
      <c r="O36" s="36"/>
    </row>
    <row r="37" spans="2:15" ht="14" thickBot="1" x14ac:dyDescent="0.2">
      <c r="B37" s="102" t="s">
        <v>7</v>
      </c>
      <c r="C37" s="36"/>
      <c r="D37" s="36"/>
      <c r="E37" s="36"/>
      <c r="F37" s="5"/>
      <c r="H37" s="36"/>
      <c r="J37" s="36"/>
      <c r="K37" s="36"/>
      <c r="L37" s="36"/>
      <c r="M37" s="36"/>
      <c r="N37" s="36"/>
      <c r="O37" s="36"/>
    </row>
    <row r="38" spans="2:15" x14ac:dyDescent="0.15">
      <c r="B38" s="13"/>
      <c r="C38" s="77"/>
      <c r="D38" s="77" t="s">
        <v>55</v>
      </c>
      <c r="E38" s="36"/>
      <c r="F38" s="5"/>
      <c r="H38" s="36"/>
      <c r="J38" s="36"/>
      <c r="K38" s="36"/>
      <c r="L38" s="36"/>
      <c r="M38" s="36"/>
      <c r="N38" s="36"/>
      <c r="O38" s="36"/>
    </row>
    <row r="39" spans="2:15" x14ac:dyDescent="0.15">
      <c r="B39" s="13"/>
      <c r="C39" s="77"/>
      <c r="D39" s="77" t="s">
        <v>56</v>
      </c>
      <c r="E39" s="36"/>
      <c r="F39" s="5"/>
      <c r="H39" s="36"/>
      <c r="J39" s="36"/>
      <c r="K39" s="36"/>
      <c r="L39" s="36"/>
      <c r="M39" s="36"/>
      <c r="N39" s="36"/>
      <c r="O39" s="36"/>
    </row>
    <row r="40" spans="2:15" x14ac:dyDescent="0.15">
      <c r="B40" s="25" t="s">
        <v>24</v>
      </c>
      <c r="C40" s="78">
        <v>360</v>
      </c>
      <c r="D40" s="30"/>
      <c r="E40" s="36"/>
      <c r="F40" s="5"/>
      <c r="H40" s="36"/>
      <c r="J40" s="36"/>
      <c r="K40" s="36"/>
      <c r="L40" s="36"/>
      <c r="M40" s="36"/>
      <c r="N40" s="36"/>
      <c r="O40" s="36"/>
    </row>
    <row r="41" spans="2:15" x14ac:dyDescent="0.15">
      <c r="B41" s="25" t="s">
        <v>6</v>
      </c>
      <c r="C41" s="49">
        <f>-C35</f>
        <v>2108.0201686472524</v>
      </c>
      <c r="D41" s="30"/>
      <c r="E41" s="36"/>
      <c r="F41" s="5"/>
      <c r="H41" s="36"/>
      <c r="J41" s="36"/>
      <c r="K41" s="36"/>
      <c r="L41" s="36"/>
      <c r="M41" s="36"/>
      <c r="N41" s="36"/>
      <c r="O41" s="36"/>
    </row>
    <row r="42" spans="2:15" x14ac:dyDescent="0.15">
      <c r="B42" s="13" t="s">
        <v>25</v>
      </c>
      <c r="C42" s="45">
        <f>C41*C40-C31</f>
        <v>258887.26071301091</v>
      </c>
      <c r="D42" s="30" t="s">
        <v>44</v>
      </c>
      <c r="E42" s="36"/>
      <c r="F42" s="5"/>
      <c r="H42" s="36"/>
      <c r="J42" s="36"/>
      <c r="K42" s="36"/>
      <c r="L42" s="36"/>
      <c r="M42" s="36"/>
      <c r="N42" s="36"/>
      <c r="O42" s="36"/>
    </row>
    <row r="43" spans="2:15" x14ac:dyDescent="0.15">
      <c r="B43" s="13" t="s">
        <v>25</v>
      </c>
      <c r="C43" s="109">
        <f>-CUMIPMT(C32,C33,C31,1,360,0)</f>
        <v>258887.26071301091</v>
      </c>
      <c r="D43" s="30" t="s">
        <v>31</v>
      </c>
      <c r="E43" s="36"/>
      <c r="F43" s="80" t="s">
        <v>26</v>
      </c>
      <c r="H43" s="36"/>
      <c r="J43" s="36"/>
      <c r="K43" s="36"/>
      <c r="L43" s="36"/>
      <c r="M43" s="36"/>
      <c r="N43" s="36"/>
      <c r="O43" s="36"/>
    </row>
    <row r="44" spans="2:15" ht="14" thickBot="1" x14ac:dyDescent="0.2">
      <c r="B44" s="13"/>
      <c r="C44" s="45"/>
      <c r="D44" s="30"/>
      <c r="E44" s="36"/>
      <c r="F44" s="5"/>
      <c r="H44" s="36"/>
      <c r="J44" s="36"/>
      <c r="K44" s="36"/>
      <c r="L44" s="36"/>
      <c r="M44" s="36"/>
      <c r="N44" s="36"/>
      <c r="O44" s="36"/>
    </row>
    <row r="45" spans="2:15" ht="14" thickBot="1" x14ac:dyDescent="0.2">
      <c r="B45" s="102" t="s">
        <v>1</v>
      </c>
      <c r="C45" s="36"/>
      <c r="D45" s="77" t="s">
        <v>86</v>
      </c>
      <c r="E45" s="76"/>
      <c r="F45" s="80"/>
      <c r="H45" s="36"/>
      <c r="J45" s="36"/>
      <c r="K45" s="36"/>
      <c r="L45" s="36"/>
      <c r="M45" s="36"/>
      <c r="N45" s="36"/>
      <c r="O45" s="36"/>
    </row>
    <row r="46" spans="2:15" x14ac:dyDescent="0.15">
      <c r="B46" s="34"/>
      <c r="C46" s="36"/>
      <c r="D46" s="77" t="s">
        <v>57</v>
      </c>
      <c r="E46" s="76"/>
      <c r="F46" s="80"/>
      <c r="H46" s="36"/>
      <c r="J46" s="36"/>
      <c r="K46" s="36"/>
      <c r="L46" s="36"/>
      <c r="M46" s="36"/>
      <c r="N46" s="36"/>
      <c r="O46" s="36"/>
    </row>
    <row r="47" spans="2:15" x14ac:dyDescent="0.15">
      <c r="B47" s="34"/>
      <c r="C47" s="36"/>
      <c r="D47" s="77" t="s">
        <v>27</v>
      </c>
      <c r="E47" s="76"/>
      <c r="F47" s="80"/>
      <c r="H47" s="36"/>
      <c r="J47" s="36"/>
      <c r="K47" s="36"/>
      <c r="L47" s="36"/>
      <c r="M47" s="36"/>
      <c r="N47" s="36"/>
      <c r="O47" s="36"/>
    </row>
    <row r="48" spans="2:15" x14ac:dyDescent="0.15">
      <c r="B48" s="25"/>
      <c r="C48" s="36"/>
      <c r="D48" s="120" t="s">
        <v>85</v>
      </c>
      <c r="E48" s="76"/>
      <c r="F48" s="80"/>
      <c r="H48" s="36"/>
      <c r="J48" s="36"/>
      <c r="K48" s="36"/>
      <c r="L48" s="36"/>
      <c r="M48" s="36"/>
      <c r="N48" s="36"/>
      <c r="O48" s="36"/>
    </row>
    <row r="49" spans="2:15" x14ac:dyDescent="0.15">
      <c r="B49" s="13" t="s">
        <v>5</v>
      </c>
      <c r="C49" s="66">
        <f>PV(C50,C51,C53)</f>
        <v>305252.85436181736</v>
      </c>
      <c r="D49" s="30" t="s">
        <v>29</v>
      </c>
      <c r="E49" s="76"/>
      <c r="F49" s="80"/>
      <c r="H49" s="36"/>
      <c r="J49" s="36"/>
      <c r="K49" s="36"/>
      <c r="L49" s="36"/>
      <c r="M49" s="36"/>
      <c r="N49" s="36"/>
      <c r="O49" s="36"/>
    </row>
    <row r="50" spans="2:15" x14ac:dyDescent="0.15">
      <c r="B50" s="8" t="s">
        <v>0</v>
      </c>
      <c r="C50" s="11">
        <f>$C$29/12</f>
        <v>2.5000000000000001E-3</v>
      </c>
      <c r="D50" s="79"/>
      <c r="E50" s="76"/>
      <c r="F50" s="80"/>
      <c r="H50" s="36"/>
      <c r="J50" s="36"/>
      <c r="K50" s="36"/>
      <c r="L50" s="36"/>
      <c r="M50" s="36"/>
      <c r="N50" s="36"/>
      <c r="O50" s="36"/>
    </row>
    <row r="51" spans="2:15" x14ac:dyDescent="0.15">
      <c r="B51" s="8" t="s">
        <v>14</v>
      </c>
      <c r="C51" s="9">
        <v>180</v>
      </c>
      <c r="D51" s="30" t="s">
        <v>28</v>
      </c>
      <c r="E51" s="76"/>
      <c r="F51" s="80"/>
      <c r="H51" s="36"/>
      <c r="J51" s="36"/>
      <c r="K51" s="36"/>
      <c r="L51" s="36"/>
      <c r="M51" s="36"/>
      <c r="N51" s="36"/>
      <c r="O51" s="36"/>
    </row>
    <row r="52" spans="2:15" x14ac:dyDescent="0.15">
      <c r="B52" s="8" t="s">
        <v>9</v>
      </c>
      <c r="C52" s="9">
        <v>0</v>
      </c>
      <c r="D52" s="79"/>
      <c r="E52" s="76"/>
      <c r="F52" s="80"/>
      <c r="H52" s="36"/>
      <c r="J52" s="36"/>
      <c r="K52" s="36"/>
      <c r="L52" s="36"/>
      <c r="M52" s="36"/>
      <c r="N52" s="36"/>
      <c r="O52" s="36"/>
    </row>
    <row r="53" spans="2:15" x14ac:dyDescent="0.15">
      <c r="B53" s="25" t="s">
        <v>6</v>
      </c>
      <c r="C53" s="49">
        <v>-2108.0201686472524</v>
      </c>
      <c r="D53" s="30" t="s">
        <v>84</v>
      </c>
      <c r="E53" s="40"/>
      <c r="F53" s="80"/>
      <c r="H53" s="36"/>
      <c r="J53" s="36"/>
      <c r="K53" s="36"/>
      <c r="L53" s="36"/>
      <c r="M53" s="36"/>
      <c r="N53" s="36"/>
      <c r="O53" s="36"/>
    </row>
    <row r="54" spans="2:15" x14ac:dyDescent="0.15">
      <c r="B54" s="25"/>
      <c r="C54" s="49"/>
      <c r="D54" s="79"/>
      <c r="E54" s="76"/>
      <c r="F54" s="80"/>
      <c r="H54" s="36"/>
      <c r="J54" s="36"/>
      <c r="K54" s="36"/>
      <c r="L54" s="36"/>
      <c r="M54" s="36"/>
      <c r="N54" s="36"/>
      <c r="O54" s="36"/>
    </row>
    <row r="55" spans="2:15" x14ac:dyDescent="0.15">
      <c r="B55" s="25" t="s">
        <v>12</v>
      </c>
      <c r="C55" s="49">
        <f>-CUMPRINC(C32,C33,C31,1,180,0)</f>
        <v>194747.14563817831</v>
      </c>
      <c r="D55" s="79" t="s">
        <v>32</v>
      </c>
      <c r="E55" s="76"/>
      <c r="F55" s="80"/>
      <c r="H55" s="36"/>
      <c r="J55" s="36"/>
      <c r="K55" s="36"/>
      <c r="L55" s="36"/>
      <c r="M55" s="36"/>
      <c r="N55" s="36"/>
      <c r="O55" s="36"/>
    </row>
    <row r="56" spans="2:15" x14ac:dyDescent="0.15">
      <c r="B56" s="13" t="s">
        <v>34</v>
      </c>
      <c r="C56" s="45">
        <f>C31-C55</f>
        <v>305252.85436182166</v>
      </c>
      <c r="D56" s="65" t="s">
        <v>33</v>
      </c>
      <c r="E56" s="76"/>
      <c r="F56" s="80"/>
      <c r="H56" s="36"/>
      <c r="J56" s="36"/>
      <c r="K56" s="36"/>
      <c r="L56" s="36"/>
      <c r="M56" s="36"/>
      <c r="N56" s="36"/>
      <c r="O56" s="36"/>
    </row>
    <row r="57" spans="2:15" x14ac:dyDescent="0.15">
      <c r="B57" s="13"/>
      <c r="C57" s="45"/>
      <c r="D57" s="30"/>
      <c r="E57" s="36"/>
      <c r="F57" s="5"/>
      <c r="H57" s="36"/>
      <c r="J57" s="36"/>
      <c r="K57" s="36"/>
      <c r="L57" s="36"/>
      <c r="M57" s="36"/>
      <c r="N57" s="36"/>
      <c r="O57" s="36"/>
    </row>
    <row r="58" spans="2:15" ht="14" thickBot="1" x14ac:dyDescent="0.2">
      <c r="B58" s="13"/>
      <c r="C58" s="45"/>
      <c r="D58" s="12"/>
      <c r="E58" s="36"/>
      <c r="F58" s="5"/>
      <c r="H58" s="4"/>
      <c r="J58" s="4"/>
      <c r="K58" s="4"/>
      <c r="L58" s="4"/>
      <c r="M58" s="4"/>
      <c r="N58" s="4"/>
      <c r="O58" s="4"/>
    </row>
    <row r="59" spans="2:15" ht="14" thickBot="1" x14ac:dyDescent="0.2">
      <c r="B59" s="102" t="s">
        <v>30</v>
      </c>
      <c r="C59" s="45"/>
      <c r="D59" s="12"/>
      <c r="E59" s="81"/>
      <c r="F59" s="5"/>
      <c r="H59" s="4"/>
      <c r="J59" s="4"/>
      <c r="K59" s="4"/>
      <c r="L59" s="4"/>
      <c r="M59" s="4"/>
      <c r="N59" s="4"/>
      <c r="O59" s="4"/>
    </row>
    <row r="60" spans="2:15" x14ac:dyDescent="0.15">
      <c r="B60" s="8" t="s">
        <v>5</v>
      </c>
      <c r="C60" s="46">
        <f>C31</f>
        <v>500000</v>
      </c>
      <c r="D60" s="12"/>
      <c r="E60" s="36"/>
      <c r="F60" s="5"/>
      <c r="H60" s="4"/>
      <c r="J60" s="4"/>
      <c r="K60" s="4"/>
      <c r="L60" s="4"/>
      <c r="M60" s="4"/>
      <c r="N60" s="4"/>
      <c r="O60" s="4"/>
    </row>
    <row r="61" spans="2:15" x14ac:dyDescent="0.15">
      <c r="B61" s="8" t="s">
        <v>0</v>
      </c>
      <c r="C61" s="47">
        <f>C32</f>
        <v>2.5000000000000001E-3</v>
      </c>
      <c r="D61" s="12"/>
      <c r="E61" s="36"/>
      <c r="F61" s="5"/>
      <c r="H61" s="4"/>
      <c r="J61" s="4"/>
      <c r="K61" s="4"/>
      <c r="L61" s="4"/>
      <c r="M61" s="4"/>
      <c r="N61" s="4"/>
      <c r="O61" s="4"/>
    </row>
    <row r="62" spans="2:15" x14ac:dyDescent="0.15">
      <c r="B62" s="8" t="s">
        <v>9</v>
      </c>
      <c r="C62" s="49">
        <v>0</v>
      </c>
      <c r="D62" s="36"/>
      <c r="E62" s="36"/>
      <c r="F62" s="5"/>
      <c r="H62" s="4"/>
      <c r="J62" s="22"/>
      <c r="K62" s="4"/>
      <c r="L62" s="4"/>
      <c r="M62" s="4"/>
      <c r="N62" s="4"/>
      <c r="O62" s="4"/>
    </row>
    <row r="63" spans="2:15" x14ac:dyDescent="0.15">
      <c r="B63" s="8" t="s">
        <v>18</v>
      </c>
      <c r="C63" s="49">
        <v>250</v>
      </c>
      <c r="D63" s="36"/>
      <c r="E63" s="67"/>
      <c r="F63" s="5"/>
      <c r="H63" s="36"/>
      <c r="J63" s="39"/>
      <c r="K63" s="36"/>
      <c r="L63" s="36"/>
      <c r="M63" s="36"/>
      <c r="N63" s="36"/>
      <c r="O63" s="36"/>
    </row>
    <row r="64" spans="2:15" x14ac:dyDescent="0.15">
      <c r="B64" s="42" t="s">
        <v>20</v>
      </c>
      <c r="C64" s="45">
        <f>C35-C63</f>
        <v>-2358.0201686472524</v>
      </c>
      <c r="D64" s="37" t="s">
        <v>15</v>
      </c>
      <c r="E64" s="36"/>
      <c r="F64" s="5"/>
      <c r="H64" s="4"/>
      <c r="J64" s="9"/>
      <c r="K64" s="15"/>
      <c r="L64" s="4"/>
      <c r="M64" s="4"/>
      <c r="N64" s="4"/>
      <c r="O64" s="4"/>
    </row>
    <row r="65" spans="2:15" x14ac:dyDescent="0.15">
      <c r="B65" s="13" t="s">
        <v>14</v>
      </c>
      <c r="C65" s="48">
        <f>NPER(C61,C64,C60,C62)</f>
        <v>302.47649241714595</v>
      </c>
      <c r="D65" s="30" t="s">
        <v>21</v>
      </c>
      <c r="E65" s="36"/>
      <c r="F65" s="5"/>
      <c r="H65" s="36"/>
      <c r="J65" s="9"/>
      <c r="K65" s="15"/>
      <c r="L65" s="36"/>
      <c r="M65" s="36"/>
      <c r="N65" s="36"/>
      <c r="O65" s="36"/>
    </row>
    <row r="66" spans="2:15" x14ac:dyDescent="0.15">
      <c r="B66" s="13" t="s">
        <v>16</v>
      </c>
      <c r="C66" s="82" t="str">
        <f>INT(C65/12)&amp; " yrs and " &amp;ROUND(MOD(C65,12),2)&amp; " months"</f>
        <v>25 yrs and 2.48 months</v>
      </c>
      <c r="D66" s="83" t="s">
        <v>66</v>
      </c>
      <c r="E66" s="36"/>
      <c r="F66" s="5"/>
      <c r="H66" s="4"/>
      <c r="J66" s="9"/>
      <c r="K66" s="10"/>
      <c r="L66" s="4"/>
      <c r="M66" s="4"/>
      <c r="N66" s="4"/>
      <c r="O66" s="4"/>
    </row>
    <row r="67" spans="2:15" x14ac:dyDescent="0.15">
      <c r="B67" s="3"/>
      <c r="C67" s="24"/>
      <c r="D67" s="86" t="s">
        <v>65</v>
      </c>
      <c r="E67" s="36"/>
      <c r="F67" s="5"/>
      <c r="H67" s="36"/>
      <c r="J67" s="27"/>
      <c r="K67" s="28"/>
      <c r="L67" s="36"/>
      <c r="M67" s="36"/>
      <c r="N67" s="36"/>
      <c r="O67" s="36"/>
    </row>
    <row r="68" spans="2:15" x14ac:dyDescent="0.15">
      <c r="B68" s="13"/>
      <c r="C68" s="45"/>
      <c r="D68" s="84" t="s">
        <v>67</v>
      </c>
      <c r="E68" s="36"/>
      <c r="F68" s="5"/>
      <c r="H68" s="4"/>
      <c r="J68" s="27"/>
      <c r="K68" s="28"/>
      <c r="L68" s="4"/>
      <c r="M68" s="4"/>
    </row>
    <row r="69" spans="2:15" x14ac:dyDescent="0.15">
      <c r="B69" s="13"/>
      <c r="C69" s="45"/>
      <c r="D69" s="84" t="s">
        <v>68</v>
      </c>
      <c r="E69" s="36"/>
      <c r="F69" s="5"/>
      <c r="H69" s="36"/>
      <c r="J69" s="27"/>
      <c r="K69" s="28"/>
      <c r="L69" s="36"/>
      <c r="M69" s="36"/>
    </row>
    <row r="70" spans="2:15" ht="14" thickBot="1" x14ac:dyDescent="0.2">
      <c r="B70" s="13"/>
      <c r="C70" s="45"/>
      <c r="D70" s="84" t="s">
        <v>87</v>
      </c>
      <c r="E70" s="36"/>
      <c r="F70" s="5"/>
      <c r="H70" s="36"/>
      <c r="J70" s="27"/>
      <c r="K70" s="28"/>
      <c r="L70" s="36"/>
      <c r="M70" s="36"/>
    </row>
    <row r="71" spans="2:15" ht="14" thickBot="1" x14ac:dyDescent="0.2">
      <c r="B71" s="102" t="s">
        <v>35</v>
      </c>
      <c r="C71" s="45"/>
      <c r="D71" s="12"/>
      <c r="E71" s="36"/>
      <c r="F71" s="5"/>
      <c r="H71" s="4"/>
      <c r="J71" s="27"/>
      <c r="K71" s="28"/>
      <c r="L71" s="4"/>
      <c r="M71" s="4"/>
    </row>
    <row r="72" spans="2:15" x14ac:dyDescent="0.15">
      <c r="B72" s="8" t="s">
        <v>5</v>
      </c>
      <c r="C72" s="46">
        <f>C60</f>
        <v>500000</v>
      </c>
      <c r="D72" s="12"/>
      <c r="E72" s="108"/>
      <c r="F72" s="5"/>
      <c r="H72" s="4"/>
      <c r="J72" s="27"/>
      <c r="K72" s="28"/>
      <c r="L72" s="4"/>
      <c r="M72" s="4"/>
    </row>
    <row r="73" spans="2:15" x14ac:dyDescent="0.15">
      <c r="B73" s="8" t="s">
        <v>8</v>
      </c>
      <c r="C73" s="47">
        <f>C32</f>
        <v>2.5000000000000001E-3</v>
      </c>
      <c r="D73" s="12"/>
      <c r="E73" s="107"/>
      <c r="F73" s="5"/>
      <c r="H73" s="4"/>
      <c r="J73" s="27"/>
      <c r="K73" s="28"/>
      <c r="L73" s="4"/>
      <c r="M73" s="4"/>
    </row>
    <row r="74" spans="2:15" x14ac:dyDescent="0.15">
      <c r="B74" s="13" t="s">
        <v>14</v>
      </c>
      <c r="C74" s="50">
        <f>15*12</f>
        <v>180</v>
      </c>
      <c r="D74" s="40" t="s">
        <v>23</v>
      </c>
      <c r="E74" s="36"/>
      <c r="F74" s="5"/>
      <c r="H74" s="4"/>
      <c r="J74" s="27"/>
      <c r="K74" s="28"/>
      <c r="L74" s="4"/>
      <c r="M74" s="4"/>
    </row>
    <row r="75" spans="2:15" x14ac:dyDescent="0.15">
      <c r="B75" s="8" t="s">
        <v>9</v>
      </c>
      <c r="C75" s="49">
        <v>0</v>
      </c>
      <c r="D75" s="36"/>
      <c r="E75" s="36"/>
      <c r="F75" s="5"/>
      <c r="H75" s="4"/>
      <c r="J75" s="27"/>
      <c r="K75" s="28"/>
      <c r="L75" s="4"/>
      <c r="M75" s="4"/>
    </row>
    <row r="76" spans="2:15" x14ac:dyDescent="0.15">
      <c r="B76" s="13" t="s">
        <v>6</v>
      </c>
      <c r="C76" s="45">
        <f>PMT(C73,C74,C72)</f>
        <v>-3452.9082013899501</v>
      </c>
      <c r="D76" s="30" t="s">
        <v>10</v>
      </c>
      <c r="E76" s="36"/>
      <c r="F76" s="5"/>
      <c r="H76" s="4"/>
      <c r="J76" s="27"/>
      <c r="K76" s="28"/>
      <c r="L76" s="4"/>
      <c r="M76" s="4"/>
    </row>
    <row r="77" spans="2:15" x14ac:dyDescent="0.15">
      <c r="B77" s="3"/>
      <c r="C77" s="36"/>
      <c r="D77" s="85" t="s">
        <v>59</v>
      </c>
      <c r="E77" s="36"/>
      <c r="F77" s="5"/>
      <c r="H77" s="4"/>
      <c r="J77" s="27"/>
      <c r="K77" s="28"/>
      <c r="L77" s="4"/>
      <c r="M77" s="4"/>
    </row>
    <row r="78" spans="2:15" ht="14" thickBot="1" x14ac:dyDescent="0.2">
      <c r="B78" s="13"/>
      <c r="C78" s="23"/>
      <c r="D78" s="79" t="s">
        <v>58</v>
      </c>
      <c r="E78" s="36"/>
      <c r="F78" s="5"/>
      <c r="H78" s="4"/>
      <c r="J78" s="27"/>
      <c r="K78" s="28"/>
      <c r="L78" s="4"/>
      <c r="M78" s="4"/>
    </row>
    <row r="79" spans="2:15" ht="14" thickBot="1" x14ac:dyDescent="0.2">
      <c r="B79" s="102" t="s">
        <v>36</v>
      </c>
      <c r="C79" s="23"/>
      <c r="D79" s="12"/>
      <c r="E79" s="36"/>
      <c r="F79" s="5"/>
      <c r="H79" s="4"/>
      <c r="J79" s="27"/>
      <c r="K79" s="28"/>
      <c r="L79" s="4"/>
      <c r="M79" s="4"/>
    </row>
    <row r="80" spans="2:15" x14ac:dyDescent="0.15">
      <c r="B80" s="13"/>
      <c r="C80" s="85" t="s">
        <v>72</v>
      </c>
      <c r="D80" s="12"/>
      <c r="E80" s="36"/>
      <c r="F80" s="5"/>
      <c r="H80" s="36"/>
      <c r="J80" s="27"/>
      <c r="K80" s="28"/>
      <c r="L80" s="36"/>
      <c r="M80" s="36"/>
    </row>
    <row r="81" spans="2:17" x14ac:dyDescent="0.15">
      <c r="B81" s="13"/>
      <c r="C81" s="36"/>
      <c r="D81" s="12"/>
      <c r="E81" s="36"/>
      <c r="F81" s="5"/>
      <c r="H81" s="36"/>
      <c r="J81" s="27"/>
      <c r="K81" s="28"/>
      <c r="L81" s="36"/>
      <c r="M81" s="36"/>
    </row>
    <row r="82" spans="2:17" x14ac:dyDescent="0.15">
      <c r="B82" s="13" t="s">
        <v>5</v>
      </c>
      <c r="C82" s="45">
        <f>PV(C83,C84,C86,C85)</f>
        <v>432405.69706897903</v>
      </c>
      <c r="D82" s="30" t="s">
        <v>11</v>
      </c>
      <c r="E82" s="36"/>
      <c r="F82" s="5"/>
      <c r="H82" s="4"/>
      <c r="J82" s="27"/>
      <c r="K82" s="28"/>
      <c r="L82" s="4"/>
      <c r="M82" s="4"/>
    </row>
    <row r="83" spans="2:17" ht="15" customHeight="1" x14ac:dyDescent="0.15">
      <c r="B83" s="8" t="s">
        <v>8</v>
      </c>
      <c r="C83" s="47">
        <f>C32</f>
        <v>2.5000000000000001E-3</v>
      </c>
      <c r="D83" s="12"/>
      <c r="E83" s="36"/>
      <c r="F83" s="5"/>
      <c r="H83" s="4"/>
    </row>
    <row r="84" spans="2:17" x14ac:dyDescent="0.15">
      <c r="B84" s="42" t="s">
        <v>14</v>
      </c>
      <c r="C84" s="51">
        <f>360-72</f>
        <v>288</v>
      </c>
      <c r="D84" s="40" t="s">
        <v>60</v>
      </c>
      <c r="E84" s="36"/>
      <c r="F84" s="5"/>
      <c r="H84" s="4"/>
    </row>
    <row r="85" spans="2:17" x14ac:dyDescent="0.15">
      <c r="B85" s="8" t="s">
        <v>9</v>
      </c>
      <c r="C85" s="49">
        <v>0</v>
      </c>
      <c r="D85" s="12"/>
      <c r="E85" s="36"/>
      <c r="F85" s="5"/>
      <c r="H85" s="4"/>
    </row>
    <row r="86" spans="2:17" x14ac:dyDescent="0.15">
      <c r="B86" s="25" t="s">
        <v>6</v>
      </c>
      <c r="C86" s="45">
        <f>C35</f>
        <v>-2108.0201686472524</v>
      </c>
      <c r="D86" s="36" t="s">
        <v>2</v>
      </c>
      <c r="E86" s="36"/>
      <c r="F86" s="5"/>
      <c r="H86" s="4"/>
    </row>
    <row r="87" spans="2:17" x14ac:dyDescent="0.15">
      <c r="B87" s="13"/>
      <c r="C87" s="45"/>
      <c r="D87" s="12"/>
      <c r="E87" s="36"/>
      <c r="F87" s="5"/>
      <c r="H87" s="4"/>
    </row>
    <row r="88" spans="2:17" x14ac:dyDescent="0.15">
      <c r="B88" s="13"/>
      <c r="C88" s="77" t="s">
        <v>64</v>
      </c>
      <c r="D88" s="12"/>
      <c r="E88" s="36"/>
      <c r="F88" s="5"/>
      <c r="H88" s="36"/>
    </row>
    <row r="89" spans="2:17" x14ac:dyDescent="0.15">
      <c r="B89" s="13" t="s">
        <v>19</v>
      </c>
      <c r="C89" s="45">
        <v>50000</v>
      </c>
      <c r="D89" s="12"/>
      <c r="E89" s="36"/>
      <c r="F89" s="5"/>
      <c r="H89" s="36"/>
    </row>
    <row r="90" spans="2:17" x14ac:dyDescent="0.15">
      <c r="B90" s="13" t="s">
        <v>5</v>
      </c>
      <c r="C90" s="45">
        <f>C82-C89</f>
        <v>382405.69706897903</v>
      </c>
      <c r="D90" s="40" t="s">
        <v>37</v>
      </c>
      <c r="E90" s="36"/>
      <c r="F90" s="5"/>
      <c r="H90" s="4"/>
    </row>
    <row r="91" spans="2:17" x14ac:dyDescent="0.15">
      <c r="B91" s="8" t="s">
        <v>8</v>
      </c>
      <c r="C91" s="47">
        <f>C32</f>
        <v>2.5000000000000001E-3</v>
      </c>
      <c r="D91" s="12"/>
      <c r="E91" s="36"/>
      <c r="F91" s="5"/>
      <c r="H91" s="4"/>
    </row>
    <row r="92" spans="2:17" x14ac:dyDescent="0.15">
      <c r="B92" s="13" t="s">
        <v>14</v>
      </c>
      <c r="C92" s="51">
        <f>NPER(C91,C96,C90,C95)</f>
        <v>241.99979330562627</v>
      </c>
      <c r="D92" s="30" t="s">
        <v>61</v>
      </c>
      <c r="E92" s="40"/>
      <c r="F92" s="5"/>
      <c r="H92" s="4"/>
    </row>
    <row r="93" spans="2:17" x14ac:dyDescent="0.15">
      <c r="B93" s="13" t="s">
        <v>22</v>
      </c>
      <c r="C93" s="51">
        <f>C84-C92</f>
        <v>46.00020669437373</v>
      </c>
      <c r="D93" s="30" t="s">
        <v>62</v>
      </c>
      <c r="E93" s="40"/>
      <c r="F93" s="5"/>
      <c r="H93" s="36"/>
    </row>
    <row r="94" spans="2:17" x14ac:dyDescent="0.15">
      <c r="B94" s="42" t="s">
        <v>16</v>
      </c>
      <c r="C94" s="67" t="str">
        <f>INT(C93/12)&amp;" yrs and "&amp;ROUND(MOD(C93,12),2)&amp;" months"</f>
        <v>3 yrs and 10 months</v>
      </c>
      <c r="D94" s="83" t="s">
        <v>73</v>
      </c>
      <c r="E94" s="53"/>
      <c r="F94" s="5"/>
      <c r="H94" s="36"/>
    </row>
    <row r="95" spans="2:17" x14ac:dyDescent="0.15">
      <c r="B95" s="8" t="s">
        <v>9</v>
      </c>
      <c r="C95" s="49">
        <v>0</v>
      </c>
      <c r="D95" s="12"/>
      <c r="E95" s="36"/>
      <c r="F95" s="5"/>
      <c r="H95" s="4"/>
      <c r="J95" s="4"/>
      <c r="K95" s="4"/>
      <c r="L95" s="4"/>
      <c r="M95" s="4"/>
      <c r="N95" s="4"/>
      <c r="O95" s="4"/>
      <c r="P95" s="4"/>
      <c r="Q95" s="4"/>
    </row>
    <row r="96" spans="2:17" x14ac:dyDescent="0.15">
      <c r="B96" s="25" t="s">
        <v>6</v>
      </c>
      <c r="C96" s="45">
        <f>C86</f>
        <v>-2108.0201686472524</v>
      </c>
      <c r="D96" s="12"/>
      <c r="E96" s="36"/>
      <c r="F96" s="5"/>
      <c r="H96" s="4"/>
      <c r="J96" s="4"/>
      <c r="K96" s="4"/>
      <c r="L96" s="4"/>
      <c r="M96" s="4"/>
      <c r="N96" s="4"/>
      <c r="O96" s="4"/>
      <c r="P96" s="4"/>
      <c r="Q96" s="4"/>
    </row>
    <row r="97" spans="2:17" ht="14" thickBot="1" x14ac:dyDescent="0.2">
      <c r="B97" s="17"/>
      <c r="C97" s="31"/>
      <c r="D97" s="14"/>
      <c r="E97" s="6"/>
      <c r="F97" s="7"/>
      <c r="H97" s="4"/>
      <c r="J97" s="4"/>
      <c r="K97" s="4"/>
      <c r="L97" s="4"/>
      <c r="M97" s="4"/>
      <c r="N97" s="4"/>
      <c r="O97" s="4"/>
      <c r="P97" s="4"/>
      <c r="Q97" s="4"/>
    </row>
    <row r="98" spans="2:17" ht="14" thickBot="1" x14ac:dyDescent="0.2">
      <c r="B98" s="13"/>
      <c r="C98" s="23"/>
      <c r="D98" s="12"/>
      <c r="E98" s="36"/>
      <c r="F98" s="36"/>
      <c r="G98" s="36"/>
      <c r="H98" s="4"/>
      <c r="J98" s="4"/>
      <c r="K98" s="4"/>
      <c r="L98" s="4"/>
      <c r="M98" s="22"/>
      <c r="N98" s="4"/>
      <c r="O98" s="4"/>
      <c r="P98" s="4"/>
      <c r="Q98" s="4"/>
    </row>
    <row r="99" spans="2:17" ht="14" thickBot="1" x14ac:dyDescent="0.2">
      <c r="B99" s="35" t="s">
        <v>107</v>
      </c>
      <c r="C99" s="1"/>
      <c r="D99" s="1"/>
      <c r="E99" s="1"/>
      <c r="F99" s="2"/>
      <c r="G99" s="36"/>
      <c r="H99" s="4"/>
      <c r="J99" s="4"/>
      <c r="K99" s="4"/>
      <c r="L99" s="4"/>
      <c r="M99" s="22"/>
      <c r="N99" s="4"/>
      <c r="O99" s="4"/>
      <c r="P99" s="4"/>
      <c r="Q99" s="4"/>
    </row>
    <row r="100" spans="2:17" x14ac:dyDescent="0.15">
      <c r="B100" s="129"/>
      <c r="C100" s="137" t="s">
        <v>88</v>
      </c>
      <c r="D100" s="137" t="s">
        <v>89</v>
      </c>
      <c r="E100" s="138" t="s">
        <v>90</v>
      </c>
      <c r="F100" s="139"/>
      <c r="G100" s="36"/>
      <c r="H100" s="4"/>
      <c r="J100" s="4"/>
      <c r="K100" s="4"/>
      <c r="L100" s="4"/>
      <c r="M100" s="22"/>
      <c r="N100" s="4"/>
      <c r="O100" s="4"/>
      <c r="P100" s="4"/>
      <c r="Q100" s="4"/>
    </row>
    <row r="101" spans="2:17" s="24" customFormat="1" x14ac:dyDescent="0.15">
      <c r="B101" s="130" t="s">
        <v>13</v>
      </c>
      <c r="C101" s="123" t="s">
        <v>91</v>
      </c>
      <c r="D101" s="121" t="s">
        <v>93</v>
      </c>
      <c r="E101" s="121" t="s">
        <v>92</v>
      </c>
      <c r="F101" s="87"/>
      <c r="M101" s="89"/>
    </row>
    <row r="102" spans="2:17" s="24" customFormat="1" x14ac:dyDescent="0.15">
      <c r="B102" s="130" t="s">
        <v>7</v>
      </c>
      <c r="C102" s="131" t="s">
        <v>94</v>
      </c>
      <c r="D102" s="121" t="s">
        <v>95</v>
      </c>
      <c r="E102" s="121" t="s">
        <v>96</v>
      </c>
      <c r="F102" s="87"/>
      <c r="M102" s="89"/>
    </row>
    <row r="103" spans="2:17" s="24" customFormat="1" x14ac:dyDescent="0.15">
      <c r="B103" s="130" t="s">
        <v>100</v>
      </c>
      <c r="C103" s="131" t="s">
        <v>97</v>
      </c>
      <c r="D103" s="121" t="s">
        <v>95</v>
      </c>
      <c r="E103" s="121" t="s">
        <v>98</v>
      </c>
      <c r="F103" s="87"/>
      <c r="M103" s="89"/>
    </row>
    <row r="104" spans="2:17" s="24" customFormat="1" ht="14" x14ac:dyDescent="0.15">
      <c r="B104" s="130" t="s">
        <v>101</v>
      </c>
      <c r="C104" s="132" t="s">
        <v>114</v>
      </c>
      <c r="D104" s="124" t="s">
        <v>110</v>
      </c>
      <c r="E104" s="121" t="s">
        <v>99</v>
      </c>
      <c r="F104" s="87"/>
      <c r="M104" s="89"/>
    </row>
    <row r="105" spans="2:17" s="24" customFormat="1" x14ac:dyDescent="0.15">
      <c r="B105" s="130" t="s">
        <v>36</v>
      </c>
      <c r="C105" s="123" t="s">
        <v>108</v>
      </c>
      <c r="D105" s="121" t="s">
        <v>93</v>
      </c>
      <c r="E105" s="121" t="s">
        <v>98</v>
      </c>
      <c r="F105" s="87"/>
      <c r="M105" s="89"/>
    </row>
    <row r="106" spans="2:17" s="24" customFormat="1" ht="14" x14ac:dyDescent="0.15">
      <c r="B106" s="133" t="s">
        <v>102</v>
      </c>
      <c r="C106" s="126" t="s">
        <v>109</v>
      </c>
      <c r="D106" s="124" t="s">
        <v>111</v>
      </c>
      <c r="E106" s="121" t="s">
        <v>96</v>
      </c>
      <c r="F106" s="87"/>
      <c r="M106" s="89"/>
    </row>
    <row r="107" spans="2:17" s="24" customFormat="1" x14ac:dyDescent="0.15">
      <c r="B107" s="133" t="s">
        <v>103</v>
      </c>
      <c r="C107" s="123" t="s">
        <v>112</v>
      </c>
      <c r="D107" s="121" t="s">
        <v>95</v>
      </c>
      <c r="E107" s="121" t="s">
        <v>98</v>
      </c>
      <c r="F107" s="87"/>
      <c r="M107" s="89"/>
    </row>
    <row r="108" spans="2:17" s="24" customFormat="1" x14ac:dyDescent="0.15">
      <c r="B108" s="130" t="s">
        <v>104</v>
      </c>
      <c r="C108" s="123" t="s">
        <v>113</v>
      </c>
      <c r="D108" s="121" t="s">
        <v>93</v>
      </c>
      <c r="E108" s="121" t="s">
        <v>98</v>
      </c>
      <c r="F108" s="87"/>
      <c r="M108" s="89"/>
    </row>
    <row r="109" spans="2:17" s="24" customFormat="1" x14ac:dyDescent="0.15">
      <c r="B109" s="130" t="s">
        <v>105</v>
      </c>
      <c r="C109" s="123" t="s">
        <v>117</v>
      </c>
      <c r="D109" s="121" t="s">
        <v>93</v>
      </c>
      <c r="E109" s="121" t="s">
        <v>96</v>
      </c>
      <c r="F109" s="87"/>
      <c r="M109" s="89"/>
    </row>
    <row r="110" spans="2:17" s="24" customFormat="1" x14ac:dyDescent="0.15">
      <c r="B110" s="130" t="s">
        <v>106</v>
      </c>
      <c r="C110" s="127" t="s">
        <v>115</v>
      </c>
      <c r="D110" s="128" t="s">
        <v>116</v>
      </c>
      <c r="E110" s="121" t="s">
        <v>96</v>
      </c>
      <c r="F110" s="87"/>
      <c r="M110" s="52"/>
    </row>
    <row r="111" spans="2:17" s="24" customFormat="1" ht="14" thickBot="1" x14ac:dyDescent="0.2">
      <c r="B111" s="134"/>
      <c r="C111" s="135"/>
      <c r="D111" s="136"/>
      <c r="E111" s="136"/>
      <c r="F111" s="88"/>
      <c r="M111" s="52"/>
    </row>
    <row r="112" spans="2:17" s="24" customFormat="1" x14ac:dyDescent="0.15">
      <c r="B112" s="122"/>
      <c r="C112" s="125"/>
      <c r="D112" s="175"/>
      <c r="E112" s="175"/>
      <c r="M112" s="52"/>
    </row>
    <row r="113" spans="2:13" s="24" customFormat="1" ht="14" thickBot="1" x14ac:dyDescent="0.2">
      <c r="B113" s="54"/>
      <c r="M113" s="52"/>
    </row>
    <row r="114" spans="2:13" s="24" customFormat="1" ht="14" thickBot="1" x14ac:dyDescent="0.2">
      <c r="B114" s="35" t="s">
        <v>38</v>
      </c>
      <c r="C114" s="163"/>
      <c r="D114" s="163"/>
      <c r="E114" s="163"/>
      <c r="F114" s="164"/>
      <c r="M114" s="52"/>
    </row>
    <row r="115" spans="2:13" s="24" customFormat="1" x14ac:dyDescent="0.15">
      <c r="B115" s="165"/>
      <c r="F115" s="87"/>
      <c r="M115" s="52"/>
    </row>
    <row r="116" spans="2:13" s="24" customFormat="1" x14ac:dyDescent="0.15">
      <c r="B116" s="165"/>
      <c r="C116" s="144" t="s">
        <v>155</v>
      </c>
      <c r="F116" s="87"/>
      <c r="M116" s="52"/>
    </row>
    <row r="117" spans="2:13" s="24" customFormat="1" x14ac:dyDescent="0.15">
      <c r="B117" s="166"/>
      <c r="F117" s="87"/>
    </row>
    <row r="118" spans="2:13" s="24" customFormat="1" x14ac:dyDescent="0.15">
      <c r="B118" s="166"/>
      <c r="C118" s="83" t="s">
        <v>152</v>
      </c>
      <c r="F118" s="87"/>
    </row>
    <row r="119" spans="2:13" s="24" customFormat="1" x14ac:dyDescent="0.15">
      <c r="B119" s="166"/>
      <c r="F119" s="87"/>
    </row>
    <row r="120" spans="2:13" s="24" customFormat="1" ht="29" customHeight="1" x14ac:dyDescent="0.15">
      <c r="B120" s="141" t="s">
        <v>13</v>
      </c>
      <c r="C120" s="140" t="s">
        <v>120</v>
      </c>
      <c r="F120" s="87"/>
    </row>
    <row r="121" spans="2:13" s="24" customFormat="1" x14ac:dyDescent="0.15">
      <c r="B121" s="166"/>
      <c r="C121" s="154">
        <f>132733</f>
        <v>132733</v>
      </c>
      <c r="D121" s="56" t="s">
        <v>121</v>
      </c>
      <c r="E121" s="116"/>
      <c r="F121" s="87"/>
    </row>
    <row r="122" spans="2:13" s="24" customFormat="1" x14ac:dyDescent="0.15">
      <c r="B122" s="166"/>
      <c r="C122" s="155">
        <v>126385</v>
      </c>
      <c r="D122" s="145" t="s">
        <v>122</v>
      </c>
      <c r="F122" s="87"/>
    </row>
    <row r="123" spans="2:13" s="24" customFormat="1" x14ac:dyDescent="0.15">
      <c r="B123" s="166"/>
      <c r="C123" s="156">
        <f>C121/C122</f>
        <v>1.0502274795268425</v>
      </c>
      <c r="D123" s="117" t="s">
        <v>119</v>
      </c>
      <c r="E123" s="117"/>
      <c r="F123" s="87"/>
    </row>
    <row r="124" spans="2:13" s="24" customFormat="1" x14ac:dyDescent="0.15">
      <c r="B124" s="166"/>
      <c r="C124" s="83" t="s">
        <v>135</v>
      </c>
      <c r="F124" s="87"/>
    </row>
    <row r="125" spans="2:13" s="24" customFormat="1" x14ac:dyDescent="0.15">
      <c r="B125" s="166"/>
      <c r="C125" s="83"/>
      <c r="F125" s="87"/>
    </row>
    <row r="126" spans="2:13" s="24" customFormat="1" ht="42" x14ac:dyDescent="0.15">
      <c r="B126" s="141" t="s">
        <v>7</v>
      </c>
      <c r="C126" s="140" t="s">
        <v>123</v>
      </c>
      <c r="D126" s="140" t="s">
        <v>185</v>
      </c>
      <c r="E126" s="140"/>
      <c r="F126" s="167"/>
    </row>
    <row r="127" spans="2:13" s="24" customFormat="1" x14ac:dyDescent="0.15">
      <c r="B127" s="166"/>
      <c r="C127" s="140"/>
      <c r="D127" s="140"/>
      <c r="E127" s="140"/>
      <c r="F127" s="167"/>
    </row>
    <row r="128" spans="2:13" s="24" customFormat="1" ht="14" x14ac:dyDescent="0.15">
      <c r="B128" s="166"/>
      <c r="C128" s="57">
        <v>93404</v>
      </c>
      <c r="D128" s="140" t="s">
        <v>187</v>
      </c>
      <c r="E128" s="140"/>
      <c r="F128" s="167"/>
    </row>
    <row r="129" spans="2:6" s="24" customFormat="1" ht="14" x14ac:dyDescent="0.15">
      <c r="B129" s="166"/>
      <c r="C129" s="173">
        <v>503</v>
      </c>
      <c r="D129" s="140" t="s">
        <v>186</v>
      </c>
      <c r="E129" s="140"/>
      <c r="F129" s="167"/>
    </row>
    <row r="130" spans="2:6" s="24" customFormat="1" ht="14" x14ac:dyDescent="0.15">
      <c r="B130" s="166"/>
      <c r="C130" s="162">
        <f>C128/C129</f>
        <v>185.6938369781312</v>
      </c>
      <c r="D130" s="146" t="s">
        <v>188</v>
      </c>
      <c r="E130" s="140"/>
      <c r="F130" s="167"/>
    </row>
    <row r="131" spans="2:6" s="24" customFormat="1" x14ac:dyDescent="0.15">
      <c r="B131" s="166"/>
      <c r="C131" s="140"/>
      <c r="D131" s="140"/>
      <c r="E131" s="140"/>
      <c r="F131" s="167"/>
    </row>
    <row r="132" spans="2:6" s="24" customFormat="1" ht="14" x14ac:dyDescent="0.15">
      <c r="B132" s="166"/>
      <c r="C132" s="150">
        <v>3540</v>
      </c>
      <c r="D132" s="146" t="s">
        <v>136</v>
      </c>
      <c r="E132" s="140"/>
      <c r="F132" s="167"/>
    </row>
    <row r="133" spans="2:6" s="24" customFormat="1" x14ac:dyDescent="0.15">
      <c r="B133" s="166"/>
      <c r="C133" s="140"/>
      <c r="D133" s="140"/>
      <c r="E133" s="140"/>
      <c r="F133" s="167"/>
    </row>
    <row r="134" spans="2:6" s="24" customFormat="1" ht="54" customHeight="1" x14ac:dyDescent="0.15">
      <c r="B134" s="166"/>
      <c r="C134" s="176" t="s">
        <v>159</v>
      </c>
      <c r="D134" s="176"/>
      <c r="E134" s="140"/>
      <c r="F134" s="167"/>
    </row>
    <row r="135" spans="2:6" s="24" customFormat="1" x14ac:dyDescent="0.15">
      <c r="B135" s="166"/>
      <c r="C135" s="176" t="s">
        <v>160</v>
      </c>
      <c r="D135" s="176"/>
      <c r="E135" s="140"/>
      <c r="F135" s="167"/>
    </row>
    <row r="136" spans="2:6" s="24" customFormat="1" ht="12.75" customHeight="1" x14ac:dyDescent="0.15">
      <c r="B136" s="166"/>
      <c r="C136" s="176"/>
      <c r="D136" s="176"/>
      <c r="E136" s="140"/>
      <c r="F136" s="167"/>
    </row>
    <row r="137" spans="2:6" s="24" customFormat="1" x14ac:dyDescent="0.15">
      <c r="B137" s="166"/>
      <c r="C137" s="176"/>
      <c r="D137" s="176"/>
      <c r="F137" s="87"/>
    </row>
    <row r="138" spans="2:6" s="24" customFormat="1" x14ac:dyDescent="0.15">
      <c r="B138" s="166"/>
      <c r="C138" s="140"/>
      <c r="D138" s="140"/>
      <c r="F138" s="87"/>
    </row>
    <row r="139" spans="2:6" s="24" customFormat="1" ht="42" x14ac:dyDescent="0.15">
      <c r="B139" s="141" t="s">
        <v>100</v>
      </c>
      <c r="C139" s="147" t="s">
        <v>124</v>
      </c>
      <c r="D139" s="140" t="s">
        <v>125</v>
      </c>
      <c r="E139" s="140"/>
      <c r="F139" s="167"/>
    </row>
    <row r="140" spans="2:6" s="24" customFormat="1" x14ac:dyDescent="0.15">
      <c r="B140" s="141"/>
      <c r="C140" s="147"/>
      <c r="D140" s="140"/>
      <c r="E140" s="140"/>
      <c r="F140" s="167"/>
    </row>
    <row r="141" spans="2:6" s="24" customFormat="1" ht="28" x14ac:dyDescent="0.15">
      <c r="B141" s="141" t="s">
        <v>101</v>
      </c>
      <c r="C141" s="140" t="s">
        <v>126</v>
      </c>
      <c r="D141" s="140"/>
      <c r="E141" s="140"/>
      <c r="F141" s="167"/>
    </row>
    <row r="142" spans="2:6" s="24" customFormat="1" ht="14" x14ac:dyDescent="0.15">
      <c r="B142" s="166"/>
      <c r="C142" s="171">
        <v>386064</v>
      </c>
      <c r="D142" s="140" t="s">
        <v>138</v>
      </c>
      <c r="E142" s="140"/>
      <c r="F142" s="167"/>
    </row>
    <row r="143" spans="2:6" s="24" customFormat="1" ht="14" x14ac:dyDescent="0.15">
      <c r="B143" s="166"/>
      <c r="C143" s="172">
        <v>233307</v>
      </c>
      <c r="D143" s="140" t="s">
        <v>139</v>
      </c>
      <c r="E143" s="140"/>
      <c r="F143" s="167"/>
    </row>
    <row r="144" spans="2:6" s="24" customFormat="1" ht="14" x14ac:dyDescent="0.15">
      <c r="B144" s="166"/>
      <c r="C144" s="157">
        <f>(C142-C143)/C142</f>
        <v>0.3956779186870571</v>
      </c>
      <c r="D144" s="146" t="s">
        <v>137</v>
      </c>
      <c r="E144" s="140"/>
      <c r="F144" s="167"/>
    </row>
    <row r="145" spans="2:6" s="24" customFormat="1" x14ac:dyDescent="0.15">
      <c r="B145" s="166"/>
      <c r="C145" s="140"/>
      <c r="D145" s="140"/>
      <c r="E145" s="140"/>
      <c r="F145" s="167"/>
    </row>
    <row r="146" spans="2:6" s="24" customFormat="1" ht="12.75" customHeight="1" x14ac:dyDescent="0.15">
      <c r="B146" s="166"/>
      <c r="F146" s="87"/>
    </row>
    <row r="147" spans="2:6" s="24" customFormat="1" ht="28" x14ac:dyDescent="0.15">
      <c r="B147" s="141" t="s">
        <v>36</v>
      </c>
      <c r="C147" s="148" t="s">
        <v>140</v>
      </c>
      <c r="D147" s="19"/>
      <c r="F147" s="87"/>
    </row>
    <row r="148" spans="2:6" s="24" customFormat="1" x14ac:dyDescent="0.15">
      <c r="B148" s="166"/>
      <c r="F148" s="87"/>
    </row>
    <row r="149" spans="2:6" s="24" customFormat="1" x14ac:dyDescent="0.15">
      <c r="B149" s="166"/>
      <c r="C149" s="57">
        <v>22899</v>
      </c>
      <c r="D149" s="174" t="s">
        <v>141</v>
      </c>
      <c r="F149" s="87"/>
    </row>
    <row r="150" spans="2:6" s="24" customFormat="1" x14ac:dyDescent="0.15">
      <c r="B150" s="166"/>
      <c r="C150" s="153">
        <v>25251</v>
      </c>
      <c r="D150" s="83" t="s">
        <v>127</v>
      </c>
      <c r="F150" s="87"/>
    </row>
    <row r="151" spans="2:6" s="24" customFormat="1" x14ac:dyDescent="0.15">
      <c r="B151" s="166"/>
      <c r="C151" s="158">
        <f>C150+C149</f>
        <v>48150</v>
      </c>
      <c r="D151" s="117" t="s">
        <v>128</v>
      </c>
      <c r="F151" s="87"/>
    </row>
    <row r="152" spans="2:6" s="24" customFormat="1" x14ac:dyDescent="0.15">
      <c r="B152" s="166"/>
      <c r="C152" s="58"/>
      <c r="D152" s="86"/>
      <c r="F152" s="87"/>
    </row>
    <row r="153" spans="2:6" s="24" customFormat="1" ht="28" x14ac:dyDescent="0.15">
      <c r="B153" s="166"/>
      <c r="C153" s="143" t="s">
        <v>143</v>
      </c>
      <c r="F153" s="87"/>
    </row>
    <row r="154" spans="2:6" s="24" customFormat="1" x14ac:dyDescent="0.15">
      <c r="B154" s="166"/>
      <c r="C154" s="57">
        <f>C151</f>
        <v>48150</v>
      </c>
      <c r="D154" s="83" t="s">
        <v>128</v>
      </c>
      <c r="F154" s="87"/>
    </row>
    <row r="155" spans="2:6" s="24" customFormat="1" x14ac:dyDescent="0.15">
      <c r="B155" s="166"/>
      <c r="C155" s="153">
        <f>386064</f>
        <v>386064</v>
      </c>
      <c r="D155" s="83" t="s">
        <v>129</v>
      </c>
      <c r="F155" s="87"/>
    </row>
    <row r="156" spans="2:6" s="24" customFormat="1" x14ac:dyDescent="0.15">
      <c r="B156" s="166"/>
      <c r="C156" s="62">
        <f>C154/C155</f>
        <v>0.12472025363670272</v>
      </c>
      <c r="D156" s="117" t="s">
        <v>142</v>
      </c>
      <c r="F156" s="87"/>
    </row>
    <row r="157" spans="2:6" s="24" customFormat="1" x14ac:dyDescent="0.15">
      <c r="B157" s="166"/>
      <c r="F157" s="87"/>
    </row>
    <row r="158" spans="2:6" s="24" customFormat="1" ht="28" x14ac:dyDescent="0.15">
      <c r="B158" s="142" t="s">
        <v>102</v>
      </c>
      <c r="C158" s="151" t="s">
        <v>153</v>
      </c>
      <c r="F158" s="87"/>
    </row>
    <row r="159" spans="2:6" s="24" customFormat="1" x14ac:dyDescent="0.15">
      <c r="B159" s="166"/>
      <c r="C159" s="57">
        <f>22899</f>
        <v>22899</v>
      </c>
      <c r="D159" s="53" t="s">
        <v>144</v>
      </c>
      <c r="F159" s="87"/>
    </row>
    <row r="160" spans="2:6" s="24" customFormat="1" x14ac:dyDescent="0.15">
      <c r="B160" s="166"/>
      <c r="C160" s="153">
        <v>386064</v>
      </c>
      <c r="D160" s="53" t="s">
        <v>145</v>
      </c>
      <c r="F160" s="87"/>
    </row>
    <row r="161" spans="2:6" s="24" customFormat="1" x14ac:dyDescent="0.15">
      <c r="B161" s="166"/>
      <c r="C161" s="62">
        <f>C159/C160</f>
        <v>5.9313999751336569E-2</v>
      </c>
      <c r="D161" s="117" t="s">
        <v>146</v>
      </c>
      <c r="F161" s="87"/>
    </row>
    <row r="162" spans="2:6" s="24" customFormat="1" x14ac:dyDescent="0.15">
      <c r="B162" s="166"/>
      <c r="F162" s="87"/>
    </row>
    <row r="163" spans="2:6" s="24" customFormat="1" ht="28" x14ac:dyDescent="0.15">
      <c r="B163" s="142" t="s">
        <v>103</v>
      </c>
      <c r="C163" s="149" t="s">
        <v>147</v>
      </c>
      <c r="F163" s="87"/>
    </row>
    <row r="164" spans="2:6" s="24" customFormat="1" x14ac:dyDescent="0.15">
      <c r="B164" s="166"/>
      <c r="C164" s="57">
        <v>21331</v>
      </c>
      <c r="D164" s="53" t="s">
        <v>148</v>
      </c>
      <c r="F164" s="87"/>
    </row>
    <row r="165" spans="2:6" s="24" customFormat="1" x14ac:dyDescent="0.15">
      <c r="B165" s="166"/>
      <c r="C165" s="153">
        <v>386064</v>
      </c>
      <c r="D165" s="53" t="s">
        <v>149</v>
      </c>
      <c r="F165" s="87"/>
    </row>
    <row r="166" spans="2:6" s="24" customFormat="1" x14ac:dyDescent="0.15">
      <c r="B166" s="166"/>
      <c r="C166" s="62">
        <f>C164/C165</f>
        <v>5.5252496995316841E-2</v>
      </c>
      <c r="D166" s="117" t="s">
        <v>150</v>
      </c>
      <c r="F166" s="87"/>
    </row>
    <row r="167" spans="2:6" s="24" customFormat="1" x14ac:dyDescent="0.15">
      <c r="B167" s="166"/>
      <c r="F167" s="87"/>
    </row>
    <row r="168" spans="2:6" s="24" customFormat="1" x14ac:dyDescent="0.15">
      <c r="B168" s="166"/>
      <c r="F168" s="87"/>
    </row>
    <row r="169" spans="2:6" s="24" customFormat="1" x14ac:dyDescent="0.15">
      <c r="B169" s="166"/>
      <c r="F169" s="87"/>
    </row>
    <row r="170" spans="2:6" s="24" customFormat="1" x14ac:dyDescent="0.15">
      <c r="B170" s="141" t="s">
        <v>104</v>
      </c>
      <c r="C170" s="117" t="s">
        <v>130</v>
      </c>
      <c r="F170" s="87"/>
    </row>
    <row r="171" spans="2:6" s="24" customFormat="1" x14ac:dyDescent="0.15">
      <c r="B171" s="166"/>
      <c r="C171" s="158">
        <f>363165-233307</f>
        <v>129858</v>
      </c>
      <c r="D171" s="117" t="s">
        <v>156</v>
      </c>
      <c r="F171" s="87"/>
    </row>
    <row r="172" spans="2:6" s="24" customFormat="1" x14ac:dyDescent="0.15">
      <c r="B172" s="166"/>
      <c r="D172" s="19"/>
      <c r="F172" s="87"/>
    </row>
    <row r="173" spans="2:6" s="24" customFormat="1" x14ac:dyDescent="0.15">
      <c r="B173" s="166"/>
      <c r="C173" s="55" t="s">
        <v>131</v>
      </c>
      <c r="F173" s="87"/>
    </row>
    <row r="174" spans="2:6" s="24" customFormat="1" x14ac:dyDescent="0.15">
      <c r="B174" s="34"/>
      <c r="C174" s="57">
        <f>C171</f>
        <v>129858</v>
      </c>
      <c r="D174" s="83" t="s">
        <v>154</v>
      </c>
      <c r="F174" s="87"/>
    </row>
    <row r="175" spans="2:6" s="24" customFormat="1" x14ac:dyDescent="0.15">
      <c r="B175" s="166"/>
      <c r="C175" s="153">
        <f>386064</f>
        <v>386064</v>
      </c>
      <c r="D175" s="83" t="s">
        <v>157</v>
      </c>
      <c r="F175" s="87"/>
    </row>
    <row r="176" spans="2:6" s="24" customFormat="1" x14ac:dyDescent="0.15">
      <c r="B176" s="166"/>
      <c r="C176" s="62">
        <f>C174/C175</f>
        <v>0.33636391893572049</v>
      </c>
      <c r="D176" s="62" t="s">
        <v>158</v>
      </c>
      <c r="F176" s="87"/>
    </row>
    <row r="177" spans="2:6" s="24" customFormat="1" x14ac:dyDescent="0.15">
      <c r="B177" s="166"/>
      <c r="F177" s="87"/>
    </row>
    <row r="178" spans="2:6" s="24" customFormat="1" x14ac:dyDescent="0.15">
      <c r="B178" s="166"/>
      <c r="F178" s="87"/>
    </row>
    <row r="179" spans="2:6" s="24" customFormat="1" x14ac:dyDescent="0.15">
      <c r="B179" s="141" t="s">
        <v>105</v>
      </c>
      <c r="C179" s="55" t="s">
        <v>132</v>
      </c>
      <c r="F179" s="87"/>
    </row>
    <row r="180" spans="2:6" s="24" customFormat="1" x14ac:dyDescent="0.15">
      <c r="B180" s="166"/>
      <c r="C180" s="158">
        <v>66064</v>
      </c>
      <c r="D180" s="65" t="s">
        <v>151</v>
      </c>
      <c r="F180" s="87"/>
    </row>
    <row r="181" spans="2:6" s="24" customFormat="1" x14ac:dyDescent="0.15">
      <c r="B181" s="166"/>
      <c r="D181" s="19"/>
      <c r="F181" s="87"/>
    </row>
    <row r="182" spans="2:6" s="24" customFormat="1" x14ac:dyDescent="0.15">
      <c r="B182" s="166"/>
      <c r="F182" s="87"/>
    </row>
    <row r="183" spans="2:6" s="24" customFormat="1" x14ac:dyDescent="0.15">
      <c r="B183" s="141" t="s">
        <v>106</v>
      </c>
      <c r="C183" s="59" t="s">
        <v>133</v>
      </c>
      <c r="D183" s="83" t="s">
        <v>173</v>
      </c>
      <c r="F183" s="87"/>
    </row>
    <row r="184" spans="2:6" s="24" customFormat="1" x14ac:dyDescent="0.15">
      <c r="B184" s="34"/>
      <c r="C184" s="59"/>
      <c r="D184" s="83" t="s">
        <v>174</v>
      </c>
      <c r="F184" s="87"/>
    </row>
    <row r="185" spans="2:6" s="24" customFormat="1" x14ac:dyDescent="0.15">
      <c r="B185" s="165"/>
      <c r="C185" s="60"/>
      <c r="D185" s="83" t="s">
        <v>161</v>
      </c>
      <c r="F185" s="87"/>
    </row>
    <row r="186" spans="2:6" s="24" customFormat="1" x14ac:dyDescent="0.15">
      <c r="B186" s="166"/>
      <c r="C186" s="152"/>
      <c r="D186" s="86" t="s">
        <v>167</v>
      </c>
      <c r="F186" s="87"/>
    </row>
    <row r="187" spans="2:6" s="24" customFormat="1" x14ac:dyDescent="0.15">
      <c r="B187" s="166"/>
      <c r="D187" s="83" t="s">
        <v>171</v>
      </c>
      <c r="F187" s="87"/>
    </row>
    <row r="188" spans="2:6" s="24" customFormat="1" x14ac:dyDescent="0.15">
      <c r="B188" s="166"/>
      <c r="F188" s="87"/>
    </row>
    <row r="189" spans="2:6" s="24" customFormat="1" x14ac:dyDescent="0.15">
      <c r="B189" s="166"/>
      <c r="C189" s="57">
        <v>22899</v>
      </c>
      <c r="D189" s="83" t="s">
        <v>165</v>
      </c>
      <c r="F189" s="87"/>
    </row>
    <row r="190" spans="2:6" s="24" customFormat="1" x14ac:dyDescent="0.15">
      <c r="B190" s="166"/>
      <c r="C190" s="57">
        <v>25251</v>
      </c>
      <c r="D190" s="86" t="s">
        <v>172</v>
      </c>
      <c r="F190" s="87"/>
    </row>
    <row r="191" spans="2:6" s="24" customFormat="1" x14ac:dyDescent="0.15">
      <c r="B191" s="166"/>
      <c r="C191" s="57">
        <f>-(40140-5096)</f>
        <v>-35044</v>
      </c>
      <c r="D191" s="83" t="s">
        <v>164</v>
      </c>
      <c r="F191" s="87"/>
    </row>
    <row r="192" spans="2:6" s="24" customFormat="1" x14ac:dyDescent="0.15">
      <c r="B192" s="166"/>
      <c r="C192" s="57">
        <f>-(0.1184)*C189</f>
        <v>-2711.2416000000003</v>
      </c>
      <c r="D192" s="83" t="s">
        <v>175</v>
      </c>
      <c r="F192" s="87"/>
    </row>
    <row r="193" spans="2:8" s="24" customFormat="1" x14ac:dyDescent="0.15">
      <c r="B193" s="166"/>
      <c r="C193" s="153">
        <v>13481</v>
      </c>
      <c r="D193" s="83" t="s">
        <v>176</v>
      </c>
      <c r="F193" s="87"/>
    </row>
    <row r="194" spans="2:8" s="24" customFormat="1" x14ac:dyDescent="0.15">
      <c r="B194" s="166"/>
      <c r="C194" s="158">
        <f>SUM(C189:C193)</f>
        <v>23875.758399999999</v>
      </c>
      <c r="D194" s="65" t="s">
        <v>190</v>
      </c>
      <c r="F194" s="87"/>
    </row>
    <row r="195" spans="2:8" s="24" customFormat="1" x14ac:dyDescent="0.15">
      <c r="B195" s="166"/>
      <c r="C195" s="152"/>
      <c r="F195" s="87"/>
    </row>
    <row r="196" spans="2:8" s="24" customFormat="1" x14ac:dyDescent="0.15">
      <c r="B196" s="166"/>
      <c r="C196" s="152"/>
      <c r="F196" s="87"/>
    </row>
    <row r="197" spans="2:8" s="24" customFormat="1" x14ac:dyDescent="0.15">
      <c r="B197" s="166"/>
      <c r="C197" s="152"/>
      <c r="D197" s="83" t="s">
        <v>168</v>
      </c>
      <c r="E197" s="61"/>
      <c r="F197" s="168"/>
    </row>
    <row r="198" spans="2:8" s="24" customFormat="1" x14ac:dyDescent="0.15">
      <c r="B198" s="166"/>
      <c r="C198" s="57">
        <v>66064</v>
      </c>
      <c r="D198" s="83" t="s">
        <v>189</v>
      </c>
      <c r="F198" s="87"/>
    </row>
    <row r="199" spans="2:8" s="24" customFormat="1" x14ac:dyDescent="0.15">
      <c r="B199" s="166"/>
      <c r="C199" s="153">
        <f>-(40140-5096)</f>
        <v>-35044</v>
      </c>
      <c r="D199" s="83" t="s">
        <v>163</v>
      </c>
      <c r="F199" s="87"/>
    </row>
    <row r="200" spans="2:8" s="24" customFormat="1" x14ac:dyDescent="0.15">
      <c r="B200" s="165"/>
      <c r="C200" s="158">
        <f>C199+C198</f>
        <v>31020</v>
      </c>
      <c r="D200" s="117" t="s">
        <v>162</v>
      </c>
      <c r="F200" s="87"/>
    </row>
    <row r="201" spans="2:8" s="24" customFormat="1" x14ac:dyDescent="0.15">
      <c r="B201" s="165"/>
      <c r="C201" s="152"/>
      <c r="D201" s="83" t="s">
        <v>166</v>
      </c>
      <c r="F201" s="87"/>
    </row>
    <row r="202" spans="2:8" s="24" customFormat="1" x14ac:dyDescent="0.15">
      <c r="B202" s="165"/>
      <c r="C202" s="152"/>
      <c r="D202" s="83" t="s">
        <v>191</v>
      </c>
      <c r="F202" s="87"/>
    </row>
    <row r="203" spans="2:8" s="24" customFormat="1" x14ac:dyDescent="0.15">
      <c r="B203" s="34"/>
      <c r="C203" s="152"/>
      <c r="F203" s="87"/>
      <c r="G203" s="61"/>
      <c r="H203" s="61"/>
    </row>
    <row r="204" spans="2:8" s="24" customFormat="1" x14ac:dyDescent="0.15">
      <c r="B204" s="166"/>
      <c r="C204" s="152"/>
      <c r="D204" s="53" t="s">
        <v>169</v>
      </c>
      <c r="F204" s="87"/>
    </row>
    <row r="205" spans="2:8" s="24" customFormat="1" x14ac:dyDescent="0.15">
      <c r="B205" s="166"/>
      <c r="C205" s="152"/>
      <c r="D205" s="53" t="s">
        <v>170</v>
      </c>
      <c r="F205" s="87"/>
    </row>
    <row r="206" spans="2:8" s="24" customFormat="1" x14ac:dyDescent="0.15">
      <c r="B206" s="165"/>
      <c r="C206" s="62"/>
      <c r="D206" s="19"/>
      <c r="F206" s="87"/>
    </row>
    <row r="207" spans="2:8" s="24" customFormat="1" x14ac:dyDescent="0.15">
      <c r="B207" s="34"/>
      <c r="F207" s="87"/>
    </row>
    <row r="208" spans="2:8" s="24" customFormat="1" x14ac:dyDescent="0.15">
      <c r="B208" s="34" t="s">
        <v>134</v>
      </c>
      <c r="C208" s="83" t="s">
        <v>177</v>
      </c>
      <c r="D208" s="83" t="s">
        <v>181</v>
      </c>
      <c r="F208" s="87"/>
    </row>
    <row r="209" spans="2:8" s="24" customFormat="1" x14ac:dyDescent="0.15">
      <c r="B209" s="166"/>
      <c r="C209" s="57">
        <v>24542</v>
      </c>
      <c r="D209" s="56" t="s">
        <v>179</v>
      </c>
      <c r="F209" s="87"/>
    </row>
    <row r="210" spans="2:8" s="24" customFormat="1" x14ac:dyDescent="0.15">
      <c r="B210" s="34"/>
      <c r="C210" s="153">
        <v>386064</v>
      </c>
      <c r="D210" s="159" t="s">
        <v>180</v>
      </c>
      <c r="F210" s="87"/>
    </row>
    <row r="211" spans="2:8" s="24" customFormat="1" x14ac:dyDescent="0.15">
      <c r="B211" s="165"/>
      <c r="C211" s="160">
        <f>(365*C209)/C210</f>
        <v>23.202966347548593</v>
      </c>
      <c r="D211" s="161" t="s">
        <v>178</v>
      </c>
      <c r="F211" s="87"/>
    </row>
    <row r="212" spans="2:8" s="24" customFormat="1" x14ac:dyDescent="0.15">
      <c r="B212" s="165"/>
      <c r="F212" s="87"/>
    </row>
    <row r="213" spans="2:8" s="24" customFormat="1" x14ac:dyDescent="0.15">
      <c r="B213" s="165"/>
      <c r="C213" s="117" t="s">
        <v>182</v>
      </c>
      <c r="F213" s="87"/>
    </row>
    <row r="214" spans="2:8" s="24" customFormat="1" x14ac:dyDescent="0.15">
      <c r="B214" s="165"/>
      <c r="C214" s="57">
        <v>72539</v>
      </c>
      <c r="D214" s="56" t="s">
        <v>183</v>
      </c>
      <c r="F214" s="87"/>
    </row>
    <row r="215" spans="2:8" s="24" customFormat="1" x14ac:dyDescent="0.15">
      <c r="B215" s="165"/>
      <c r="C215" s="153">
        <v>386064</v>
      </c>
      <c r="D215" s="159" t="s">
        <v>180</v>
      </c>
      <c r="F215" s="87"/>
    </row>
    <row r="216" spans="2:8" s="24" customFormat="1" x14ac:dyDescent="0.15">
      <c r="B216" s="165"/>
      <c r="C216" s="160">
        <f>(365*C214)/C215</f>
        <v>68.581206742923456</v>
      </c>
      <c r="D216" s="161" t="s">
        <v>178</v>
      </c>
      <c r="F216" s="87"/>
    </row>
    <row r="217" spans="2:8" s="24" customFormat="1" x14ac:dyDescent="0.15">
      <c r="B217" s="165"/>
      <c r="C217" s="57"/>
      <c r="F217" s="87"/>
    </row>
    <row r="218" spans="2:8" s="24" customFormat="1" x14ac:dyDescent="0.15">
      <c r="B218" s="165"/>
      <c r="C218" s="83" t="s">
        <v>184</v>
      </c>
      <c r="F218" s="87"/>
    </row>
    <row r="219" spans="2:8" ht="14" thickBot="1" x14ac:dyDescent="0.2">
      <c r="B219" s="169"/>
      <c r="C219" s="170"/>
      <c r="D219" s="6"/>
      <c r="E219" s="6"/>
      <c r="F219" s="7"/>
      <c r="G219" s="4"/>
      <c r="H219" s="4"/>
    </row>
    <row r="220" spans="2:8" x14ac:dyDescent="0.15">
      <c r="B220" s="9"/>
      <c r="C220" s="4"/>
      <c r="D220" s="4"/>
      <c r="E220" s="4"/>
      <c r="F220" s="4"/>
      <c r="G220" s="4"/>
      <c r="H220" s="4"/>
    </row>
    <row r="221" spans="2:8" x14ac:dyDescent="0.15">
      <c r="B221" s="9"/>
      <c r="C221" s="20"/>
      <c r="D221" s="4"/>
      <c r="E221" s="4"/>
      <c r="F221" s="4"/>
      <c r="G221" s="4"/>
      <c r="H221" s="4"/>
    </row>
    <row r="222" spans="2:8" x14ac:dyDescent="0.15">
      <c r="B222" s="9"/>
      <c r="C222" s="16"/>
      <c r="D222" s="4"/>
      <c r="E222" s="4"/>
      <c r="F222" s="4"/>
      <c r="G222" s="4"/>
      <c r="H222" s="4"/>
    </row>
    <row r="223" spans="2:8" x14ac:dyDescent="0.15">
      <c r="B223" s="18"/>
      <c r="C223" s="26"/>
      <c r="D223" s="4"/>
      <c r="E223" s="4"/>
      <c r="F223" s="4"/>
      <c r="G223" s="4"/>
      <c r="H223" s="4"/>
    </row>
    <row r="224" spans="2:8" x14ac:dyDescent="0.15">
      <c r="B224" s="4"/>
      <c r="C224" s="4"/>
      <c r="D224" s="4"/>
      <c r="E224" s="4"/>
      <c r="F224" s="4"/>
      <c r="G224" s="4"/>
      <c r="H224" s="4"/>
    </row>
    <row r="225" spans="2:8" x14ac:dyDescent="0.15">
      <c r="B225" s="4"/>
      <c r="C225" s="4"/>
      <c r="D225" s="4"/>
      <c r="E225" s="4"/>
      <c r="F225" s="4"/>
      <c r="G225" s="4"/>
      <c r="H225" s="4"/>
    </row>
    <row r="226" spans="2:8" x14ac:dyDescent="0.15">
      <c r="B226" s="4"/>
      <c r="C226" s="4"/>
      <c r="D226" s="4"/>
      <c r="E226" s="4"/>
      <c r="F226" s="4"/>
      <c r="G226" s="4"/>
      <c r="H226" s="4"/>
    </row>
    <row r="227" spans="2:8" x14ac:dyDescent="0.15">
      <c r="G227" s="4"/>
      <c r="H227" s="4"/>
    </row>
    <row r="228" spans="2:8" x14ac:dyDescent="0.15">
      <c r="G228" s="4"/>
      <c r="H228" s="4"/>
    </row>
    <row r="229" spans="2:8" x14ac:dyDescent="0.15">
      <c r="G229" s="4"/>
      <c r="H229" s="4"/>
    </row>
    <row r="230" spans="2:8" x14ac:dyDescent="0.15">
      <c r="G230" s="4"/>
      <c r="H230" s="4"/>
    </row>
    <row r="231" spans="2:8" x14ac:dyDescent="0.15">
      <c r="G231" s="4"/>
      <c r="H231" s="4"/>
    </row>
    <row r="232" spans="2:8" x14ac:dyDescent="0.15">
      <c r="G232" s="4"/>
      <c r="H232" s="4"/>
    </row>
  </sheetData>
  <mergeCells count="3">
    <mergeCell ref="D112:E112"/>
    <mergeCell ref="C135:D137"/>
    <mergeCell ref="C134:D134"/>
  </mergeCells>
  <phoneticPr fontId="3" type="noConversion"/>
  <pageMargins left="0.5" right="0.5" top="0.5" bottom="0.5" header="0" footer="0"/>
  <pageSetup scale="80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108"/>
  <sheetViews>
    <sheetView showGridLines="0" zoomScale="120" zoomScaleNormal="120" zoomScalePageLayoutView="150" workbookViewId="0">
      <selection activeCell="G6" sqref="G6"/>
    </sheetView>
  </sheetViews>
  <sheetFormatPr baseColWidth="10" defaultColWidth="11" defaultRowHeight="13" x14ac:dyDescent="0.15"/>
  <cols>
    <col min="1" max="1" width="5" customWidth="1"/>
    <col min="2" max="2" width="13.1640625" customWidth="1"/>
    <col min="3" max="3" width="19.1640625" customWidth="1"/>
    <col min="4" max="4" width="15.6640625" customWidth="1"/>
    <col min="5" max="5" width="15.1640625" customWidth="1"/>
    <col min="6" max="6" width="16.1640625" customWidth="1"/>
    <col min="7" max="7" width="13.1640625" customWidth="1"/>
    <col min="8" max="8" width="2.1640625" customWidth="1"/>
    <col min="9" max="9" width="9.5" bestFit="1" customWidth="1"/>
    <col min="10" max="10" width="9.33203125" bestFit="1" customWidth="1"/>
    <col min="11" max="11" width="9.83203125" bestFit="1" customWidth="1"/>
    <col min="13" max="13" width="12.83203125" bestFit="1" customWidth="1"/>
  </cols>
  <sheetData>
    <row r="3" spans="2:14" ht="14" thickBot="1" x14ac:dyDescent="0.2"/>
    <row r="4" spans="2:14" ht="14" thickBot="1" x14ac:dyDescent="0.2">
      <c r="B4" s="113" t="s">
        <v>70</v>
      </c>
    </row>
    <row r="5" spans="2:14" x14ac:dyDescent="0.15">
      <c r="C5" s="29"/>
      <c r="D5" s="32" t="s">
        <v>40</v>
      </c>
      <c r="E5" s="32">
        <v>2000</v>
      </c>
      <c r="I5" s="94"/>
    </row>
    <row r="6" spans="2:14" x14ac:dyDescent="0.15">
      <c r="C6" s="29"/>
      <c r="D6" s="32" t="s">
        <v>118</v>
      </c>
      <c r="E6" s="92">
        <v>0.1</v>
      </c>
      <c r="I6" s="94"/>
    </row>
    <row r="7" spans="2:14" x14ac:dyDescent="0.15">
      <c r="C7" s="29"/>
      <c r="I7" s="94"/>
    </row>
    <row r="8" spans="2:14" x14ac:dyDescent="0.15">
      <c r="C8" s="29"/>
      <c r="E8" s="32" t="s">
        <v>45</v>
      </c>
      <c r="I8" s="94"/>
      <c r="L8" s="32" t="s">
        <v>46</v>
      </c>
    </row>
    <row r="9" spans="2:14" x14ac:dyDescent="0.15">
      <c r="C9" s="29"/>
      <c r="I9" s="94"/>
      <c r="L9" s="32"/>
    </row>
    <row r="10" spans="2:14" ht="14" thickBot="1" x14ac:dyDescent="0.2">
      <c r="B10" s="110" t="s">
        <v>69</v>
      </c>
      <c r="C10" s="91" t="s">
        <v>39</v>
      </c>
      <c r="D10" s="91" t="s">
        <v>41</v>
      </c>
      <c r="E10" s="91" t="s">
        <v>42</v>
      </c>
      <c r="F10" s="91" t="s">
        <v>40</v>
      </c>
      <c r="G10" s="91" t="s">
        <v>43</v>
      </c>
      <c r="H10" s="93"/>
      <c r="I10" s="111" t="s">
        <v>69</v>
      </c>
      <c r="J10" s="91" t="s">
        <v>39</v>
      </c>
      <c r="K10" s="91" t="s">
        <v>41</v>
      </c>
      <c r="L10" s="91" t="s">
        <v>42</v>
      </c>
      <c r="M10" s="91" t="s">
        <v>40</v>
      </c>
      <c r="N10" s="91" t="s">
        <v>43</v>
      </c>
    </row>
    <row r="11" spans="2:14" x14ac:dyDescent="0.15">
      <c r="B11" s="29"/>
      <c r="C11" s="29">
        <v>19</v>
      </c>
      <c r="D11" s="90"/>
      <c r="E11" s="90"/>
      <c r="F11" s="90"/>
      <c r="G11" s="90"/>
      <c r="H11" s="97"/>
      <c r="I11" s="95">
        <v>1</v>
      </c>
      <c r="J11" s="29">
        <v>19</v>
      </c>
      <c r="K11" s="90">
        <v>0</v>
      </c>
      <c r="L11" s="90">
        <v>0</v>
      </c>
      <c r="M11" s="90">
        <f t="shared" ref="M11:M18" si="0">$E$5</f>
        <v>2000</v>
      </c>
      <c r="N11" s="90">
        <f>K11+L11+M11</f>
        <v>2000</v>
      </c>
    </row>
    <row r="12" spans="2:14" x14ac:dyDescent="0.15">
      <c r="B12" s="29"/>
      <c r="C12" s="29">
        <v>20</v>
      </c>
      <c r="D12" s="90"/>
      <c r="E12" s="90"/>
      <c r="F12" s="90"/>
      <c r="G12" s="90"/>
      <c r="H12" s="97"/>
      <c r="I12" s="95">
        <v>2</v>
      </c>
      <c r="J12" s="29">
        <v>20</v>
      </c>
      <c r="K12" s="90">
        <f>N11</f>
        <v>2000</v>
      </c>
      <c r="L12" s="90">
        <f>K12*$E$6</f>
        <v>200</v>
      </c>
      <c r="M12" s="90">
        <f t="shared" si="0"/>
        <v>2000</v>
      </c>
      <c r="N12" s="90">
        <f>K12+L12+M12</f>
        <v>4200</v>
      </c>
    </row>
    <row r="13" spans="2:14" x14ac:dyDescent="0.15">
      <c r="B13" s="29"/>
      <c r="C13" s="29">
        <v>21</v>
      </c>
      <c r="D13" s="90"/>
      <c r="E13" s="90"/>
      <c r="F13" s="90"/>
      <c r="G13" s="90"/>
      <c r="H13" s="97"/>
      <c r="I13" s="95">
        <v>3</v>
      </c>
      <c r="J13" s="29">
        <v>21</v>
      </c>
      <c r="K13" s="90">
        <f>N12</f>
        <v>4200</v>
      </c>
      <c r="L13" s="90">
        <f t="shared" ref="L13:L57" si="1">K13*$E$6</f>
        <v>420</v>
      </c>
      <c r="M13" s="90">
        <f t="shared" si="0"/>
        <v>2000</v>
      </c>
      <c r="N13" s="90">
        <f>K13+L13+M13</f>
        <v>6620</v>
      </c>
    </row>
    <row r="14" spans="2:14" x14ac:dyDescent="0.15">
      <c r="B14" s="29"/>
      <c r="C14" s="29">
        <v>22</v>
      </c>
      <c r="D14" s="90"/>
      <c r="E14" s="90"/>
      <c r="F14" s="90"/>
      <c r="G14" s="90"/>
      <c r="H14" s="97"/>
      <c r="I14" s="95">
        <v>4</v>
      </c>
      <c r="J14" s="29">
        <v>22</v>
      </c>
      <c r="K14" s="90">
        <f>N13</f>
        <v>6620</v>
      </c>
      <c r="L14" s="90">
        <f t="shared" si="1"/>
        <v>662</v>
      </c>
      <c r="M14" s="90">
        <f t="shared" si="0"/>
        <v>2000</v>
      </c>
      <c r="N14" s="90">
        <f t="shared" ref="N14:N57" si="2">K14+L14+M14</f>
        <v>9282</v>
      </c>
    </row>
    <row r="15" spans="2:14" x14ac:dyDescent="0.15">
      <c r="B15" s="29"/>
      <c r="C15" s="29">
        <v>23</v>
      </c>
      <c r="D15" s="90"/>
      <c r="E15" s="90"/>
      <c r="F15" s="90"/>
      <c r="G15" s="90"/>
      <c r="H15" s="97"/>
      <c r="I15" s="95">
        <v>5</v>
      </c>
      <c r="J15" s="29">
        <v>23</v>
      </c>
      <c r="K15" s="90">
        <f t="shared" ref="K15:K57" si="3">N14</f>
        <v>9282</v>
      </c>
      <c r="L15" s="90">
        <f t="shared" si="1"/>
        <v>928.2</v>
      </c>
      <c r="M15" s="90">
        <f t="shared" si="0"/>
        <v>2000</v>
      </c>
      <c r="N15" s="90">
        <f t="shared" si="2"/>
        <v>12210.2</v>
      </c>
    </row>
    <row r="16" spans="2:14" x14ac:dyDescent="0.15">
      <c r="B16" s="29"/>
      <c r="C16" s="29">
        <v>24</v>
      </c>
      <c r="D16" s="90"/>
      <c r="E16" s="90"/>
      <c r="F16" s="90"/>
      <c r="H16" s="97"/>
      <c r="I16" s="95">
        <v>6</v>
      </c>
      <c r="J16" s="29">
        <v>24</v>
      </c>
      <c r="K16" s="90">
        <f t="shared" si="3"/>
        <v>12210.2</v>
      </c>
      <c r="L16" s="90">
        <f t="shared" si="1"/>
        <v>1221.0200000000002</v>
      </c>
      <c r="M16" s="90">
        <f t="shared" si="0"/>
        <v>2000</v>
      </c>
      <c r="N16" s="90">
        <f t="shared" si="2"/>
        <v>15431.220000000001</v>
      </c>
    </row>
    <row r="17" spans="2:14" x14ac:dyDescent="0.15">
      <c r="B17" s="29"/>
      <c r="C17" s="29">
        <v>25</v>
      </c>
      <c r="D17" s="90"/>
      <c r="E17" s="90"/>
      <c r="F17" s="90"/>
      <c r="G17" s="90"/>
      <c r="H17" s="97"/>
      <c r="I17" s="95">
        <v>7</v>
      </c>
      <c r="J17" s="29">
        <v>25</v>
      </c>
      <c r="K17" s="90">
        <f t="shared" si="3"/>
        <v>15431.220000000001</v>
      </c>
      <c r="L17" s="90">
        <f t="shared" si="1"/>
        <v>1543.1220000000003</v>
      </c>
      <c r="M17" s="90">
        <f t="shared" si="0"/>
        <v>2000</v>
      </c>
      <c r="N17" s="90">
        <f t="shared" si="2"/>
        <v>18974.342000000001</v>
      </c>
    </row>
    <row r="18" spans="2:14" x14ac:dyDescent="0.15">
      <c r="B18" s="29">
        <v>1</v>
      </c>
      <c r="C18" s="29">
        <v>26</v>
      </c>
      <c r="D18" s="90">
        <f t="shared" ref="D18:D57" si="4">G17</f>
        <v>0</v>
      </c>
      <c r="E18" s="90">
        <f>D18*$E$6</f>
        <v>0</v>
      </c>
      <c r="F18" s="90">
        <f>$E$5</f>
        <v>2000</v>
      </c>
      <c r="G18" s="90">
        <f t="shared" ref="G18:G57" si="5">D18+E18+F18</f>
        <v>2000</v>
      </c>
      <c r="H18" s="97"/>
      <c r="I18" s="95">
        <v>8</v>
      </c>
      <c r="J18" s="29">
        <v>26</v>
      </c>
      <c r="K18" s="90">
        <f t="shared" si="3"/>
        <v>18974.342000000001</v>
      </c>
      <c r="L18" s="90">
        <f t="shared" si="1"/>
        <v>1897.4342000000001</v>
      </c>
      <c r="M18" s="90">
        <f t="shared" si="0"/>
        <v>2000</v>
      </c>
      <c r="N18" s="90">
        <f t="shared" si="2"/>
        <v>22871.7762</v>
      </c>
    </row>
    <row r="19" spans="2:14" x14ac:dyDescent="0.15">
      <c r="B19" s="29">
        <v>2</v>
      </c>
      <c r="C19" s="29">
        <v>27</v>
      </c>
      <c r="D19" s="90">
        <f t="shared" si="4"/>
        <v>2000</v>
      </c>
      <c r="E19" s="112">
        <f t="shared" ref="E19:E57" si="6">D19*$E$6</f>
        <v>200</v>
      </c>
      <c r="F19" s="112">
        <f t="shared" ref="F19:F57" si="7">$E$5</f>
        <v>2000</v>
      </c>
      <c r="G19" s="90">
        <f t="shared" si="5"/>
        <v>4200</v>
      </c>
      <c r="H19" s="97"/>
      <c r="I19" s="103">
        <v>1</v>
      </c>
      <c r="J19" s="29">
        <v>27</v>
      </c>
      <c r="K19" s="90">
        <f t="shared" si="3"/>
        <v>22871.7762</v>
      </c>
      <c r="L19" s="112">
        <f t="shared" si="1"/>
        <v>2287.1776199999999</v>
      </c>
      <c r="M19" s="90"/>
      <c r="N19" s="90">
        <f t="shared" si="2"/>
        <v>25158.953819999999</v>
      </c>
    </row>
    <row r="20" spans="2:14" x14ac:dyDescent="0.15">
      <c r="B20" s="29">
        <v>3</v>
      </c>
      <c r="C20" s="29">
        <v>28</v>
      </c>
      <c r="D20" s="90">
        <f t="shared" si="4"/>
        <v>4200</v>
      </c>
      <c r="E20" s="90">
        <f t="shared" si="6"/>
        <v>420</v>
      </c>
      <c r="F20" s="90">
        <f t="shared" si="7"/>
        <v>2000</v>
      </c>
      <c r="G20" s="90">
        <f t="shared" si="5"/>
        <v>6620</v>
      </c>
      <c r="H20" s="97"/>
      <c r="I20" s="95">
        <v>2</v>
      </c>
      <c r="J20" s="29">
        <v>28</v>
      </c>
      <c r="K20" s="90">
        <f t="shared" si="3"/>
        <v>25158.953819999999</v>
      </c>
      <c r="L20" s="90">
        <f t="shared" si="1"/>
        <v>2515.8953820000002</v>
      </c>
      <c r="M20" s="90"/>
      <c r="N20" s="90">
        <f t="shared" si="2"/>
        <v>27674.849201999998</v>
      </c>
    </row>
    <row r="21" spans="2:14" x14ac:dyDescent="0.15">
      <c r="B21" s="29">
        <v>4</v>
      </c>
      <c r="C21" s="29">
        <v>29</v>
      </c>
      <c r="D21" s="90">
        <f t="shared" si="4"/>
        <v>6620</v>
      </c>
      <c r="E21" s="90">
        <f t="shared" si="6"/>
        <v>662</v>
      </c>
      <c r="F21" s="90">
        <f t="shared" si="7"/>
        <v>2000</v>
      </c>
      <c r="G21" s="90">
        <f t="shared" si="5"/>
        <v>9282</v>
      </c>
      <c r="H21" s="97"/>
      <c r="I21" s="95">
        <v>3</v>
      </c>
      <c r="J21" s="29">
        <v>29</v>
      </c>
      <c r="K21" s="90">
        <f t="shared" si="3"/>
        <v>27674.849201999998</v>
      </c>
      <c r="L21" s="90">
        <f t="shared" si="1"/>
        <v>2767.4849202</v>
      </c>
      <c r="M21" s="90"/>
      <c r="N21" s="90">
        <f t="shared" si="2"/>
        <v>30442.334122199998</v>
      </c>
    </row>
    <row r="22" spans="2:14" x14ac:dyDescent="0.15">
      <c r="B22" s="29">
        <v>5</v>
      </c>
      <c r="C22" s="29">
        <v>30</v>
      </c>
      <c r="D22" s="90">
        <f t="shared" si="4"/>
        <v>9282</v>
      </c>
      <c r="E22" s="90">
        <f t="shared" si="6"/>
        <v>928.2</v>
      </c>
      <c r="F22" s="90">
        <f t="shared" si="7"/>
        <v>2000</v>
      </c>
      <c r="G22" s="90">
        <f t="shared" si="5"/>
        <v>12210.2</v>
      </c>
      <c r="H22" s="97"/>
      <c r="I22" s="95">
        <v>4</v>
      </c>
      <c r="J22" s="29">
        <v>30</v>
      </c>
      <c r="K22" s="90">
        <f t="shared" si="3"/>
        <v>30442.334122199998</v>
      </c>
      <c r="L22" s="90">
        <f t="shared" si="1"/>
        <v>3044.23341222</v>
      </c>
      <c r="M22" s="90"/>
      <c r="N22" s="90">
        <f t="shared" si="2"/>
        <v>33486.567534419999</v>
      </c>
    </row>
    <row r="23" spans="2:14" x14ac:dyDescent="0.15">
      <c r="B23" s="29">
        <v>6</v>
      </c>
      <c r="C23" s="29">
        <v>31</v>
      </c>
      <c r="D23" s="90">
        <f t="shared" si="4"/>
        <v>12210.2</v>
      </c>
      <c r="E23" s="90">
        <f t="shared" si="6"/>
        <v>1221.0200000000002</v>
      </c>
      <c r="F23" s="90">
        <f t="shared" si="7"/>
        <v>2000</v>
      </c>
      <c r="G23" s="90">
        <f t="shared" si="5"/>
        <v>15431.220000000001</v>
      </c>
      <c r="H23" s="97"/>
      <c r="I23" s="95">
        <v>5</v>
      </c>
      <c r="J23" s="29">
        <v>31</v>
      </c>
      <c r="K23" s="90">
        <f t="shared" si="3"/>
        <v>33486.567534419999</v>
      </c>
      <c r="L23" s="90">
        <f t="shared" si="1"/>
        <v>3348.6567534420001</v>
      </c>
      <c r="M23" s="90"/>
      <c r="N23" s="90">
        <f t="shared" si="2"/>
        <v>36835.224287862002</v>
      </c>
    </row>
    <row r="24" spans="2:14" x14ac:dyDescent="0.15">
      <c r="B24" s="29">
        <v>7</v>
      </c>
      <c r="C24" s="29">
        <v>32</v>
      </c>
      <c r="D24" s="90">
        <f t="shared" si="4"/>
        <v>15431.220000000001</v>
      </c>
      <c r="E24" s="90">
        <f t="shared" si="6"/>
        <v>1543.1220000000003</v>
      </c>
      <c r="F24" s="90">
        <f t="shared" si="7"/>
        <v>2000</v>
      </c>
      <c r="G24" s="90">
        <f t="shared" si="5"/>
        <v>18974.342000000001</v>
      </c>
      <c r="H24" s="97"/>
      <c r="I24" s="95">
        <v>6</v>
      </c>
      <c r="J24" s="29">
        <v>32</v>
      </c>
      <c r="K24" s="90">
        <f t="shared" si="3"/>
        <v>36835.224287862002</v>
      </c>
      <c r="L24" s="90">
        <f t="shared" si="1"/>
        <v>3683.5224287862002</v>
      </c>
      <c r="M24" s="90"/>
      <c r="N24" s="90">
        <f t="shared" si="2"/>
        <v>40518.746716648202</v>
      </c>
    </row>
    <row r="25" spans="2:14" x14ac:dyDescent="0.15">
      <c r="B25" s="29">
        <v>8</v>
      </c>
      <c r="C25" s="29">
        <v>33</v>
      </c>
      <c r="D25" s="90">
        <f t="shared" si="4"/>
        <v>18974.342000000001</v>
      </c>
      <c r="E25" s="90">
        <f t="shared" si="6"/>
        <v>1897.4342000000001</v>
      </c>
      <c r="F25" s="90">
        <f t="shared" si="7"/>
        <v>2000</v>
      </c>
      <c r="G25" s="90">
        <f t="shared" si="5"/>
        <v>22871.7762</v>
      </c>
      <c r="H25" s="97"/>
      <c r="I25" s="95">
        <v>7</v>
      </c>
      <c r="J25" s="29">
        <v>33</v>
      </c>
      <c r="K25" s="90">
        <f t="shared" si="3"/>
        <v>40518.746716648202</v>
      </c>
      <c r="L25" s="90">
        <f t="shared" si="1"/>
        <v>4051.8746716648202</v>
      </c>
      <c r="M25" s="90"/>
      <c r="N25" s="90">
        <f t="shared" si="2"/>
        <v>44570.621388313026</v>
      </c>
    </row>
    <row r="26" spans="2:14" x14ac:dyDescent="0.15">
      <c r="B26" s="29">
        <v>9</v>
      </c>
      <c r="C26" s="29">
        <v>34</v>
      </c>
      <c r="D26" s="90">
        <f t="shared" si="4"/>
        <v>22871.7762</v>
      </c>
      <c r="E26" s="90">
        <f t="shared" si="6"/>
        <v>2287.1776199999999</v>
      </c>
      <c r="F26" s="90">
        <f t="shared" si="7"/>
        <v>2000</v>
      </c>
      <c r="G26" s="90">
        <f t="shared" si="5"/>
        <v>27158.953819999999</v>
      </c>
      <c r="H26" s="97"/>
      <c r="I26" s="95">
        <v>8</v>
      </c>
      <c r="J26" s="29">
        <v>34</v>
      </c>
      <c r="K26" s="90">
        <f t="shared" si="3"/>
        <v>44570.621388313026</v>
      </c>
      <c r="L26" s="90">
        <f t="shared" si="1"/>
        <v>4457.0621388313029</v>
      </c>
      <c r="M26" s="90"/>
      <c r="N26" s="90">
        <f t="shared" si="2"/>
        <v>49027.683527144327</v>
      </c>
    </row>
    <row r="27" spans="2:14" x14ac:dyDescent="0.15">
      <c r="B27" s="29">
        <v>10</v>
      </c>
      <c r="C27" s="29">
        <v>35</v>
      </c>
      <c r="D27" s="90">
        <f t="shared" si="4"/>
        <v>27158.953819999999</v>
      </c>
      <c r="E27" s="90">
        <f t="shared" si="6"/>
        <v>2715.8953820000002</v>
      </c>
      <c r="F27" s="90">
        <f t="shared" si="7"/>
        <v>2000</v>
      </c>
      <c r="G27" s="90">
        <f t="shared" si="5"/>
        <v>31874.849201999998</v>
      </c>
      <c r="H27" s="97"/>
      <c r="I27" s="95">
        <v>9</v>
      </c>
      <c r="J27" s="29">
        <v>35</v>
      </c>
      <c r="K27" s="90">
        <f t="shared" si="3"/>
        <v>49027.683527144327</v>
      </c>
      <c r="L27" s="90">
        <f t="shared" si="1"/>
        <v>4902.7683527144327</v>
      </c>
      <c r="M27" s="90"/>
      <c r="N27" s="90">
        <f t="shared" si="2"/>
        <v>53930.45187985876</v>
      </c>
    </row>
    <row r="28" spans="2:14" x14ac:dyDescent="0.15">
      <c r="B28" s="29">
        <v>11</v>
      </c>
      <c r="C28" s="29">
        <v>36</v>
      </c>
      <c r="D28" s="90">
        <f t="shared" si="4"/>
        <v>31874.849201999998</v>
      </c>
      <c r="E28" s="90">
        <f t="shared" si="6"/>
        <v>3187.4849202</v>
      </c>
      <c r="F28" s="90">
        <f t="shared" si="7"/>
        <v>2000</v>
      </c>
      <c r="G28" s="90">
        <f t="shared" si="5"/>
        <v>37062.334122199994</v>
      </c>
      <c r="H28" s="97"/>
      <c r="I28" s="95">
        <v>10</v>
      </c>
      <c r="J28" s="29">
        <v>36</v>
      </c>
      <c r="K28" s="90">
        <f t="shared" si="3"/>
        <v>53930.45187985876</v>
      </c>
      <c r="L28" s="90">
        <f t="shared" si="1"/>
        <v>5393.0451879858765</v>
      </c>
      <c r="M28" s="90"/>
      <c r="N28" s="90">
        <f t="shared" si="2"/>
        <v>59323.497067844633</v>
      </c>
    </row>
    <row r="29" spans="2:14" x14ac:dyDescent="0.15">
      <c r="B29" s="29">
        <v>12</v>
      </c>
      <c r="C29" s="29">
        <v>37</v>
      </c>
      <c r="D29" s="90">
        <f t="shared" si="4"/>
        <v>37062.334122199994</v>
      </c>
      <c r="E29" s="90">
        <f t="shared" si="6"/>
        <v>3706.2334122199995</v>
      </c>
      <c r="F29" s="90">
        <f t="shared" si="7"/>
        <v>2000</v>
      </c>
      <c r="G29" s="90">
        <f t="shared" si="5"/>
        <v>42768.567534419992</v>
      </c>
      <c r="H29" s="97"/>
      <c r="I29" s="95">
        <v>11</v>
      </c>
      <c r="J29" s="29">
        <v>37</v>
      </c>
      <c r="K29" s="90">
        <f t="shared" si="3"/>
        <v>59323.497067844633</v>
      </c>
      <c r="L29" s="90">
        <f t="shared" si="1"/>
        <v>5932.3497067844637</v>
      </c>
      <c r="M29" s="90"/>
      <c r="N29" s="90">
        <f t="shared" si="2"/>
        <v>65255.846774629099</v>
      </c>
    </row>
    <row r="30" spans="2:14" x14ac:dyDescent="0.15">
      <c r="B30" s="29">
        <v>13</v>
      </c>
      <c r="C30" s="29">
        <v>38</v>
      </c>
      <c r="D30" s="90">
        <f t="shared" si="4"/>
        <v>42768.567534419992</v>
      </c>
      <c r="E30" s="90">
        <f t="shared" si="6"/>
        <v>4276.856753441999</v>
      </c>
      <c r="F30" s="90">
        <f t="shared" si="7"/>
        <v>2000</v>
      </c>
      <c r="G30" s="90">
        <f t="shared" si="5"/>
        <v>49045.424287861992</v>
      </c>
      <c r="H30" s="97"/>
      <c r="I30" s="95">
        <v>12</v>
      </c>
      <c r="J30" s="29">
        <v>38</v>
      </c>
      <c r="K30" s="90">
        <f t="shared" si="3"/>
        <v>65255.846774629099</v>
      </c>
      <c r="L30" s="90">
        <f t="shared" si="1"/>
        <v>6525.5846774629099</v>
      </c>
      <c r="M30" s="90"/>
      <c r="N30" s="90">
        <f t="shared" si="2"/>
        <v>71781.431452092016</v>
      </c>
    </row>
    <row r="31" spans="2:14" x14ac:dyDescent="0.15">
      <c r="B31" s="29">
        <v>14</v>
      </c>
      <c r="C31" s="29">
        <v>39</v>
      </c>
      <c r="D31" s="90">
        <f t="shared" si="4"/>
        <v>49045.424287861992</v>
      </c>
      <c r="E31" s="90">
        <f t="shared" si="6"/>
        <v>4904.5424287861997</v>
      </c>
      <c r="F31" s="90">
        <f t="shared" si="7"/>
        <v>2000</v>
      </c>
      <c r="G31" s="90">
        <f t="shared" si="5"/>
        <v>55949.966716648189</v>
      </c>
      <c r="H31" s="97"/>
      <c r="I31" s="95">
        <v>13</v>
      </c>
      <c r="J31" s="29">
        <v>39</v>
      </c>
      <c r="K31" s="90">
        <f t="shared" si="3"/>
        <v>71781.431452092016</v>
      </c>
      <c r="L31" s="90">
        <f t="shared" si="1"/>
        <v>7178.143145209202</v>
      </c>
      <c r="M31" s="90"/>
      <c r="N31" s="90">
        <f t="shared" si="2"/>
        <v>78959.574597301224</v>
      </c>
    </row>
    <row r="32" spans="2:14" x14ac:dyDescent="0.15">
      <c r="B32" s="29">
        <v>15</v>
      </c>
      <c r="C32" s="29">
        <v>40</v>
      </c>
      <c r="D32" s="90">
        <f t="shared" si="4"/>
        <v>55949.966716648189</v>
      </c>
      <c r="E32" s="90">
        <f t="shared" si="6"/>
        <v>5594.9966716648196</v>
      </c>
      <c r="F32" s="90">
        <f t="shared" si="7"/>
        <v>2000</v>
      </c>
      <c r="G32" s="90">
        <f t="shared" si="5"/>
        <v>63544.963388313008</v>
      </c>
      <c r="H32" s="97"/>
      <c r="I32" s="95">
        <v>14</v>
      </c>
      <c r="J32" s="29">
        <v>40</v>
      </c>
      <c r="K32" s="90">
        <f t="shared" si="3"/>
        <v>78959.574597301224</v>
      </c>
      <c r="L32" s="90">
        <f t="shared" si="1"/>
        <v>7895.9574597301225</v>
      </c>
      <c r="M32" s="90"/>
      <c r="N32" s="90">
        <f t="shared" si="2"/>
        <v>86855.532057031349</v>
      </c>
    </row>
    <row r="33" spans="2:14" x14ac:dyDescent="0.15">
      <c r="B33" s="29">
        <v>16</v>
      </c>
      <c r="C33" s="29">
        <v>41</v>
      </c>
      <c r="D33" s="90">
        <f t="shared" si="4"/>
        <v>63544.963388313008</v>
      </c>
      <c r="E33" s="90">
        <f t="shared" si="6"/>
        <v>6354.4963388313008</v>
      </c>
      <c r="F33" s="90">
        <f t="shared" si="7"/>
        <v>2000</v>
      </c>
      <c r="G33" s="90">
        <f t="shared" si="5"/>
        <v>71899.459727144305</v>
      </c>
      <c r="H33" s="97"/>
      <c r="I33" s="95">
        <v>15</v>
      </c>
      <c r="J33" s="29">
        <v>41</v>
      </c>
      <c r="K33" s="90">
        <f t="shared" si="3"/>
        <v>86855.532057031349</v>
      </c>
      <c r="L33" s="90">
        <f t="shared" si="1"/>
        <v>8685.553205703136</v>
      </c>
      <c r="M33" s="90"/>
      <c r="N33" s="90">
        <f t="shared" si="2"/>
        <v>95541.085262734487</v>
      </c>
    </row>
    <row r="34" spans="2:14" x14ac:dyDescent="0.15">
      <c r="B34" s="29">
        <v>17</v>
      </c>
      <c r="C34" s="29">
        <v>42</v>
      </c>
      <c r="D34" s="90">
        <f t="shared" si="4"/>
        <v>71899.459727144305</v>
      </c>
      <c r="E34" s="90">
        <f t="shared" si="6"/>
        <v>7189.9459727144313</v>
      </c>
      <c r="F34" s="90">
        <f t="shared" si="7"/>
        <v>2000</v>
      </c>
      <c r="G34" s="90">
        <f t="shared" si="5"/>
        <v>81089.405699858733</v>
      </c>
      <c r="H34" s="97"/>
      <c r="I34" s="95">
        <v>16</v>
      </c>
      <c r="J34" s="29">
        <v>42</v>
      </c>
      <c r="K34" s="90">
        <f t="shared" si="3"/>
        <v>95541.085262734487</v>
      </c>
      <c r="L34" s="90">
        <f t="shared" si="1"/>
        <v>9554.1085262734487</v>
      </c>
      <c r="M34" s="90"/>
      <c r="N34" s="90">
        <f t="shared" si="2"/>
        <v>105095.19378900793</v>
      </c>
    </row>
    <row r="35" spans="2:14" x14ac:dyDescent="0.15">
      <c r="B35" s="29">
        <v>18</v>
      </c>
      <c r="C35" s="29">
        <v>43</v>
      </c>
      <c r="D35" s="90">
        <f t="shared" si="4"/>
        <v>81089.405699858733</v>
      </c>
      <c r="E35" s="90">
        <f t="shared" si="6"/>
        <v>8108.9405699858735</v>
      </c>
      <c r="F35" s="90">
        <f t="shared" si="7"/>
        <v>2000</v>
      </c>
      <c r="G35" s="90">
        <f t="shared" si="5"/>
        <v>91198.346269844609</v>
      </c>
      <c r="H35" s="97"/>
      <c r="I35" s="95">
        <v>17</v>
      </c>
      <c r="J35" s="29">
        <v>43</v>
      </c>
      <c r="K35" s="90">
        <f t="shared" si="3"/>
        <v>105095.19378900793</v>
      </c>
      <c r="L35" s="90">
        <f t="shared" si="1"/>
        <v>10509.519378900794</v>
      </c>
      <c r="M35" s="90"/>
      <c r="N35" s="90">
        <f t="shared" si="2"/>
        <v>115604.71316790872</v>
      </c>
    </row>
    <row r="36" spans="2:14" x14ac:dyDescent="0.15">
      <c r="B36" s="29">
        <v>19</v>
      </c>
      <c r="C36" s="29">
        <v>44</v>
      </c>
      <c r="D36" s="90">
        <f t="shared" si="4"/>
        <v>91198.346269844609</v>
      </c>
      <c r="E36" s="90">
        <f t="shared" si="6"/>
        <v>9119.8346269844606</v>
      </c>
      <c r="F36" s="90">
        <f t="shared" si="7"/>
        <v>2000</v>
      </c>
      <c r="G36" s="90">
        <f t="shared" si="5"/>
        <v>102318.18089682907</v>
      </c>
      <c r="H36" s="97"/>
      <c r="I36" s="95">
        <v>18</v>
      </c>
      <c r="J36" s="29">
        <v>44</v>
      </c>
      <c r="K36" s="90">
        <f t="shared" si="3"/>
        <v>115604.71316790872</v>
      </c>
      <c r="L36" s="90">
        <f t="shared" si="1"/>
        <v>11560.471316790872</v>
      </c>
      <c r="M36" s="90"/>
      <c r="N36" s="90">
        <f t="shared" si="2"/>
        <v>127165.1844846996</v>
      </c>
    </row>
    <row r="37" spans="2:14" x14ac:dyDescent="0.15">
      <c r="B37" s="29">
        <v>20</v>
      </c>
      <c r="C37" s="29">
        <v>45</v>
      </c>
      <c r="D37" s="90">
        <f t="shared" si="4"/>
        <v>102318.18089682907</v>
      </c>
      <c r="E37" s="90">
        <f t="shared" si="6"/>
        <v>10231.818089682907</v>
      </c>
      <c r="F37" s="90">
        <f t="shared" si="7"/>
        <v>2000</v>
      </c>
      <c r="G37" s="90">
        <f t="shared" si="5"/>
        <v>114549.99898651199</v>
      </c>
      <c r="H37" s="97"/>
      <c r="I37" s="95">
        <v>19</v>
      </c>
      <c r="J37" s="29">
        <v>45</v>
      </c>
      <c r="K37" s="90">
        <f t="shared" si="3"/>
        <v>127165.1844846996</v>
      </c>
      <c r="L37" s="90">
        <f t="shared" si="1"/>
        <v>12716.51844846996</v>
      </c>
      <c r="M37" s="90"/>
      <c r="N37" s="90">
        <f t="shared" si="2"/>
        <v>139881.70293316955</v>
      </c>
    </row>
    <row r="38" spans="2:14" x14ac:dyDescent="0.15">
      <c r="B38" s="29">
        <v>21</v>
      </c>
      <c r="C38" s="29">
        <v>46</v>
      </c>
      <c r="D38" s="90">
        <f t="shared" si="4"/>
        <v>114549.99898651199</v>
      </c>
      <c r="E38" s="90">
        <f t="shared" si="6"/>
        <v>11454.9998986512</v>
      </c>
      <c r="F38" s="90">
        <f t="shared" si="7"/>
        <v>2000</v>
      </c>
      <c r="G38" s="90">
        <f t="shared" si="5"/>
        <v>128004.99888516319</v>
      </c>
      <c r="H38" s="97"/>
      <c r="I38" s="95">
        <v>20</v>
      </c>
      <c r="J38" s="29">
        <v>46</v>
      </c>
      <c r="K38" s="90">
        <f t="shared" si="3"/>
        <v>139881.70293316955</v>
      </c>
      <c r="L38" s="90">
        <f t="shared" si="1"/>
        <v>13988.170293316956</v>
      </c>
      <c r="M38" s="90"/>
      <c r="N38" s="90">
        <f t="shared" si="2"/>
        <v>153869.8732264865</v>
      </c>
    </row>
    <row r="39" spans="2:14" x14ac:dyDescent="0.15">
      <c r="B39" s="29">
        <v>22</v>
      </c>
      <c r="C39" s="29">
        <v>47</v>
      </c>
      <c r="D39" s="90">
        <f t="shared" si="4"/>
        <v>128004.99888516319</v>
      </c>
      <c r="E39" s="90">
        <f t="shared" si="6"/>
        <v>12800.49988851632</v>
      </c>
      <c r="F39" s="90">
        <f t="shared" si="7"/>
        <v>2000</v>
      </c>
      <c r="G39" s="90">
        <f t="shared" si="5"/>
        <v>142805.49877367952</v>
      </c>
      <c r="H39" s="97"/>
      <c r="I39" s="95">
        <v>21</v>
      </c>
      <c r="J39" s="29">
        <v>47</v>
      </c>
      <c r="K39" s="90">
        <f t="shared" si="3"/>
        <v>153869.8732264865</v>
      </c>
      <c r="L39" s="90">
        <f t="shared" si="1"/>
        <v>15386.987322648651</v>
      </c>
      <c r="M39" s="90"/>
      <c r="N39" s="90">
        <f t="shared" si="2"/>
        <v>169256.86054913513</v>
      </c>
    </row>
    <row r="40" spans="2:14" x14ac:dyDescent="0.15">
      <c r="B40" s="29">
        <v>23</v>
      </c>
      <c r="C40" s="29">
        <v>48</v>
      </c>
      <c r="D40" s="90">
        <f t="shared" si="4"/>
        <v>142805.49877367952</v>
      </c>
      <c r="E40" s="90">
        <f t="shared" si="6"/>
        <v>14280.549877367952</v>
      </c>
      <c r="F40" s="90">
        <f t="shared" si="7"/>
        <v>2000</v>
      </c>
      <c r="G40" s="90">
        <f t="shared" si="5"/>
        <v>159086.04865104746</v>
      </c>
      <c r="H40" s="97"/>
      <c r="I40" s="95">
        <v>22</v>
      </c>
      <c r="J40" s="29">
        <v>48</v>
      </c>
      <c r="K40" s="90">
        <f t="shared" si="3"/>
        <v>169256.86054913513</v>
      </c>
      <c r="L40" s="90">
        <f t="shared" si="1"/>
        <v>16925.686054913513</v>
      </c>
      <c r="M40" s="90"/>
      <c r="N40" s="90">
        <f t="shared" si="2"/>
        <v>186182.54660404864</v>
      </c>
    </row>
    <row r="41" spans="2:14" x14ac:dyDescent="0.15">
      <c r="B41" s="29">
        <v>24</v>
      </c>
      <c r="C41" s="29">
        <v>49</v>
      </c>
      <c r="D41" s="90">
        <f t="shared" si="4"/>
        <v>159086.04865104746</v>
      </c>
      <c r="E41" s="90">
        <f t="shared" si="6"/>
        <v>15908.604865104746</v>
      </c>
      <c r="F41" s="90">
        <f t="shared" si="7"/>
        <v>2000</v>
      </c>
      <c r="G41" s="90">
        <f t="shared" si="5"/>
        <v>176994.6535161522</v>
      </c>
      <c r="H41" s="97"/>
      <c r="I41" s="95">
        <v>23</v>
      </c>
      <c r="J41" s="29">
        <v>49</v>
      </c>
      <c r="K41" s="90">
        <f t="shared" si="3"/>
        <v>186182.54660404864</v>
      </c>
      <c r="L41" s="90">
        <f t="shared" si="1"/>
        <v>18618.254660404866</v>
      </c>
      <c r="M41" s="90"/>
      <c r="N41" s="90">
        <f t="shared" si="2"/>
        <v>204800.8012644535</v>
      </c>
    </row>
    <row r="42" spans="2:14" x14ac:dyDescent="0.15">
      <c r="B42" s="29">
        <v>25</v>
      </c>
      <c r="C42" s="29">
        <v>50</v>
      </c>
      <c r="D42" s="90">
        <f t="shared" si="4"/>
        <v>176994.6535161522</v>
      </c>
      <c r="E42" s="90">
        <f t="shared" si="6"/>
        <v>17699.465351615221</v>
      </c>
      <c r="F42" s="90">
        <f t="shared" si="7"/>
        <v>2000</v>
      </c>
      <c r="G42" s="90">
        <f t="shared" si="5"/>
        <v>196694.11886776742</v>
      </c>
      <c r="H42" s="97"/>
      <c r="I42" s="95">
        <v>24</v>
      </c>
      <c r="J42" s="29">
        <v>50</v>
      </c>
      <c r="K42" s="90">
        <f t="shared" si="3"/>
        <v>204800.8012644535</v>
      </c>
      <c r="L42" s="90">
        <f t="shared" si="1"/>
        <v>20480.080126445351</v>
      </c>
      <c r="M42" s="90"/>
      <c r="N42" s="90">
        <f t="shared" si="2"/>
        <v>225280.88139089887</v>
      </c>
    </row>
    <row r="43" spans="2:14" x14ac:dyDescent="0.15">
      <c r="B43" s="29">
        <v>26</v>
      </c>
      <c r="C43" s="29">
        <v>51</v>
      </c>
      <c r="D43" s="90">
        <f t="shared" si="4"/>
        <v>196694.11886776742</v>
      </c>
      <c r="E43" s="90">
        <f t="shared" si="6"/>
        <v>19669.411886776743</v>
      </c>
      <c r="F43" s="90">
        <f t="shared" si="7"/>
        <v>2000</v>
      </c>
      <c r="G43" s="90">
        <f t="shared" si="5"/>
        <v>218363.53075454416</v>
      </c>
      <c r="H43" s="97"/>
      <c r="I43" s="95">
        <v>25</v>
      </c>
      <c r="J43" s="29">
        <v>51</v>
      </c>
      <c r="K43" s="90">
        <f t="shared" si="3"/>
        <v>225280.88139089887</v>
      </c>
      <c r="L43" s="90">
        <f t="shared" si="1"/>
        <v>22528.088139089887</v>
      </c>
      <c r="M43" s="90"/>
      <c r="N43" s="90">
        <f t="shared" si="2"/>
        <v>247808.96952998877</v>
      </c>
    </row>
    <row r="44" spans="2:14" x14ac:dyDescent="0.15">
      <c r="B44" s="29">
        <v>27</v>
      </c>
      <c r="C44" s="29">
        <v>52</v>
      </c>
      <c r="D44" s="90">
        <f t="shared" si="4"/>
        <v>218363.53075454416</v>
      </c>
      <c r="E44" s="90">
        <f t="shared" si="6"/>
        <v>21836.353075454419</v>
      </c>
      <c r="F44" s="90">
        <f t="shared" si="7"/>
        <v>2000</v>
      </c>
      <c r="G44" s="90">
        <f t="shared" si="5"/>
        <v>242199.88382999858</v>
      </c>
      <c r="H44" s="97"/>
      <c r="I44" s="95">
        <v>26</v>
      </c>
      <c r="J44" s="29">
        <v>52</v>
      </c>
      <c r="K44" s="90">
        <f t="shared" si="3"/>
        <v>247808.96952998877</v>
      </c>
      <c r="L44" s="90">
        <f t="shared" si="1"/>
        <v>24780.896952998879</v>
      </c>
      <c r="M44" s="90"/>
      <c r="N44" s="90">
        <f t="shared" si="2"/>
        <v>272589.86648298765</v>
      </c>
    </row>
    <row r="45" spans="2:14" x14ac:dyDescent="0.15">
      <c r="B45" s="29">
        <v>28</v>
      </c>
      <c r="C45" s="29">
        <v>53</v>
      </c>
      <c r="D45" s="90">
        <f t="shared" si="4"/>
        <v>242199.88382999858</v>
      </c>
      <c r="E45" s="90">
        <f t="shared" si="6"/>
        <v>24219.988382999858</v>
      </c>
      <c r="F45" s="90">
        <f t="shared" si="7"/>
        <v>2000</v>
      </c>
      <c r="G45" s="90">
        <f t="shared" si="5"/>
        <v>268419.87221299845</v>
      </c>
      <c r="H45" s="97"/>
      <c r="I45" s="95">
        <v>27</v>
      </c>
      <c r="J45" s="29">
        <v>53</v>
      </c>
      <c r="K45" s="90">
        <f t="shared" si="3"/>
        <v>272589.86648298765</v>
      </c>
      <c r="L45" s="90">
        <f t="shared" si="1"/>
        <v>27258.986648298767</v>
      </c>
      <c r="M45" s="90"/>
      <c r="N45" s="90">
        <f t="shared" si="2"/>
        <v>299848.85313128639</v>
      </c>
    </row>
    <row r="46" spans="2:14" x14ac:dyDescent="0.15">
      <c r="B46" s="29">
        <v>29</v>
      </c>
      <c r="C46" s="29">
        <v>54</v>
      </c>
      <c r="D46" s="90">
        <f t="shared" si="4"/>
        <v>268419.87221299845</v>
      </c>
      <c r="E46" s="90">
        <f t="shared" si="6"/>
        <v>26841.987221299845</v>
      </c>
      <c r="F46" s="90">
        <f t="shared" si="7"/>
        <v>2000</v>
      </c>
      <c r="G46" s="90">
        <f t="shared" si="5"/>
        <v>297261.8594342983</v>
      </c>
      <c r="H46" s="97"/>
      <c r="I46" s="95">
        <v>28</v>
      </c>
      <c r="J46" s="29">
        <v>54</v>
      </c>
      <c r="K46" s="90">
        <f t="shared" si="3"/>
        <v>299848.85313128639</v>
      </c>
      <c r="L46" s="90">
        <f t="shared" si="1"/>
        <v>29984.885313128641</v>
      </c>
      <c r="M46" s="90"/>
      <c r="N46" s="90">
        <f t="shared" si="2"/>
        <v>329833.73844441504</v>
      </c>
    </row>
    <row r="47" spans="2:14" x14ac:dyDescent="0.15">
      <c r="B47" s="29">
        <v>30</v>
      </c>
      <c r="C47" s="29">
        <v>55</v>
      </c>
      <c r="D47" s="90">
        <f t="shared" si="4"/>
        <v>297261.8594342983</v>
      </c>
      <c r="E47" s="90">
        <f t="shared" si="6"/>
        <v>29726.185943429831</v>
      </c>
      <c r="F47" s="90">
        <f t="shared" si="7"/>
        <v>2000</v>
      </c>
      <c r="G47" s="90">
        <f t="shared" si="5"/>
        <v>328988.04537772812</v>
      </c>
      <c r="H47" s="97"/>
      <c r="I47" s="95">
        <v>29</v>
      </c>
      <c r="J47" s="29">
        <v>55</v>
      </c>
      <c r="K47" s="90">
        <f t="shared" si="3"/>
        <v>329833.73844441504</v>
      </c>
      <c r="L47" s="90">
        <f t="shared" si="1"/>
        <v>32983.373844441507</v>
      </c>
      <c r="M47" s="90"/>
      <c r="N47" s="90">
        <f t="shared" si="2"/>
        <v>362817.11228885653</v>
      </c>
    </row>
    <row r="48" spans="2:14" x14ac:dyDescent="0.15">
      <c r="B48" s="29">
        <v>31</v>
      </c>
      <c r="C48" s="29">
        <v>56</v>
      </c>
      <c r="D48" s="90">
        <f t="shared" si="4"/>
        <v>328988.04537772812</v>
      </c>
      <c r="E48" s="90">
        <f t="shared" si="6"/>
        <v>32898.804537772812</v>
      </c>
      <c r="F48" s="90">
        <f t="shared" si="7"/>
        <v>2000</v>
      </c>
      <c r="G48" s="90">
        <f t="shared" si="5"/>
        <v>363886.84991550096</v>
      </c>
      <c r="H48" s="97"/>
      <c r="I48" s="95">
        <v>30</v>
      </c>
      <c r="J48" s="29">
        <v>56</v>
      </c>
      <c r="K48" s="90">
        <f t="shared" si="3"/>
        <v>362817.11228885653</v>
      </c>
      <c r="L48" s="90">
        <f t="shared" si="1"/>
        <v>36281.711228885652</v>
      </c>
      <c r="M48" s="90"/>
      <c r="N48" s="90">
        <f t="shared" si="2"/>
        <v>399098.82351774216</v>
      </c>
    </row>
    <row r="49" spans="2:14" x14ac:dyDescent="0.15">
      <c r="B49" s="29">
        <v>32</v>
      </c>
      <c r="C49" s="29">
        <v>57</v>
      </c>
      <c r="D49" s="90">
        <f t="shared" si="4"/>
        <v>363886.84991550096</v>
      </c>
      <c r="E49" s="90">
        <f t="shared" si="6"/>
        <v>36388.684991550101</v>
      </c>
      <c r="F49" s="90">
        <f t="shared" si="7"/>
        <v>2000</v>
      </c>
      <c r="G49" s="90">
        <f t="shared" si="5"/>
        <v>402275.53490705107</v>
      </c>
      <c r="H49" s="97"/>
      <c r="I49" s="95">
        <v>31</v>
      </c>
      <c r="J49" s="29">
        <v>57</v>
      </c>
      <c r="K49" s="90">
        <f t="shared" si="3"/>
        <v>399098.82351774216</v>
      </c>
      <c r="L49" s="90">
        <f t="shared" si="1"/>
        <v>39909.88235177422</v>
      </c>
      <c r="M49" s="90"/>
      <c r="N49" s="90">
        <f t="shared" si="2"/>
        <v>439008.70586951636</v>
      </c>
    </row>
    <row r="50" spans="2:14" x14ac:dyDescent="0.15">
      <c r="B50" s="29">
        <v>33</v>
      </c>
      <c r="C50" s="29">
        <v>58</v>
      </c>
      <c r="D50" s="90">
        <f t="shared" si="4"/>
        <v>402275.53490705107</v>
      </c>
      <c r="E50" s="90">
        <f t="shared" si="6"/>
        <v>40227.553490705111</v>
      </c>
      <c r="F50" s="90">
        <f t="shared" si="7"/>
        <v>2000</v>
      </c>
      <c r="G50" s="90">
        <f t="shared" si="5"/>
        <v>444503.08839775616</v>
      </c>
      <c r="H50" s="97"/>
      <c r="I50" s="95">
        <v>32</v>
      </c>
      <c r="J50" s="29">
        <v>58</v>
      </c>
      <c r="K50" s="90">
        <f t="shared" si="3"/>
        <v>439008.70586951636</v>
      </c>
      <c r="L50" s="90">
        <f t="shared" si="1"/>
        <v>43900.870586951642</v>
      </c>
      <c r="M50" s="90"/>
      <c r="N50" s="90">
        <f t="shared" si="2"/>
        <v>482909.57645646797</v>
      </c>
    </row>
    <row r="51" spans="2:14" x14ac:dyDescent="0.15">
      <c r="B51" s="29">
        <v>34</v>
      </c>
      <c r="C51" s="29">
        <v>59</v>
      </c>
      <c r="D51" s="90">
        <f t="shared" si="4"/>
        <v>444503.08839775616</v>
      </c>
      <c r="E51" s="90">
        <f t="shared" si="6"/>
        <v>44450.308839775622</v>
      </c>
      <c r="F51" s="90">
        <f t="shared" si="7"/>
        <v>2000</v>
      </c>
      <c r="G51" s="90">
        <f t="shared" si="5"/>
        <v>490953.39723753178</v>
      </c>
      <c r="H51" s="97"/>
      <c r="I51" s="95">
        <v>33</v>
      </c>
      <c r="J51" s="29">
        <v>59</v>
      </c>
      <c r="K51" s="90">
        <f t="shared" si="3"/>
        <v>482909.57645646797</v>
      </c>
      <c r="L51" s="90">
        <f t="shared" si="1"/>
        <v>48290.957645646798</v>
      </c>
      <c r="M51" s="90"/>
      <c r="N51" s="90">
        <f t="shared" si="2"/>
        <v>531200.53410211473</v>
      </c>
    </row>
    <row r="52" spans="2:14" x14ac:dyDescent="0.15">
      <c r="B52" s="29">
        <v>35</v>
      </c>
      <c r="C52" s="29">
        <v>60</v>
      </c>
      <c r="D52" s="90">
        <f t="shared" si="4"/>
        <v>490953.39723753178</v>
      </c>
      <c r="E52" s="90">
        <f t="shared" si="6"/>
        <v>49095.339723753183</v>
      </c>
      <c r="F52" s="90">
        <f t="shared" si="7"/>
        <v>2000</v>
      </c>
      <c r="G52" s="90">
        <f t="shared" si="5"/>
        <v>542048.736961285</v>
      </c>
      <c r="H52" s="97"/>
      <c r="I52" s="95">
        <v>34</v>
      </c>
      <c r="J52" s="29">
        <v>60</v>
      </c>
      <c r="K52" s="90">
        <f t="shared" si="3"/>
        <v>531200.53410211473</v>
      </c>
      <c r="L52" s="90">
        <f t="shared" si="1"/>
        <v>53120.053410211476</v>
      </c>
      <c r="M52" s="90"/>
      <c r="N52" s="90">
        <f t="shared" si="2"/>
        <v>584320.58751232619</v>
      </c>
    </row>
    <row r="53" spans="2:14" x14ac:dyDescent="0.15">
      <c r="B53" s="29">
        <v>36</v>
      </c>
      <c r="C53" s="29">
        <v>61</v>
      </c>
      <c r="D53" s="90">
        <f t="shared" si="4"/>
        <v>542048.736961285</v>
      </c>
      <c r="E53" s="90">
        <f t="shared" si="6"/>
        <v>54204.873696128503</v>
      </c>
      <c r="F53" s="90">
        <f t="shared" si="7"/>
        <v>2000</v>
      </c>
      <c r="G53" s="90">
        <f t="shared" si="5"/>
        <v>598253.61065741349</v>
      </c>
      <c r="H53" s="97"/>
      <c r="I53" s="95">
        <v>35</v>
      </c>
      <c r="J53" s="29">
        <v>61</v>
      </c>
      <c r="K53" s="90">
        <f t="shared" si="3"/>
        <v>584320.58751232619</v>
      </c>
      <c r="L53" s="90">
        <f t="shared" si="1"/>
        <v>58432.058751232624</v>
      </c>
      <c r="M53" s="90"/>
      <c r="N53" s="90">
        <f t="shared" si="2"/>
        <v>642752.64626355877</v>
      </c>
    </row>
    <row r="54" spans="2:14" x14ac:dyDescent="0.15">
      <c r="B54" s="29">
        <v>37</v>
      </c>
      <c r="C54" s="29">
        <v>62</v>
      </c>
      <c r="D54" s="90">
        <f t="shared" si="4"/>
        <v>598253.61065741349</v>
      </c>
      <c r="E54" s="90">
        <f t="shared" si="6"/>
        <v>59825.361065741352</v>
      </c>
      <c r="F54" s="90">
        <f t="shared" si="7"/>
        <v>2000</v>
      </c>
      <c r="G54" s="90">
        <f t="shared" si="5"/>
        <v>660078.97172315489</v>
      </c>
      <c r="H54" s="97"/>
      <c r="I54" s="95">
        <v>36</v>
      </c>
      <c r="J54" s="29">
        <v>62</v>
      </c>
      <c r="K54" s="90">
        <f t="shared" si="3"/>
        <v>642752.64626355877</v>
      </c>
      <c r="L54" s="90">
        <f t="shared" si="1"/>
        <v>64275.264626355878</v>
      </c>
      <c r="M54" s="90"/>
      <c r="N54" s="90">
        <f t="shared" si="2"/>
        <v>707027.91088991461</v>
      </c>
    </row>
    <row r="55" spans="2:14" x14ac:dyDescent="0.15">
      <c r="B55" s="29">
        <v>38</v>
      </c>
      <c r="C55" s="29">
        <v>63</v>
      </c>
      <c r="D55" s="90">
        <f t="shared" si="4"/>
        <v>660078.97172315489</v>
      </c>
      <c r="E55" s="90">
        <f t="shared" si="6"/>
        <v>66007.897172315497</v>
      </c>
      <c r="F55" s="90">
        <f t="shared" si="7"/>
        <v>2000</v>
      </c>
      <c r="G55" s="90">
        <f t="shared" si="5"/>
        <v>728086.8688954704</v>
      </c>
      <c r="H55" s="97"/>
      <c r="I55" s="95">
        <v>37</v>
      </c>
      <c r="J55" s="29">
        <v>63</v>
      </c>
      <c r="K55" s="90">
        <f t="shared" si="3"/>
        <v>707027.91088991461</v>
      </c>
      <c r="L55" s="90">
        <f t="shared" si="1"/>
        <v>70702.791088991464</v>
      </c>
      <c r="M55" s="90"/>
      <c r="N55" s="90">
        <f t="shared" si="2"/>
        <v>777730.70197890606</v>
      </c>
    </row>
    <row r="56" spans="2:14" x14ac:dyDescent="0.15">
      <c r="B56" s="29">
        <v>39</v>
      </c>
      <c r="C56" s="29">
        <v>64</v>
      </c>
      <c r="D56" s="90">
        <f t="shared" si="4"/>
        <v>728086.8688954704</v>
      </c>
      <c r="E56" s="90">
        <f t="shared" si="6"/>
        <v>72808.68688954704</v>
      </c>
      <c r="F56" s="90">
        <f t="shared" si="7"/>
        <v>2000</v>
      </c>
      <c r="G56" s="90">
        <f t="shared" si="5"/>
        <v>802895.55578501744</v>
      </c>
      <c r="H56" s="97"/>
      <c r="I56" s="95">
        <v>38</v>
      </c>
      <c r="J56" s="29">
        <v>64</v>
      </c>
      <c r="K56" s="90">
        <f t="shared" si="3"/>
        <v>777730.70197890606</v>
      </c>
      <c r="L56" s="90">
        <f t="shared" si="1"/>
        <v>77773.070197890615</v>
      </c>
      <c r="M56" s="90"/>
      <c r="N56" s="90">
        <f t="shared" si="2"/>
        <v>855503.77217679669</v>
      </c>
    </row>
    <row r="57" spans="2:14" x14ac:dyDescent="0.15">
      <c r="B57" s="29">
        <v>40</v>
      </c>
      <c r="C57" s="29">
        <v>65</v>
      </c>
      <c r="D57" s="90">
        <f t="shared" si="4"/>
        <v>802895.55578501744</v>
      </c>
      <c r="E57" s="90">
        <f t="shared" si="6"/>
        <v>80289.55557850175</v>
      </c>
      <c r="F57" s="90">
        <f t="shared" si="7"/>
        <v>2000</v>
      </c>
      <c r="G57" s="90">
        <f t="shared" si="5"/>
        <v>885185.11136351922</v>
      </c>
      <c r="H57" s="97"/>
      <c r="I57" s="95">
        <v>39</v>
      </c>
      <c r="J57" s="29">
        <v>65</v>
      </c>
      <c r="K57" s="90">
        <f t="shared" si="3"/>
        <v>855503.77217679669</v>
      </c>
      <c r="L57" s="90">
        <f t="shared" si="1"/>
        <v>85550.377217679677</v>
      </c>
      <c r="M57" s="90"/>
      <c r="N57" s="90">
        <f t="shared" si="2"/>
        <v>941054.14939447632</v>
      </c>
    </row>
    <row r="58" spans="2:14" x14ac:dyDescent="0.15">
      <c r="C58" s="29"/>
      <c r="D58" s="29"/>
      <c r="E58" s="29"/>
      <c r="F58" s="29"/>
      <c r="G58" s="29"/>
      <c r="H58" s="29"/>
      <c r="I58" s="96"/>
    </row>
    <row r="59" spans="2:14" x14ac:dyDescent="0.15">
      <c r="B59" s="24"/>
      <c r="C59" s="64"/>
      <c r="D59" s="24"/>
      <c r="E59" s="24"/>
      <c r="F59" s="24"/>
      <c r="G59" s="24"/>
    </row>
    <row r="60" spans="2:14" x14ac:dyDescent="0.15">
      <c r="B60" s="24"/>
      <c r="C60" s="24"/>
      <c r="D60" s="68"/>
      <c r="E60" s="24"/>
      <c r="F60" s="24"/>
      <c r="G60" s="24"/>
    </row>
    <row r="61" spans="2:14" x14ac:dyDescent="0.15">
      <c r="B61" s="24"/>
      <c r="C61" s="24"/>
      <c r="D61" s="69"/>
      <c r="E61" s="24"/>
      <c r="F61" s="24"/>
      <c r="G61" s="24"/>
    </row>
    <row r="62" spans="2:14" x14ac:dyDescent="0.15">
      <c r="B62" s="24"/>
      <c r="C62" s="24"/>
      <c r="D62" s="54"/>
      <c r="E62" s="24"/>
      <c r="F62" s="24"/>
      <c r="G62" s="24"/>
    </row>
    <row r="63" spans="2:14" x14ac:dyDescent="0.15">
      <c r="B63" s="24"/>
      <c r="C63" s="24"/>
      <c r="D63" s="70"/>
      <c r="E63" s="24"/>
      <c r="F63" s="24"/>
      <c r="G63" s="24"/>
    </row>
    <row r="64" spans="2:14" x14ac:dyDescent="0.15">
      <c r="B64" s="24"/>
      <c r="C64" s="24"/>
      <c r="D64" s="24"/>
      <c r="E64" s="24"/>
      <c r="F64" s="24"/>
      <c r="G64" s="24"/>
    </row>
    <row r="65" spans="2:7" x14ac:dyDescent="0.15">
      <c r="B65" s="24"/>
      <c r="C65" s="33"/>
      <c r="D65" s="71"/>
      <c r="E65" s="33"/>
      <c r="F65" s="33"/>
      <c r="G65" s="24"/>
    </row>
    <row r="66" spans="2:7" x14ac:dyDescent="0.15">
      <c r="B66" s="54"/>
      <c r="C66" s="72"/>
      <c r="D66" s="73"/>
      <c r="E66" s="74"/>
      <c r="F66" s="73"/>
      <c r="G66" s="24"/>
    </row>
    <row r="67" spans="2:7" x14ac:dyDescent="0.15">
      <c r="B67" s="54"/>
      <c r="C67" s="73"/>
      <c r="D67" s="73"/>
      <c r="E67" s="74"/>
      <c r="F67" s="73"/>
      <c r="G67" s="24"/>
    </row>
    <row r="68" spans="2:7" x14ac:dyDescent="0.15">
      <c r="B68" s="54"/>
      <c r="C68" s="73"/>
      <c r="D68" s="73"/>
      <c r="E68" s="74"/>
      <c r="F68" s="73"/>
      <c r="G68" s="24"/>
    </row>
    <row r="69" spans="2:7" x14ac:dyDescent="0.15">
      <c r="B69" s="54"/>
      <c r="C69" s="73"/>
      <c r="D69" s="73"/>
      <c r="E69" s="74"/>
      <c r="F69" s="73"/>
      <c r="G69" s="24"/>
    </row>
    <row r="70" spans="2:7" x14ac:dyDescent="0.15">
      <c r="B70" s="54"/>
      <c r="C70" s="73"/>
      <c r="D70" s="73"/>
      <c r="E70" s="74"/>
      <c r="F70" s="73"/>
      <c r="G70" s="24"/>
    </row>
    <row r="71" spans="2:7" x14ac:dyDescent="0.15">
      <c r="B71" s="54"/>
      <c r="C71" s="73"/>
      <c r="D71" s="73"/>
      <c r="E71" s="74"/>
      <c r="F71" s="73"/>
      <c r="G71" s="24"/>
    </row>
    <row r="72" spans="2:7" x14ac:dyDescent="0.15">
      <c r="B72" s="54"/>
      <c r="C72" s="73"/>
      <c r="D72" s="73"/>
      <c r="E72" s="74"/>
      <c r="F72" s="73"/>
      <c r="G72" s="24"/>
    </row>
    <row r="73" spans="2:7" x14ac:dyDescent="0.15">
      <c r="B73" s="54"/>
      <c r="C73" s="73"/>
      <c r="D73" s="73"/>
      <c r="E73" s="74"/>
      <c r="F73" s="73"/>
      <c r="G73" s="24"/>
    </row>
    <row r="74" spans="2:7" x14ac:dyDescent="0.15">
      <c r="B74" s="54"/>
      <c r="C74" s="73"/>
      <c r="D74" s="73"/>
      <c r="E74" s="74"/>
      <c r="F74" s="73"/>
      <c r="G74" s="24"/>
    </row>
    <row r="75" spans="2:7" x14ac:dyDescent="0.15">
      <c r="B75" s="54"/>
      <c r="C75" s="73"/>
      <c r="D75" s="73"/>
      <c r="E75" s="74"/>
      <c r="F75" s="73"/>
      <c r="G75" s="24"/>
    </row>
    <row r="76" spans="2:7" x14ac:dyDescent="0.15">
      <c r="B76" s="54"/>
      <c r="C76" s="73"/>
      <c r="D76" s="73"/>
      <c r="E76" s="74"/>
      <c r="F76" s="73"/>
      <c r="G76" s="24"/>
    </row>
    <row r="77" spans="2:7" x14ac:dyDescent="0.15">
      <c r="B77" s="54"/>
      <c r="C77" s="73"/>
      <c r="D77" s="73"/>
      <c r="E77" s="74"/>
      <c r="F77" s="73"/>
      <c r="G77" s="24"/>
    </row>
    <row r="78" spans="2:7" x14ac:dyDescent="0.15">
      <c r="B78" s="54"/>
      <c r="C78" s="73"/>
      <c r="D78" s="73"/>
      <c r="E78" s="74"/>
      <c r="F78" s="73"/>
      <c r="G78" s="24"/>
    </row>
    <row r="79" spans="2:7" x14ac:dyDescent="0.15">
      <c r="B79" s="54"/>
      <c r="C79" s="73"/>
      <c r="D79" s="73"/>
      <c r="E79" s="74"/>
      <c r="F79" s="73"/>
      <c r="G79" s="24"/>
    </row>
    <row r="80" spans="2:7" x14ac:dyDescent="0.15">
      <c r="B80" s="54"/>
      <c r="C80" s="73"/>
      <c r="D80" s="73"/>
      <c r="E80" s="74"/>
      <c r="F80" s="73"/>
      <c r="G80" s="24"/>
    </row>
    <row r="81" spans="2:7" x14ac:dyDescent="0.15">
      <c r="B81" s="54"/>
      <c r="C81" s="73"/>
      <c r="D81" s="73"/>
      <c r="E81" s="74"/>
      <c r="F81" s="73"/>
      <c r="G81" s="24"/>
    </row>
    <row r="82" spans="2:7" x14ac:dyDescent="0.15">
      <c r="B82" s="54"/>
      <c r="C82" s="73"/>
      <c r="D82" s="73"/>
      <c r="E82" s="74"/>
      <c r="F82" s="73"/>
      <c r="G82" s="24"/>
    </row>
    <row r="83" spans="2:7" x14ac:dyDescent="0.15">
      <c r="B83" s="54"/>
      <c r="C83" s="73"/>
      <c r="D83" s="73"/>
      <c r="E83" s="74"/>
      <c r="F83" s="73"/>
      <c r="G83" s="24"/>
    </row>
    <row r="84" spans="2:7" x14ac:dyDescent="0.15">
      <c r="B84" s="54"/>
      <c r="C84" s="73"/>
      <c r="D84" s="73"/>
      <c r="E84" s="74"/>
      <c r="F84" s="73"/>
      <c r="G84" s="24"/>
    </row>
    <row r="85" spans="2:7" x14ac:dyDescent="0.15">
      <c r="B85" s="54"/>
      <c r="C85" s="73"/>
      <c r="D85" s="73"/>
      <c r="E85" s="74"/>
      <c r="F85" s="73"/>
      <c r="G85" s="24"/>
    </row>
    <row r="86" spans="2:7" x14ac:dyDescent="0.15">
      <c r="B86" s="54"/>
      <c r="C86" s="73"/>
      <c r="D86" s="73"/>
      <c r="E86" s="74"/>
      <c r="F86" s="73"/>
      <c r="G86" s="24"/>
    </row>
    <row r="87" spans="2:7" x14ac:dyDescent="0.15">
      <c r="B87" s="54"/>
      <c r="C87" s="73"/>
      <c r="D87" s="73"/>
      <c r="E87" s="74"/>
      <c r="F87" s="73"/>
      <c r="G87" s="24"/>
    </row>
    <row r="88" spans="2:7" x14ac:dyDescent="0.15">
      <c r="B88" s="54"/>
      <c r="C88" s="73"/>
      <c r="D88" s="73"/>
      <c r="E88" s="74"/>
      <c r="F88" s="73"/>
      <c r="G88" s="24"/>
    </row>
    <row r="89" spans="2:7" x14ac:dyDescent="0.15">
      <c r="B89" s="54"/>
      <c r="C89" s="73"/>
      <c r="D89" s="73"/>
      <c r="E89" s="74"/>
      <c r="F89" s="73"/>
      <c r="G89" s="24"/>
    </row>
    <row r="90" spans="2:7" x14ac:dyDescent="0.15">
      <c r="B90" s="54"/>
      <c r="C90" s="73"/>
      <c r="D90" s="73"/>
      <c r="E90" s="74"/>
      <c r="F90" s="73"/>
      <c r="G90" s="24"/>
    </row>
    <row r="91" spans="2:7" x14ac:dyDescent="0.15">
      <c r="B91" s="54"/>
      <c r="C91" s="73"/>
      <c r="D91" s="73"/>
      <c r="E91" s="74"/>
      <c r="F91" s="73"/>
      <c r="G91" s="24"/>
    </row>
    <row r="92" spans="2:7" x14ac:dyDescent="0.15">
      <c r="B92" s="54"/>
      <c r="C92" s="73"/>
      <c r="D92" s="73"/>
      <c r="E92" s="74"/>
      <c r="F92" s="73"/>
      <c r="G92" s="24"/>
    </row>
    <row r="93" spans="2:7" x14ac:dyDescent="0.15">
      <c r="B93" s="54"/>
      <c r="C93" s="73"/>
      <c r="D93" s="73"/>
      <c r="E93" s="74"/>
      <c r="F93" s="73"/>
      <c r="G93" s="24"/>
    </row>
    <row r="94" spans="2:7" x14ac:dyDescent="0.15">
      <c r="B94" s="54"/>
      <c r="C94" s="73"/>
      <c r="D94" s="73"/>
      <c r="E94" s="74"/>
      <c r="F94" s="73"/>
      <c r="G94" s="24"/>
    </row>
    <row r="95" spans="2:7" x14ac:dyDescent="0.15">
      <c r="B95" s="54"/>
      <c r="C95" s="73"/>
      <c r="D95" s="73"/>
      <c r="E95" s="74"/>
      <c r="F95" s="73"/>
      <c r="G95" s="24"/>
    </row>
    <row r="96" spans="2:7" x14ac:dyDescent="0.15">
      <c r="B96" s="54"/>
      <c r="C96" s="73"/>
      <c r="D96" s="73"/>
      <c r="E96" s="74"/>
      <c r="F96" s="73"/>
      <c r="G96" s="24"/>
    </row>
    <row r="97" spans="2:7" x14ac:dyDescent="0.15">
      <c r="B97" s="54"/>
      <c r="C97" s="73"/>
      <c r="D97" s="73"/>
      <c r="E97" s="74"/>
      <c r="F97" s="73"/>
      <c r="G97" s="24"/>
    </row>
    <row r="98" spans="2:7" x14ac:dyDescent="0.15">
      <c r="B98" s="54"/>
      <c r="C98" s="73"/>
      <c r="D98" s="73"/>
      <c r="E98" s="74"/>
      <c r="F98" s="73"/>
      <c r="G98" s="24"/>
    </row>
    <row r="99" spans="2:7" x14ac:dyDescent="0.15">
      <c r="B99" s="54"/>
      <c r="C99" s="73"/>
      <c r="D99" s="73"/>
      <c r="E99" s="74"/>
      <c r="F99" s="73"/>
      <c r="G99" s="24"/>
    </row>
    <row r="100" spans="2:7" x14ac:dyDescent="0.15">
      <c r="B100" s="54"/>
      <c r="C100" s="73"/>
      <c r="D100" s="73"/>
      <c r="E100" s="74"/>
      <c r="F100" s="73"/>
      <c r="G100" s="24"/>
    </row>
    <row r="101" spans="2:7" x14ac:dyDescent="0.15">
      <c r="B101" s="54"/>
      <c r="C101" s="73"/>
      <c r="D101" s="73"/>
      <c r="E101" s="74"/>
      <c r="F101" s="75"/>
      <c r="G101" s="24"/>
    </row>
    <row r="102" spans="2:7" x14ac:dyDescent="0.15">
      <c r="B102" s="24"/>
      <c r="C102" s="24"/>
      <c r="D102" s="24"/>
      <c r="E102" s="24"/>
      <c r="F102" s="24"/>
      <c r="G102" s="24"/>
    </row>
    <row r="103" spans="2:7" x14ac:dyDescent="0.15">
      <c r="B103" s="24"/>
      <c r="C103" s="24"/>
      <c r="D103" s="24"/>
      <c r="E103" s="24"/>
      <c r="F103" s="24"/>
      <c r="G103" s="24"/>
    </row>
    <row r="104" spans="2:7" x14ac:dyDescent="0.15">
      <c r="B104" s="24"/>
      <c r="C104" s="24"/>
      <c r="D104" s="24"/>
      <c r="E104" s="24"/>
      <c r="F104" s="24"/>
      <c r="G104" s="24"/>
    </row>
    <row r="105" spans="2:7" x14ac:dyDescent="0.15">
      <c r="B105" s="24"/>
      <c r="C105" s="24"/>
      <c r="D105" s="24"/>
      <c r="E105" s="24"/>
      <c r="F105" s="24"/>
      <c r="G105" s="24"/>
    </row>
    <row r="106" spans="2:7" x14ac:dyDescent="0.15">
      <c r="B106" s="24"/>
      <c r="C106" s="24"/>
      <c r="D106" s="24"/>
      <c r="E106" s="24"/>
      <c r="F106" s="24"/>
      <c r="G106" s="24"/>
    </row>
    <row r="107" spans="2:7" x14ac:dyDescent="0.15">
      <c r="B107" s="24"/>
      <c r="C107" s="24"/>
      <c r="D107" s="24"/>
      <c r="E107" s="24"/>
      <c r="F107" s="24"/>
      <c r="G107" s="24"/>
    </row>
    <row r="108" spans="2:7" x14ac:dyDescent="0.15">
      <c r="B108" s="24"/>
      <c r="C108" s="24"/>
      <c r="D108" s="24"/>
      <c r="E108" s="24"/>
      <c r="F108" s="24"/>
      <c r="G108" s="24"/>
    </row>
  </sheetData>
  <phoneticPr fontId="3" type="noConversion"/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Answers</vt:lpstr>
      <vt:lpstr>Details</vt:lpstr>
      <vt:lpstr>Answers!Print_Area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Colon</dc:creator>
  <cp:lastModifiedBy>J.M. Colon</cp:lastModifiedBy>
  <cp:lastPrinted>2014-10-22T01:49:51Z</cp:lastPrinted>
  <dcterms:created xsi:type="dcterms:W3CDTF">2007-02-19T03:24:13Z</dcterms:created>
  <dcterms:modified xsi:type="dcterms:W3CDTF">2021-11-20T15:59:43Z</dcterms:modified>
</cp:coreProperties>
</file>