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https://fordhamit-my.sharepoint.com/personal/jcolon_fordham_edu/Documents/Corporate Finance/Problems/Problems Fall 2024/"/>
    </mc:Choice>
  </mc:AlternateContent>
  <xr:revisionPtr revIDLastSave="392" documentId="8_{222B70A7-16C9-2645-B94E-46DC2EFCDA83}" xr6:coauthVersionLast="47" xr6:coauthVersionMax="47" xr10:uidLastSave="{527A8428-EF7B-EA4C-B6BB-2FCA94687372}"/>
  <bookViews>
    <workbookView xWindow="12420" yWindow="500" windowWidth="28640" windowHeight="27020" activeTab="4" xr2:uid="{00000000-000D-0000-FFFF-FFFF00000000}"/>
  </bookViews>
  <sheets>
    <sheet name="HW 2 Ans" sheetId="1" r:id="rId1"/>
    <sheet name="Q# 2" sheetId="6" r:id="rId2"/>
    <sheet name="Q# 3" sheetId="4" r:id="rId3"/>
    <sheet name="Q# 5" sheetId="5" r:id="rId4"/>
    <sheet name="Q# 9" sheetId="2"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3" i="1" l="1"/>
  <c r="C57" i="1"/>
  <c r="C62" i="1"/>
  <c r="C64" i="1"/>
  <c r="C48" i="1"/>
  <c r="C66" i="1"/>
  <c r="V22" i="6"/>
  <c r="U22" i="6"/>
  <c r="T22" i="6"/>
  <c r="S22" i="6"/>
  <c r="R22" i="6"/>
  <c r="Q22" i="6"/>
  <c r="P22" i="6"/>
  <c r="O22" i="6"/>
  <c r="N22" i="6"/>
  <c r="M22" i="6"/>
  <c r="L22" i="6"/>
  <c r="K22" i="6"/>
  <c r="J22" i="6"/>
  <c r="I22" i="6"/>
  <c r="H22" i="6"/>
  <c r="G22" i="6"/>
  <c r="F22" i="6"/>
  <c r="E22" i="6"/>
  <c r="D22" i="6"/>
  <c r="C22" i="6"/>
  <c r="C23" i="6"/>
  <c r="D23" i="6"/>
  <c r="E23" i="6"/>
  <c r="F23" i="6"/>
  <c r="G23" i="6"/>
  <c r="H23" i="6"/>
  <c r="I23" i="6"/>
  <c r="J23" i="6"/>
  <c r="K23" i="6"/>
  <c r="L23" i="6"/>
  <c r="M23" i="6"/>
  <c r="N23" i="6"/>
  <c r="O23" i="6"/>
  <c r="P23" i="6"/>
  <c r="Q23" i="6"/>
  <c r="R23" i="6"/>
  <c r="S23" i="6"/>
  <c r="T23" i="6"/>
  <c r="U23" i="6"/>
  <c r="V23" i="6"/>
  <c r="C25" i="6"/>
  <c r="C11" i="6"/>
  <c r="D11" i="6"/>
  <c r="E11" i="6"/>
  <c r="F11" i="6"/>
  <c r="G11" i="6"/>
  <c r="H11" i="6"/>
  <c r="I11" i="6"/>
  <c r="J11" i="6"/>
  <c r="K11" i="6"/>
  <c r="L11" i="6"/>
  <c r="M11" i="6"/>
  <c r="N11" i="6"/>
  <c r="O11" i="6"/>
  <c r="P11" i="6"/>
  <c r="Q11" i="6"/>
  <c r="R11" i="6"/>
  <c r="S11" i="6"/>
  <c r="T11" i="6"/>
  <c r="U11" i="6"/>
  <c r="V11" i="6"/>
  <c r="C13" i="6"/>
  <c r="V10" i="6"/>
  <c r="U10" i="6"/>
  <c r="T10" i="6"/>
  <c r="S10" i="6"/>
  <c r="R10" i="6"/>
  <c r="Q10" i="6"/>
  <c r="P10" i="6"/>
  <c r="O10" i="6"/>
  <c r="N10" i="6"/>
  <c r="M10" i="6"/>
  <c r="L10" i="6"/>
  <c r="K10" i="6"/>
  <c r="J10" i="6"/>
  <c r="I10" i="6"/>
  <c r="H10" i="6"/>
  <c r="G10" i="6"/>
  <c r="F10" i="6"/>
  <c r="E10" i="6"/>
  <c r="D10" i="6"/>
  <c r="C10" i="6"/>
  <c r="C177" i="1"/>
  <c r="C176" i="1"/>
  <c r="C154" i="1"/>
  <c r="E5" i="5"/>
  <c r="C21" i="1"/>
  <c r="C163" i="1"/>
  <c r="C168" i="1"/>
  <c r="C161" i="1"/>
  <c r="F11" i="5"/>
  <c r="E6" i="5"/>
  <c r="G11" i="5"/>
  <c r="I11" i="5"/>
  <c r="E12" i="5"/>
  <c r="F12" i="5"/>
  <c r="G12" i="5"/>
  <c r="I12" i="5"/>
  <c r="E13" i="5"/>
  <c r="F13" i="5"/>
  <c r="G13" i="5"/>
  <c r="I13" i="5"/>
  <c r="E14" i="5"/>
  <c r="F14" i="5"/>
  <c r="G14" i="5"/>
  <c r="I14" i="5"/>
  <c r="E15" i="5"/>
  <c r="F15" i="5"/>
  <c r="G15" i="5"/>
  <c r="I15" i="5"/>
  <c r="E16" i="5"/>
  <c r="F16" i="5"/>
  <c r="G16" i="5"/>
  <c r="I16" i="5"/>
  <c r="E17" i="5"/>
  <c r="F17" i="5"/>
  <c r="G17" i="5"/>
  <c r="I17" i="5"/>
  <c r="E18" i="5"/>
  <c r="F18" i="5"/>
  <c r="G18" i="5"/>
  <c r="I18" i="5"/>
  <c r="E19" i="5"/>
  <c r="F19" i="5"/>
  <c r="G19" i="5"/>
  <c r="I19" i="5"/>
  <c r="E20" i="5"/>
  <c r="F20" i="5"/>
  <c r="G20" i="5"/>
  <c r="I20" i="5"/>
  <c r="E21" i="5"/>
  <c r="F21" i="5"/>
  <c r="G21" i="5"/>
  <c r="I21" i="5"/>
  <c r="E22" i="5"/>
  <c r="F22" i="5"/>
  <c r="G22" i="5"/>
  <c r="I22" i="5"/>
  <c r="E23" i="5"/>
  <c r="F23" i="5"/>
  <c r="G23" i="5"/>
  <c r="I23" i="5"/>
  <c r="E24" i="5"/>
  <c r="F24" i="5"/>
  <c r="G24" i="5"/>
  <c r="I24" i="5"/>
  <c r="E25" i="5"/>
  <c r="F25" i="5"/>
  <c r="G25" i="5"/>
  <c r="I25" i="5"/>
  <c r="E26" i="5"/>
  <c r="F26" i="5"/>
  <c r="G26" i="5"/>
  <c r="I26" i="5"/>
  <c r="E27" i="5"/>
  <c r="F27" i="5"/>
  <c r="G27" i="5"/>
  <c r="I27" i="5"/>
  <c r="E28" i="5"/>
  <c r="F28" i="5"/>
  <c r="G28" i="5"/>
  <c r="I28" i="5"/>
  <c r="E29" i="5"/>
  <c r="F29" i="5"/>
  <c r="G29" i="5"/>
  <c r="I29" i="5"/>
  <c r="E30" i="5"/>
  <c r="F30" i="5"/>
  <c r="G30" i="5"/>
  <c r="I30" i="5"/>
  <c r="E31" i="5"/>
  <c r="F31" i="5"/>
  <c r="G31" i="5"/>
  <c r="I31" i="5"/>
  <c r="E32" i="5"/>
  <c r="F32" i="5"/>
  <c r="G32" i="5"/>
  <c r="I32" i="5"/>
  <c r="E33" i="5"/>
  <c r="F33" i="5"/>
  <c r="G33" i="5"/>
  <c r="I33" i="5"/>
  <c r="E34" i="5"/>
  <c r="F34" i="5"/>
  <c r="G34" i="5"/>
  <c r="I34" i="5"/>
  <c r="E35" i="5"/>
  <c r="F35" i="5"/>
  <c r="G35" i="5"/>
  <c r="I35" i="5"/>
  <c r="E36" i="5"/>
  <c r="F36" i="5"/>
  <c r="G36" i="5"/>
  <c r="I36" i="5"/>
  <c r="E37" i="5"/>
  <c r="F37" i="5"/>
  <c r="G37" i="5"/>
  <c r="I37" i="5"/>
  <c r="E38" i="5"/>
  <c r="F38" i="5"/>
  <c r="G38" i="5"/>
  <c r="I38" i="5"/>
  <c r="E39" i="5"/>
  <c r="F39" i="5"/>
  <c r="G39" i="5"/>
  <c r="I39" i="5"/>
  <c r="E40" i="5"/>
  <c r="F40" i="5"/>
  <c r="G40" i="5"/>
  <c r="I40" i="5"/>
  <c r="E41" i="5"/>
  <c r="F41" i="5"/>
  <c r="G41" i="5"/>
  <c r="I41" i="5"/>
  <c r="E42" i="5"/>
  <c r="F42" i="5"/>
  <c r="G42" i="5"/>
  <c r="I42" i="5"/>
  <c r="E43" i="5"/>
  <c r="F43" i="5"/>
  <c r="G43" i="5"/>
  <c r="I43" i="5"/>
  <c r="E44" i="5"/>
  <c r="F44" i="5"/>
  <c r="G44" i="5"/>
  <c r="I44" i="5"/>
  <c r="E45" i="5"/>
  <c r="F45" i="5"/>
  <c r="G45" i="5"/>
  <c r="I45" i="5"/>
  <c r="E46" i="5"/>
  <c r="F46" i="5"/>
  <c r="G46" i="5"/>
  <c r="I46" i="5"/>
  <c r="E47" i="5"/>
  <c r="F47" i="5"/>
  <c r="G47" i="5"/>
  <c r="I47" i="5"/>
  <c r="E48" i="5"/>
  <c r="F48" i="5"/>
  <c r="G48" i="5"/>
  <c r="I48" i="5"/>
  <c r="E49" i="5"/>
  <c r="F49" i="5"/>
  <c r="G49" i="5"/>
  <c r="I49" i="5"/>
  <c r="E50" i="5"/>
  <c r="F50" i="5"/>
  <c r="G50" i="5"/>
  <c r="I50" i="5"/>
  <c r="E51" i="5"/>
  <c r="F51" i="5"/>
  <c r="G51" i="5"/>
  <c r="I51" i="5"/>
  <c r="E52" i="5"/>
  <c r="F52" i="5"/>
  <c r="G52" i="5"/>
  <c r="I52" i="5"/>
  <c r="E53" i="5"/>
  <c r="F53" i="5"/>
  <c r="G53" i="5"/>
  <c r="I53" i="5"/>
  <c r="E54" i="5"/>
  <c r="F54" i="5"/>
  <c r="G54" i="5"/>
  <c r="I54" i="5"/>
  <c r="E55" i="5"/>
  <c r="F55" i="5"/>
  <c r="G55" i="5"/>
  <c r="I55" i="5"/>
  <c r="E56" i="5"/>
  <c r="F56" i="5"/>
  <c r="G56" i="5"/>
  <c r="I56" i="5"/>
  <c r="E57" i="5"/>
  <c r="F57" i="5"/>
  <c r="G57" i="5"/>
  <c r="I57" i="5"/>
  <c r="E58" i="5"/>
  <c r="F58" i="5"/>
  <c r="G58" i="5"/>
  <c r="I58" i="5"/>
  <c r="E59" i="5"/>
  <c r="F59" i="5"/>
  <c r="G59" i="5"/>
  <c r="I59" i="5"/>
  <c r="E60" i="5"/>
  <c r="F60" i="5"/>
  <c r="G60" i="5"/>
  <c r="I60" i="5"/>
  <c r="E61" i="5"/>
  <c r="F61" i="5"/>
  <c r="G61" i="5"/>
  <c r="I61" i="5"/>
  <c r="E62" i="5"/>
  <c r="F62" i="5"/>
  <c r="G62" i="5"/>
  <c r="I62" i="5"/>
  <c r="E63" i="5"/>
  <c r="F63" i="5"/>
  <c r="G63" i="5"/>
  <c r="I63" i="5"/>
  <c r="E64" i="5"/>
  <c r="F64" i="5"/>
  <c r="G64" i="5"/>
  <c r="I64" i="5"/>
  <c r="E65" i="5"/>
  <c r="F65" i="5"/>
  <c r="G65" i="5"/>
  <c r="I65" i="5"/>
  <c r="E66" i="5"/>
  <c r="F66" i="5"/>
  <c r="G66" i="5"/>
  <c r="I66" i="5"/>
  <c r="E67" i="5"/>
  <c r="F67" i="5"/>
  <c r="G67" i="5"/>
  <c r="I67" i="5"/>
  <c r="E68" i="5"/>
  <c r="F68" i="5"/>
  <c r="G68" i="5"/>
  <c r="I68" i="5"/>
  <c r="E69" i="5"/>
  <c r="F69" i="5"/>
  <c r="G69" i="5"/>
  <c r="I69" i="5"/>
  <c r="E70" i="5"/>
  <c r="F70" i="5"/>
  <c r="G70" i="5"/>
  <c r="I70" i="5"/>
  <c r="E71" i="5"/>
  <c r="F71" i="5"/>
  <c r="G71" i="5"/>
  <c r="I71" i="5"/>
  <c r="E72" i="5"/>
  <c r="F72" i="5"/>
  <c r="G72" i="5"/>
  <c r="I72" i="5"/>
  <c r="E73" i="5"/>
  <c r="F73" i="5"/>
  <c r="G73" i="5"/>
  <c r="I73" i="5"/>
  <c r="E74" i="5"/>
  <c r="F74" i="5"/>
  <c r="G74" i="5"/>
  <c r="I74" i="5"/>
  <c r="E75" i="5"/>
  <c r="F75" i="5"/>
  <c r="G75" i="5"/>
  <c r="I75" i="5"/>
  <c r="E76" i="5"/>
  <c r="F76" i="5"/>
  <c r="G76" i="5"/>
  <c r="I76" i="5"/>
  <c r="E77" i="5"/>
  <c r="F77" i="5"/>
  <c r="G77" i="5"/>
  <c r="I77" i="5"/>
  <c r="E78" i="5"/>
  <c r="F78" i="5"/>
  <c r="G78" i="5"/>
  <c r="I78" i="5"/>
  <c r="E79" i="5"/>
  <c r="F79" i="5"/>
  <c r="G79" i="5"/>
  <c r="I79" i="5"/>
  <c r="E80" i="5"/>
  <c r="F80" i="5"/>
  <c r="G80" i="5"/>
  <c r="I80" i="5"/>
  <c r="E81" i="5"/>
  <c r="F81" i="5"/>
  <c r="G81" i="5"/>
  <c r="I81" i="5"/>
  <c r="E82" i="5"/>
  <c r="F82" i="5"/>
  <c r="G82" i="5"/>
  <c r="I82" i="5"/>
  <c r="E83" i="5"/>
  <c r="F83" i="5"/>
  <c r="G83" i="5"/>
  <c r="I83" i="5"/>
  <c r="E84" i="5"/>
  <c r="F84" i="5"/>
  <c r="G84" i="5"/>
  <c r="I84" i="5"/>
  <c r="E85" i="5"/>
  <c r="F85" i="5"/>
  <c r="G85" i="5"/>
  <c r="I85" i="5"/>
  <c r="E86" i="5"/>
  <c r="F86" i="5"/>
  <c r="G86" i="5"/>
  <c r="I86" i="5"/>
  <c r="E87" i="5"/>
  <c r="F87" i="5"/>
  <c r="G87" i="5"/>
  <c r="I87" i="5"/>
  <c r="E88" i="5"/>
  <c r="F88" i="5"/>
  <c r="G88" i="5"/>
  <c r="I88" i="5"/>
  <c r="E89" i="5"/>
  <c r="F89" i="5"/>
  <c r="G89" i="5"/>
  <c r="I89" i="5"/>
  <c r="E90" i="5"/>
  <c r="F90" i="5"/>
  <c r="G90" i="5"/>
  <c r="I90" i="5"/>
  <c r="E91" i="5"/>
  <c r="F91" i="5"/>
  <c r="G91" i="5"/>
  <c r="I91" i="5"/>
  <c r="E92" i="5"/>
  <c r="F92" i="5"/>
  <c r="G92" i="5"/>
  <c r="I92" i="5"/>
  <c r="E93" i="5"/>
  <c r="F93" i="5"/>
  <c r="G93" i="5"/>
  <c r="I93" i="5"/>
  <c r="E94" i="5"/>
  <c r="F94" i="5"/>
  <c r="G94" i="5"/>
  <c r="I94" i="5"/>
  <c r="E95" i="5"/>
  <c r="F95" i="5"/>
  <c r="G95" i="5"/>
  <c r="I95" i="5"/>
  <c r="E96" i="5"/>
  <c r="F96" i="5"/>
  <c r="G96" i="5"/>
  <c r="I96" i="5"/>
  <c r="E97" i="5"/>
  <c r="F97" i="5"/>
  <c r="G97" i="5"/>
  <c r="I97" i="5"/>
  <c r="E98" i="5"/>
  <c r="F98" i="5"/>
  <c r="G98" i="5"/>
  <c r="I98" i="5"/>
  <c r="E99" i="5"/>
  <c r="F99" i="5"/>
  <c r="G99" i="5"/>
  <c r="I99" i="5"/>
  <c r="E100" i="5"/>
  <c r="F100" i="5"/>
  <c r="G100" i="5"/>
  <c r="I100" i="5"/>
  <c r="E101" i="5"/>
  <c r="F101" i="5"/>
  <c r="G101" i="5"/>
  <c r="I101" i="5"/>
  <c r="E102" i="5"/>
  <c r="F102" i="5"/>
  <c r="G102" i="5"/>
  <c r="I102" i="5"/>
  <c r="E103" i="5"/>
  <c r="F103" i="5"/>
  <c r="G103" i="5"/>
  <c r="I103" i="5"/>
  <c r="E104" i="5"/>
  <c r="F104" i="5"/>
  <c r="G104" i="5"/>
  <c r="I104" i="5"/>
  <c r="E105" i="5"/>
  <c r="F105" i="5"/>
  <c r="G105" i="5"/>
  <c r="I105" i="5"/>
  <c r="E106" i="5"/>
  <c r="F106" i="5"/>
  <c r="G106" i="5"/>
  <c r="I106" i="5"/>
  <c r="E107" i="5"/>
  <c r="F107" i="5"/>
  <c r="G107" i="5"/>
  <c r="I107" i="5"/>
  <c r="E108" i="5"/>
  <c r="F108" i="5"/>
  <c r="G108" i="5"/>
  <c r="I108" i="5"/>
  <c r="E109" i="5"/>
  <c r="F109" i="5"/>
  <c r="G109" i="5"/>
  <c r="I109" i="5"/>
  <c r="E110" i="5"/>
  <c r="F110" i="5"/>
  <c r="G110" i="5"/>
  <c r="I110" i="5"/>
  <c r="E111" i="5"/>
  <c r="F111" i="5"/>
  <c r="G111" i="5"/>
  <c r="I111" i="5"/>
  <c r="E112" i="5"/>
  <c r="F112" i="5"/>
  <c r="G112" i="5"/>
  <c r="I112" i="5"/>
  <c r="E113" i="5"/>
  <c r="F113" i="5"/>
  <c r="G113" i="5"/>
  <c r="I113" i="5"/>
  <c r="E114" i="5"/>
  <c r="F114" i="5"/>
  <c r="G114" i="5"/>
  <c r="I114" i="5"/>
  <c r="E115" i="5"/>
  <c r="F115" i="5"/>
  <c r="G115" i="5"/>
  <c r="I115" i="5"/>
  <c r="E116" i="5"/>
  <c r="F116" i="5"/>
  <c r="G116" i="5"/>
  <c r="I116" i="5"/>
  <c r="E117" i="5"/>
  <c r="F117" i="5"/>
  <c r="G117" i="5"/>
  <c r="I117" i="5"/>
  <c r="E118" i="5"/>
  <c r="F118" i="5"/>
  <c r="G118" i="5"/>
  <c r="I118" i="5"/>
  <c r="E119" i="5"/>
  <c r="F119" i="5"/>
  <c r="G119" i="5"/>
  <c r="I119" i="5"/>
  <c r="E120" i="5"/>
  <c r="F120" i="5"/>
  <c r="G120" i="5"/>
  <c r="I120" i="5"/>
  <c r="E121" i="5"/>
  <c r="F121" i="5"/>
  <c r="G121" i="5"/>
  <c r="I121" i="5"/>
  <c r="E122" i="5"/>
  <c r="F122" i="5"/>
  <c r="G122" i="5"/>
  <c r="I122" i="5"/>
  <c r="E123" i="5"/>
  <c r="F123" i="5"/>
  <c r="G123" i="5"/>
  <c r="I123" i="5"/>
  <c r="E124" i="5"/>
  <c r="F124" i="5"/>
  <c r="G124" i="5"/>
  <c r="I124" i="5"/>
  <c r="E125" i="5"/>
  <c r="F125" i="5"/>
  <c r="G125" i="5"/>
  <c r="I125" i="5"/>
  <c r="E126" i="5"/>
  <c r="F126" i="5"/>
  <c r="G126" i="5"/>
  <c r="I126" i="5"/>
  <c r="E127" i="5"/>
  <c r="F127" i="5"/>
  <c r="G127" i="5"/>
  <c r="I127" i="5"/>
  <c r="E128" i="5"/>
  <c r="F128" i="5"/>
  <c r="G128" i="5"/>
  <c r="I128" i="5"/>
  <c r="E129" i="5"/>
  <c r="F129" i="5"/>
  <c r="G129" i="5"/>
  <c r="I129" i="5"/>
  <c r="E130" i="5"/>
  <c r="F130" i="5"/>
  <c r="G130" i="5"/>
  <c r="H130" i="5"/>
  <c r="I130" i="5"/>
  <c r="H128" i="5"/>
  <c r="H129"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 i="5"/>
  <c r="H13" i="5"/>
  <c r="E11" i="5"/>
  <c r="H11" i="5"/>
  <c r="C142" i="1"/>
  <c r="C18" i="1"/>
  <c r="C17" i="1"/>
  <c r="C140" i="1"/>
  <c r="C210" i="1"/>
  <c r="C216" i="1"/>
  <c r="C14" i="1"/>
  <c r="C11" i="1"/>
  <c r="C217" i="1"/>
  <c r="C218" i="1"/>
  <c r="C202" i="1"/>
  <c r="G3" i="2"/>
  <c r="C185" i="1"/>
  <c r="C184" i="1"/>
  <c r="C136" i="1"/>
  <c r="G49" i="4"/>
  <c r="F49" i="4"/>
  <c r="F50" i="4"/>
  <c r="F51" i="4"/>
  <c r="F52" i="4"/>
  <c r="F53" i="4"/>
  <c r="F54" i="4"/>
  <c r="F55" i="4"/>
  <c r="F56" i="4"/>
  <c r="F57" i="4"/>
  <c r="F58" i="4"/>
  <c r="F59" i="4"/>
  <c r="F60" i="4"/>
  <c r="F61" i="4"/>
  <c r="F62" i="4"/>
  <c r="F63" i="4"/>
  <c r="F64" i="4"/>
  <c r="F65" i="4"/>
  <c r="F66" i="4"/>
  <c r="C129" i="1"/>
  <c r="C121" i="1"/>
  <c r="C110" i="1"/>
  <c r="G27" i="4"/>
  <c r="E27" i="4"/>
  <c r="F27" i="4"/>
  <c r="G28" i="4"/>
  <c r="E28" i="4"/>
  <c r="F28" i="4"/>
  <c r="G29" i="4"/>
  <c r="E29" i="4"/>
  <c r="F29" i="4"/>
  <c r="G30" i="4"/>
  <c r="E30" i="4"/>
  <c r="F30" i="4"/>
  <c r="G31" i="4"/>
  <c r="E31" i="4"/>
  <c r="F31" i="4"/>
  <c r="G32" i="4"/>
  <c r="E32" i="4"/>
  <c r="F32" i="4"/>
  <c r="G33" i="4"/>
  <c r="E33" i="4"/>
  <c r="F33" i="4"/>
  <c r="G34" i="4"/>
  <c r="E34" i="4"/>
  <c r="F34" i="4"/>
  <c r="G35" i="4"/>
  <c r="E35" i="4"/>
  <c r="F35" i="4"/>
  <c r="G36" i="4"/>
  <c r="E36" i="4"/>
  <c r="F36" i="4"/>
  <c r="G37" i="4"/>
  <c r="E37" i="4"/>
  <c r="F37" i="4"/>
  <c r="G38" i="4"/>
  <c r="E38" i="4"/>
  <c r="F38" i="4"/>
  <c r="G39" i="4"/>
  <c r="E39" i="4"/>
  <c r="F39" i="4"/>
  <c r="G40" i="4"/>
  <c r="E40" i="4"/>
  <c r="F40" i="4"/>
  <c r="G41" i="4"/>
  <c r="E41" i="4"/>
  <c r="F41" i="4"/>
  <c r="G42" i="4"/>
  <c r="E42" i="4"/>
  <c r="F42" i="4"/>
  <c r="G43" i="4"/>
  <c r="E43" i="4"/>
  <c r="F43" i="4"/>
  <c r="G44" i="4"/>
  <c r="E44" i="4"/>
  <c r="F44" i="4"/>
  <c r="C99" i="1"/>
  <c r="C92" i="1"/>
  <c r="F21" i="4"/>
  <c r="E21" i="4"/>
  <c r="F4" i="4"/>
  <c r="E4" i="4"/>
  <c r="G4" i="4"/>
  <c r="F5" i="4"/>
  <c r="E5" i="4"/>
  <c r="F6" i="4"/>
  <c r="E6" i="4"/>
  <c r="G6" i="4"/>
  <c r="F7" i="4"/>
  <c r="E7" i="4"/>
  <c r="F8" i="4"/>
  <c r="E8" i="4"/>
  <c r="G8" i="4"/>
  <c r="F9" i="4"/>
  <c r="E9" i="4"/>
  <c r="G9" i="4"/>
  <c r="F10" i="4"/>
  <c r="E10" i="4"/>
  <c r="F11" i="4"/>
  <c r="E11" i="4"/>
  <c r="F12" i="4"/>
  <c r="E12" i="4"/>
  <c r="F13" i="4"/>
  <c r="E13" i="4"/>
  <c r="F14" i="4"/>
  <c r="E14" i="4"/>
  <c r="F15" i="4"/>
  <c r="E15" i="4"/>
  <c r="F16" i="4"/>
  <c r="E16" i="4"/>
  <c r="G16" i="4"/>
  <c r="F17" i="4"/>
  <c r="E17" i="4"/>
  <c r="F18" i="4"/>
  <c r="E18" i="4"/>
  <c r="F19" i="4"/>
  <c r="E19" i="4"/>
  <c r="F20" i="4"/>
  <c r="E20" i="4"/>
  <c r="G20" i="4"/>
  <c r="E2"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7" i="2"/>
  <c r="C196" i="1"/>
  <c r="G17" i="4"/>
  <c r="G15" i="4"/>
  <c r="G13" i="4"/>
  <c r="G11" i="4"/>
  <c r="G18" i="4"/>
  <c r="G19" i="4"/>
  <c r="G14" i="4"/>
  <c r="G12" i="4"/>
  <c r="G10" i="4"/>
  <c r="G7" i="4"/>
  <c r="G5" i="4"/>
  <c r="G21" i="4"/>
  <c r="H49" i="4"/>
  <c r="E50" i="4"/>
  <c r="C211" i="1"/>
  <c r="D6" i="2"/>
  <c r="D23" i="2"/>
  <c r="D38" i="2"/>
  <c r="D46" i="2"/>
  <c r="D54" i="2"/>
  <c r="D62" i="2"/>
  <c r="D70" i="2"/>
  <c r="D78" i="2"/>
  <c r="D86" i="2"/>
  <c r="D94" i="2"/>
  <c r="D102" i="2"/>
  <c r="D110" i="2"/>
  <c r="D118" i="2"/>
  <c r="D100" i="2"/>
  <c r="D116" i="2"/>
  <c r="D80" i="2"/>
  <c r="D112" i="2"/>
  <c r="D17" i="2"/>
  <c r="D33" i="2"/>
  <c r="D36" i="2"/>
  <c r="D44" i="2"/>
  <c r="D52" i="2"/>
  <c r="D60" i="2"/>
  <c r="D68" i="2"/>
  <c r="D76" i="2"/>
  <c r="D84" i="2"/>
  <c r="D92" i="2"/>
  <c r="D108" i="2"/>
  <c r="D124" i="2"/>
  <c r="D72" i="2"/>
  <c r="D96" i="2"/>
  <c r="D120" i="2"/>
  <c r="D15" i="2"/>
  <c r="D31" i="2"/>
  <c r="D42" i="2"/>
  <c r="D50" i="2"/>
  <c r="D58" i="2"/>
  <c r="D66" i="2"/>
  <c r="D74" i="2"/>
  <c r="D82" i="2"/>
  <c r="D90" i="2"/>
  <c r="D98" i="2"/>
  <c r="D106" i="2"/>
  <c r="D114" i="2"/>
  <c r="D122" i="2"/>
  <c r="D25" i="2"/>
  <c r="D40" i="2"/>
  <c r="D48" i="2"/>
  <c r="D56" i="2"/>
  <c r="D64" i="2"/>
  <c r="D88" i="2"/>
  <c r="D104" i="2"/>
  <c r="D123" i="2"/>
  <c r="D121" i="2"/>
  <c r="D119" i="2"/>
  <c r="D117" i="2"/>
  <c r="D115" i="2"/>
  <c r="D113" i="2"/>
  <c r="D111" i="2"/>
  <c r="D109" i="2"/>
  <c r="D107" i="2"/>
  <c r="D105" i="2"/>
  <c r="D103" i="2"/>
  <c r="D101" i="2"/>
  <c r="D99" i="2"/>
  <c r="D97" i="2"/>
  <c r="D95" i="2"/>
  <c r="D93" i="2"/>
  <c r="D91" i="2"/>
  <c r="D89" i="2"/>
  <c r="D87" i="2"/>
  <c r="D85" i="2"/>
  <c r="D83" i="2"/>
  <c r="D81" i="2"/>
  <c r="D79" i="2"/>
  <c r="D77" i="2"/>
  <c r="D75" i="2"/>
  <c r="D73" i="2"/>
  <c r="D71" i="2"/>
  <c r="D69" i="2"/>
  <c r="D67" i="2"/>
  <c r="D65" i="2"/>
  <c r="D63" i="2"/>
  <c r="D61" i="2"/>
  <c r="D59" i="2"/>
  <c r="D57" i="2"/>
  <c r="D55" i="2"/>
  <c r="D53" i="2"/>
  <c r="D51" i="2"/>
  <c r="D49" i="2"/>
  <c r="D47" i="2"/>
  <c r="D45" i="2"/>
  <c r="D43" i="2"/>
  <c r="D41" i="2"/>
  <c r="D39" i="2"/>
  <c r="D37" i="2"/>
  <c r="D35" i="2"/>
  <c r="D27" i="2"/>
  <c r="D19" i="2"/>
  <c r="D29" i="2"/>
  <c r="D21" i="2"/>
  <c r="D13" i="2"/>
  <c r="D9" i="2"/>
  <c r="D34" i="2"/>
  <c r="D32" i="2"/>
  <c r="D30" i="2"/>
  <c r="D28" i="2"/>
  <c r="D26" i="2"/>
  <c r="D24" i="2"/>
  <c r="D22" i="2"/>
  <c r="D20" i="2"/>
  <c r="D18" i="2"/>
  <c r="D16" i="2"/>
  <c r="D11" i="2"/>
  <c r="D5" i="2"/>
  <c r="D7" i="2"/>
  <c r="H44" i="4"/>
  <c r="H42" i="4"/>
  <c r="H40" i="4"/>
  <c r="H38" i="4"/>
  <c r="H36" i="4"/>
  <c r="H34" i="4"/>
  <c r="H32" i="4"/>
  <c r="H30" i="4"/>
  <c r="H28" i="4"/>
  <c r="H43" i="4"/>
  <c r="H41" i="4"/>
  <c r="H39" i="4"/>
  <c r="H37" i="4"/>
  <c r="H35" i="4"/>
  <c r="H33" i="4"/>
  <c r="H31" i="4"/>
  <c r="H29" i="4"/>
  <c r="H27" i="4"/>
  <c r="G50" i="4"/>
  <c r="D14" i="2"/>
  <c r="D12" i="2"/>
  <c r="D10" i="2"/>
  <c r="D8" i="2"/>
  <c r="H50" i="4"/>
  <c r="E51" i="4"/>
  <c r="G22" i="4"/>
  <c r="H45" i="4"/>
  <c r="G51" i="4"/>
  <c r="H51" i="4"/>
  <c r="E52" i="4"/>
  <c r="D127" i="2"/>
  <c r="E10" i="2"/>
  <c r="F10" i="2"/>
  <c r="E12" i="2"/>
  <c r="F12" i="2"/>
  <c r="E14" i="2"/>
  <c r="F14" i="2"/>
  <c r="G52" i="4"/>
  <c r="H52" i="4"/>
  <c r="E53" i="4"/>
  <c r="E9" i="2"/>
  <c r="F9" i="2"/>
  <c r="E17" i="2"/>
  <c r="F17" i="2"/>
  <c r="E20" i="2"/>
  <c r="F20" i="2"/>
  <c r="E25" i="2"/>
  <c r="F25" i="2"/>
  <c r="E28" i="2"/>
  <c r="F28" i="2"/>
  <c r="E33" i="2"/>
  <c r="F33" i="2"/>
  <c r="E36" i="2"/>
  <c r="F36" i="2"/>
  <c r="E41" i="2"/>
  <c r="F41" i="2"/>
  <c r="E44" i="2"/>
  <c r="F44" i="2"/>
  <c r="E49" i="2"/>
  <c r="F49" i="2"/>
  <c r="E52" i="2"/>
  <c r="F52" i="2"/>
  <c r="E57" i="2"/>
  <c r="F57" i="2"/>
  <c r="E60" i="2"/>
  <c r="F60" i="2"/>
  <c r="E65" i="2"/>
  <c r="F65" i="2"/>
  <c r="E68" i="2"/>
  <c r="F68" i="2"/>
  <c r="E73" i="2"/>
  <c r="F73" i="2"/>
  <c r="E76" i="2"/>
  <c r="F76" i="2"/>
  <c r="E81" i="2"/>
  <c r="F81" i="2"/>
  <c r="E84" i="2"/>
  <c r="F84" i="2"/>
  <c r="E89" i="2"/>
  <c r="F89" i="2"/>
  <c r="E92" i="2"/>
  <c r="F92" i="2"/>
  <c r="E97" i="2"/>
  <c r="F97" i="2"/>
  <c r="E100" i="2"/>
  <c r="F100" i="2"/>
  <c r="E105" i="2"/>
  <c r="F105" i="2"/>
  <c r="E108" i="2"/>
  <c r="F108" i="2"/>
  <c r="E113" i="2"/>
  <c r="F113" i="2"/>
  <c r="E116" i="2"/>
  <c r="F116" i="2"/>
  <c r="E121" i="2"/>
  <c r="F121" i="2"/>
  <c r="E124" i="2"/>
  <c r="F124" i="2"/>
  <c r="E6" i="2"/>
  <c r="F6" i="2"/>
  <c r="E11" i="2"/>
  <c r="F11" i="2"/>
  <c r="E19" i="2"/>
  <c r="F19" i="2"/>
  <c r="E27" i="2"/>
  <c r="F27" i="2"/>
  <c r="E35" i="2"/>
  <c r="F35" i="2"/>
  <c r="E46" i="2"/>
  <c r="F46" i="2"/>
  <c r="E54" i="2"/>
  <c r="F54" i="2"/>
  <c r="E62" i="2"/>
  <c r="F62" i="2"/>
  <c r="E67" i="2"/>
  <c r="F67" i="2"/>
  <c r="E86" i="2"/>
  <c r="F86" i="2"/>
  <c r="E91" i="2"/>
  <c r="F91" i="2"/>
  <c r="E102" i="2"/>
  <c r="F102" i="2"/>
  <c r="E107" i="2"/>
  <c r="F107" i="2"/>
  <c r="E118" i="2"/>
  <c r="F118" i="2"/>
  <c r="E123" i="2"/>
  <c r="F123" i="2"/>
  <c r="E18" i="2"/>
  <c r="F18" i="2"/>
  <c r="E26" i="2"/>
  <c r="F26" i="2"/>
  <c r="E16" i="2"/>
  <c r="F16" i="2"/>
  <c r="E21" i="2"/>
  <c r="F21" i="2"/>
  <c r="E32" i="2"/>
  <c r="F32" i="2"/>
  <c r="E37" i="2"/>
  <c r="F37" i="2"/>
  <c r="E112" i="2"/>
  <c r="F112" i="2"/>
  <c r="E117" i="2"/>
  <c r="F117" i="2"/>
  <c r="E120" i="2"/>
  <c r="F120" i="2"/>
  <c r="E24" i="2"/>
  <c r="F24" i="2"/>
  <c r="E29" i="2"/>
  <c r="F29" i="2"/>
  <c r="E40" i="2"/>
  <c r="F40" i="2"/>
  <c r="E45" i="2"/>
  <c r="F45" i="2"/>
  <c r="E48" i="2"/>
  <c r="F48" i="2"/>
  <c r="E53" i="2"/>
  <c r="F53" i="2"/>
  <c r="E56" i="2"/>
  <c r="F56" i="2"/>
  <c r="E61" i="2"/>
  <c r="F61" i="2"/>
  <c r="E64" i="2"/>
  <c r="F64" i="2"/>
  <c r="E69" i="2"/>
  <c r="F69" i="2"/>
  <c r="E72" i="2"/>
  <c r="F72" i="2"/>
  <c r="E77" i="2"/>
  <c r="F77" i="2"/>
  <c r="E80" i="2"/>
  <c r="F80" i="2"/>
  <c r="E85" i="2"/>
  <c r="F85" i="2"/>
  <c r="E88" i="2"/>
  <c r="F88" i="2"/>
  <c r="E93" i="2"/>
  <c r="F93" i="2"/>
  <c r="E96" i="2"/>
  <c r="F96" i="2"/>
  <c r="E101" i="2"/>
  <c r="F101" i="2"/>
  <c r="E104" i="2"/>
  <c r="F104" i="2"/>
  <c r="E109" i="2"/>
  <c r="F109" i="2"/>
  <c r="E22" i="2"/>
  <c r="F22" i="2"/>
  <c r="E30" i="2"/>
  <c r="F30" i="2"/>
  <c r="E38" i="2"/>
  <c r="F38" i="2"/>
  <c r="E43" i="2"/>
  <c r="F43" i="2"/>
  <c r="E51" i="2"/>
  <c r="F51" i="2"/>
  <c r="E59" i="2"/>
  <c r="F59" i="2"/>
  <c r="E70" i="2"/>
  <c r="F70" i="2"/>
  <c r="E75" i="2"/>
  <c r="F75" i="2"/>
  <c r="E78" i="2"/>
  <c r="F78" i="2"/>
  <c r="E83" i="2"/>
  <c r="F83" i="2"/>
  <c r="E94" i="2"/>
  <c r="F94" i="2"/>
  <c r="E99" i="2"/>
  <c r="F99" i="2"/>
  <c r="E110" i="2"/>
  <c r="F110" i="2"/>
  <c r="E115" i="2"/>
  <c r="F115" i="2"/>
  <c r="E13" i="2"/>
  <c r="F13" i="2"/>
  <c r="E103" i="2"/>
  <c r="F103" i="2"/>
  <c r="E71" i="2"/>
  <c r="F71" i="2"/>
  <c r="E39" i="2"/>
  <c r="F39" i="2"/>
  <c r="E7" i="2"/>
  <c r="F7" i="2"/>
  <c r="E98" i="2"/>
  <c r="F98" i="2"/>
  <c r="E66" i="2"/>
  <c r="F66" i="2"/>
  <c r="E34" i="2"/>
  <c r="F34" i="2"/>
  <c r="E122" i="2"/>
  <c r="F122" i="2"/>
  <c r="E58" i="2"/>
  <c r="F58" i="2"/>
  <c r="E119" i="2"/>
  <c r="F119" i="2"/>
  <c r="E87" i="2"/>
  <c r="F87" i="2"/>
  <c r="E55" i="2"/>
  <c r="F55" i="2"/>
  <c r="E23" i="2"/>
  <c r="F23" i="2"/>
  <c r="E114" i="2"/>
  <c r="F114" i="2"/>
  <c r="E82" i="2"/>
  <c r="F82" i="2"/>
  <c r="E50" i="2"/>
  <c r="F50" i="2"/>
  <c r="E79" i="2"/>
  <c r="F79" i="2"/>
  <c r="E47" i="2"/>
  <c r="F47" i="2"/>
  <c r="E106" i="2"/>
  <c r="F106" i="2"/>
  <c r="E42" i="2"/>
  <c r="F42" i="2"/>
  <c r="E95" i="2"/>
  <c r="F95" i="2"/>
  <c r="E63" i="2"/>
  <c r="F63" i="2"/>
  <c r="E31" i="2"/>
  <c r="F31" i="2"/>
  <c r="E90" i="2"/>
  <c r="F90" i="2"/>
  <c r="E5" i="2"/>
  <c r="E111" i="2"/>
  <c r="F111" i="2"/>
  <c r="E15" i="2"/>
  <c r="F15" i="2"/>
  <c r="E74" i="2"/>
  <c r="F74" i="2"/>
  <c r="E8" i="2"/>
  <c r="F8" i="2"/>
  <c r="G53" i="4"/>
  <c r="H53" i="4"/>
  <c r="E54" i="4"/>
  <c r="F5" i="2"/>
  <c r="E127" i="2"/>
  <c r="F127" i="2"/>
  <c r="F128" i="2"/>
  <c r="G54" i="4"/>
  <c r="H54" i="4"/>
  <c r="E55" i="4"/>
  <c r="G55" i="4"/>
  <c r="H55" i="4"/>
  <c r="E56" i="4"/>
  <c r="G56" i="4"/>
  <c r="H56" i="4"/>
  <c r="E57" i="4"/>
  <c r="G57" i="4"/>
  <c r="H57" i="4"/>
  <c r="E58" i="4"/>
  <c r="G58" i="4"/>
  <c r="H58" i="4"/>
  <c r="E59" i="4"/>
  <c r="G59" i="4"/>
  <c r="H59" i="4"/>
  <c r="E60" i="4"/>
  <c r="G60" i="4"/>
  <c r="H60" i="4"/>
  <c r="E61" i="4"/>
  <c r="G61" i="4"/>
  <c r="H61" i="4"/>
  <c r="E62" i="4"/>
  <c r="G62" i="4"/>
  <c r="H62" i="4"/>
  <c r="E63" i="4"/>
  <c r="G63" i="4"/>
  <c r="H63" i="4"/>
  <c r="E64" i="4"/>
  <c r="G64" i="4"/>
  <c r="H64" i="4"/>
  <c r="E65" i="4"/>
  <c r="G65" i="4"/>
  <c r="H65" i="4"/>
  <c r="E66" i="4"/>
  <c r="G66" i="4"/>
  <c r="H66" i="4"/>
  <c r="C152" i="1"/>
  <c r="C153" i="1"/>
</calcChain>
</file>

<file path=xl/sharedStrings.xml><?xml version="1.0" encoding="utf-8"?>
<sst xmlns="http://schemas.openxmlformats.org/spreadsheetml/2006/main" count="279" uniqueCount="166">
  <si>
    <t>Proportion of Total Value * Time</t>
  </si>
  <si>
    <r>
      <t>C</t>
    </r>
    <r>
      <rPr>
        <b/>
        <vertAlign val="subscript"/>
        <sz val="10"/>
        <rFont val="Arial"/>
        <family val="2"/>
      </rPr>
      <t>t</t>
    </r>
  </si>
  <si>
    <r>
      <t>Proportion of Total Value [PV(C</t>
    </r>
    <r>
      <rPr>
        <b/>
        <vertAlign val="subscript"/>
        <sz val="10"/>
        <rFont val="Arial"/>
        <family val="2"/>
      </rPr>
      <t>t</t>
    </r>
    <r>
      <rPr>
        <b/>
        <sz val="10"/>
        <rFont val="Arial"/>
        <family val="2"/>
      </rPr>
      <t>)/V]</t>
    </r>
  </si>
  <si>
    <t>Monthly Payment</t>
  </si>
  <si>
    <t xml:space="preserve">Yearly Payment </t>
  </si>
  <si>
    <t>Monthly Interest  Rate</t>
    <phoneticPr fontId="18" type="noConversion"/>
  </si>
  <si>
    <t>Months</t>
    <phoneticPr fontId="18" type="noConversion"/>
  </si>
  <si>
    <t>Corporate Finance</t>
  </si>
  <si>
    <t>PMT</t>
  </si>
  <si>
    <t>N</t>
  </si>
  <si>
    <t>I</t>
  </si>
  <si>
    <t>PV</t>
  </si>
  <si>
    <t>FV</t>
  </si>
  <si>
    <t>&lt;--PV(rate,nper,PMT,FV,type)</t>
  </si>
  <si>
    <t>Question 4</t>
  </si>
  <si>
    <t>Question 5</t>
  </si>
  <si>
    <t>&lt;==RATE(nper,pmt,pv,fv,type,guess)</t>
  </si>
  <si>
    <t>I (Monthly)</t>
  </si>
  <si>
    <t>I (Yearly)</t>
  </si>
  <si>
    <t>Month</t>
  </si>
  <si>
    <t>Interest</t>
  </si>
  <si>
    <t>Payment</t>
  </si>
  <si>
    <t>DF</t>
  </si>
  <si>
    <t>Total</t>
  </si>
  <si>
    <t>Homework 2</t>
  </si>
  <si>
    <t>Question 6</t>
  </si>
  <si>
    <t>Totals</t>
  </si>
  <si>
    <t>Years</t>
  </si>
  <si>
    <r>
      <t>=12*</t>
    </r>
    <r>
      <rPr>
        <sz val="12"/>
        <color theme="1"/>
        <rFont val="Calibri"/>
        <family val="2"/>
        <scheme val="minor"/>
      </rPr>
      <t>1</t>
    </r>
    <r>
      <rPr>
        <sz val="12"/>
        <color theme="1"/>
        <rFont val="Calibri"/>
        <family val="2"/>
        <scheme val="minor"/>
      </rPr>
      <t>0</t>
    </r>
  </si>
  <si>
    <t>Year Ending</t>
  </si>
  <si>
    <t>Interest Rate</t>
  </si>
  <si>
    <t>There are two ways to solve this: (1) Change "type" from "0" to "1"</t>
  </si>
  <si>
    <t>Young Jagger's Age on Jan 1</t>
  </si>
  <si>
    <t>Escalator Rate</t>
  </si>
  <si>
    <t>Base Payment</t>
  </si>
  <si>
    <t xml:space="preserve">After Escalator </t>
  </si>
  <si>
    <t>G</t>
  </si>
  <si>
    <t>PV Growing Ann</t>
  </si>
  <si>
    <t>&lt;----[PMT/(I-G) -PMT/(I-G)*((1+G)^N / (1+I)^N )]</t>
  </si>
  <si>
    <t>Unfortunately there is no built-in formula in Excel for a growing annuity.  You just have to look up the formula</t>
  </si>
  <si>
    <t>=FV(rate,nper,pmt,pv,type)</t>
  </si>
  <si>
    <t>Ending Value</t>
  </si>
  <si>
    <t>Beginning Value</t>
  </si>
  <si>
    <t>Once you enter the formula (correctly!), however, it's easy to change the inputs.</t>
  </si>
  <si>
    <t>Mac Duration</t>
  </si>
  <si>
    <t>in the PV formula; or (2) find the PV of 17 year-end payments and add the first payment.</t>
  </si>
  <si>
    <t>Save early!</t>
  </si>
  <si>
    <t>I @ 6%</t>
  </si>
  <si>
    <t>I @ 4%</t>
  </si>
  <si>
    <t>Question 7</t>
  </si>
  <si>
    <r>
      <t>PV(C</t>
    </r>
    <r>
      <rPr>
        <b/>
        <vertAlign val="subscript"/>
        <sz val="10"/>
        <rFont val="Arial"/>
        <family val="2"/>
      </rPr>
      <t>t</t>
    </r>
    <r>
      <rPr>
        <b/>
        <sz val="10"/>
        <rFont val="Arial"/>
        <family val="2"/>
      </rPr>
      <t>) at 0.110%</t>
    </r>
  </si>
  <si>
    <t>Yearly (APR)</t>
  </si>
  <si>
    <t>EAR</t>
  </si>
  <si>
    <t>&lt;===EFFECT(nominal_rate,npery)</t>
  </si>
  <si>
    <t>Question 1</t>
  </si>
  <si>
    <t>DR</t>
  </si>
  <si>
    <t>PV (a)</t>
  </si>
  <si>
    <t xml:space="preserve">PV (b) </t>
  </si>
  <si>
    <r>
      <t>&lt;==360,000/(1+r)^5 or</t>
    </r>
    <r>
      <rPr>
        <i/>
        <sz val="12"/>
        <rFont val="Calibri"/>
        <family val="2"/>
        <scheme val="minor"/>
      </rPr>
      <t xml:space="preserve"> PV</t>
    </r>
    <r>
      <rPr>
        <sz val="12"/>
        <rFont val="Calibri"/>
        <family val="2"/>
        <scheme val="minor"/>
      </rPr>
      <t xml:space="preserve"> formula</t>
    </r>
  </si>
  <si>
    <t>PV(c)</t>
  </si>
  <si>
    <t>Perpetuity</t>
  </si>
  <si>
    <t>&lt;==22,800/r</t>
  </si>
  <si>
    <t>PV(d)</t>
  </si>
  <si>
    <t>PV(e)</t>
  </si>
  <si>
    <t>&lt;==Growing perp:  CF/(r-g)</t>
  </si>
  <si>
    <t>At the end of Y5</t>
  </si>
  <si>
    <t>10-yr annuity starting today</t>
  </si>
  <si>
    <t>Starting next year and growing @ 3%</t>
  </si>
  <si>
    <t>Question 2(a)</t>
  </si>
  <si>
    <t>(b)</t>
  </si>
  <si>
    <t>(c)</t>
  </si>
  <si>
    <t>(d)</t>
  </si>
  <si>
    <t>(e)</t>
  </si>
  <si>
    <t>Question 2(c)</t>
  </si>
  <si>
    <t>=PMT(rate,nper,pv,fv,type)</t>
  </si>
  <si>
    <t xml:space="preserve">=PMT(rate,nper,pv,fv,type) @ 6%  </t>
  </si>
  <si>
    <t xml:space="preserve">=PV(rate,nper,pmt,fv,type)  with "type" = 1.  </t>
  </si>
  <si>
    <t>Could also do 9-yr regular annuity and add 40K</t>
  </si>
  <si>
    <t>to see how the rankings would change.  It all about the DR, baby.</t>
  </si>
  <si>
    <t>&lt;---Change to 5%</t>
  </si>
  <si>
    <t>&lt;---Change to 7%</t>
  </si>
  <si>
    <t>Note: If you use  a postive PMT, your answer will be negative. A simple way to change to "+" is to put a "-" in front of the FV.</t>
  </si>
  <si>
    <t>&lt;-----------Change to 5% or to 7%</t>
  </si>
  <si>
    <t>APR</t>
  </si>
  <si>
    <t>Loan Amount</t>
  </si>
  <si>
    <t>Term (years)</t>
  </si>
  <si>
    <t>First Payment</t>
  </si>
  <si>
    <t>Payment Date</t>
  </si>
  <si>
    <t>Beginning Balance</t>
  </si>
  <si>
    <t>Interest: I*BB</t>
  </si>
  <si>
    <t>Principal: PMT - I</t>
  </si>
  <si>
    <t>Ending Balance: BB -P</t>
  </si>
  <si>
    <t>Payment #</t>
  </si>
  <si>
    <t>=NPER(rate,pmt,pv,fv,type)</t>
  </si>
  <si>
    <t>&lt;----(2)Change to 100,000</t>
  </si>
  <si>
    <t>NPER (remaining)</t>
  </si>
  <si>
    <t>NPER (payments made)</t>
  </si>
  <si>
    <t>=120-NPER (remaining).  Thus, only after the 71st payment will you have paid off 100k (and a little bit more)</t>
  </si>
  <si>
    <t>Question 8</t>
  </si>
  <si>
    <t>"Monthly"  * 12--this is incorrect</t>
  </si>
  <si>
    <t>Begin</t>
  </si>
  <si>
    <t>End</t>
  </si>
  <si>
    <t>Principal</t>
  </si>
  <si>
    <t>=CUMPRINC(rate,nper,pv,start_period,end_period,type)</t>
  </si>
  <si>
    <t xml:space="preserve">You can use goal seek too by setting principal to &lt;100,000&gt; and changing the "End" value. </t>
  </si>
  <si>
    <t>(3) Another way is to use CUMPRINC formula in Excel.  You may have to manually change the "End" variable or use Goal Seek</t>
  </si>
  <si>
    <t>Fall 2024</t>
  </si>
  <si>
    <t xml:space="preserve">Note how important the DR is.  Change the 8% to 7% </t>
  </si>
  <si>
    <t>Choice (d) has the highest PV</t>
  </si>
  <si>
    <t>Notice that by merely receiving the payments at the beginning of each period, the PV of the payments  increases by  $135,000.</t>
  </si>
  <si>
    <t>and type in the values without making a mistake (which is not easy sometimes).  For these problems sometimes tables are easier.  See Q#3 tab.</t>
  </si>
  <si>
    <t>Note: the 2% escalator addes about 241,000 to the PV of the payments.</t>
  </si>
  <si>
    <t>&lt;---Change to 10%</t>
  </si>
  <si>
    <t>Remember to use monthly interest rate (APR/12).</t>
  </si>
  <si>
    <t>"N" has to be the same as the compounding period.</t>
  </si>
  <si>
    <t>Question 3(a)</t>
  </si>
  <si>
    <t>&lt;------7.2%/12</t>
  </si>
  <si>
    <t>&lt;-----The beginning date doesn't matter.</t>
  </si>
  <si>
    <t>&lt;----Change this value until the principal is reduced by at least 100k.  Note, it only accepts integers.  It crosses 100k btwn 70 and 71.</t>
  </si>
  <si>
    <t>Question 9</t>
  </si>
  <si>
    <r>
      <t xml:space="preserve">&lt;------(1) Copy &amp; paste the 2,343 from above as a </t>
    </r>
    <r>
      <rPr>
        <i/>
        <sz val="12"/>
        <color theme="1"/>
        <rFont val="Calibri"/>
        <family val="2"/>
        <scheme val="minor"/>
      </rPr>
      <t>value</t>
    </r>
    <r>
      <rPr>
        <sz val="12"/>
        <color theme="1"/>
        <rFont val="Calibri"/>
        <family val="2"/>
        <scheme val="minor"/>
      </rPr>
      <t>; otherwise it will change when you change 200k to 100k</t>
    </r>
  </si>
  <si>
    <t xml:space="preserve"> (2) Since you know the value of each payment from above and the desired loan balance, use the NPER function to determine the # of payments to pay off a 100k loan.</t>
  </si>
  <si>
    <t xml:space="preserve"> Note: this is tell you the remaining periods so you'll have to subtract this number from 120.</t>
  </si>
  <si>
    <t>Copied from above.</t>
  </si>
  <si>
    <t>NPER</t>
  </si>
  <si>
    <t>Change from "0" to "-100,000"</t>
  </si>
  <si>
    <t>=PMT(rate,nper,pv,fv,type) @ 4%  Note: if interest/compounding rate drops by 1/3, you have to contribute 55% more.</t>
  </si>
  <si>
    <r>
      <t xml:space="preserve">If you mutiply the monthy rate by 12, you get a type of APR, which is </t>
    </r>
    <r>
      <rPr>
        <b/>
        <sz val="12"/>
        <rFont val="Calibri"/>
        <family val="2"/>
        <scheme val="minor"/>
      </rPr>
      <t xml:space="preserve">not </t>
    </r>
    <r>
      <rPr>
        <sz val="12"/>
        <rFont val="Calibri"/>
        <family val="2"/>
        <scheme val="minor"/>
      </rPr>
      <t>the EAR.  To convert to EAR, use "=Effect"</t>
    </r>
  </si>
  <si>
    <t xml:space="preserve">=(1+ I(Monthly)^12)-1.  Note:  this is higher than the 10 year treasury rate (around 3.66% on Sept 14).  </t>
  </si>
  <si>
    <t>period.  For example, Mega Millions is paid out over 30 years as a growing annuity.  If you elect an immediate payout, the cash value may be around 50% of the jackpot.</t>
  </si>
  <si>
    <t xml:space="preserve">Two methods:  (1) make a table with the Discount Rate, Year, CFs, Discount Factor, Year PVs, and then sum the PVs.  You can't go wrong doing it this way. </t>
  </si>
  <si>
    <t>[2] Annuity Method</t>
  </si>
  <si>
    <t>Question 2(d)</t>
  </si>
  <si>
    <t>Discount Rate</t>
  </si>
  <si>
    <t>YEAR</t>
  </si>
  <si>
    <t>Cash Flow ($MM)</t>
  </si>
  <si>
    <t>Discount Factor</t>
  </si>
  <si>
    <t>PV ($MM)</t>
  </si>
  <si>
    <t>Total Y1-Y20 ($MM)</t>
  </si>
  <si>
    <t>PV of first 10 payments</t>
  </si>
  <si>
    <t>PV at Year 0 of last 10 payments</t>
  </si>
  <si>
    <t>PV at year 10</t>
  </si>
  <si>
    <t>PV at year 0</t>
  </si>
  <si>
    <t>Total PV of both Annuities</t>
  </si>
  <si>
    <t>[1] Table method: See Q# 2 Tab</t>
  </si>
  <si>
    <t>PV of all 20 payments</t>
  </si>
  <si>
    <r>
      <t>PV</t>
    </r>
    <r>
      <rPr>
        <b/>
        <sz val="12"/>
        <color theme="1"/>
        <rFont val="Calibri (Body)"/>
      </rPr>
      <t xml:space="preserve"> at YR 10 </t>
    </r>
    <r>
      <rPr>
        <b/>
        <sz val="12"/>
        <color theme="1"/>
        <rFont val="Calibri"/>
        <family val="2"/>
        <scheme val="minor"/>
      </rPr>
      <t>of last 10 payments</t>
    </r>
  </si>
  <si>
    <t>&lt;----1/(1+r)^10</t>
  </si>
  <si>
    <t>Using a mid-year adjustment, each CF would be discounted at 0.5, 1.5, 2.5 years.  In short, each exponent used to determine the DF would be reduced by 0.5, which increases the PV of each payment.</t>
  </si>
  <si>
    <t>The AFR may not be the appropriate rate if the contract CFs are riskier than Treasuries.  A stated discount rate, however, may prevent arguments over adjusting each team's deferred CFs by</t>
  </si>
  <si>
    <t xml:space="preserve">Although Ohtani will receive $700MM, the PV of the payments is significantly less.  It's somewhat similar to the announcement of some lottery winnings, which are paid out over a signficant </t>
  </si>
  <si>
    <t xml:space="preserve">(2) Notice that the payments are in the form of 2 10-year annuities, so use the PV Excel function to find the PV value of each.  </t>
  </si>
  <si>
    <t>This is because (1+r)^0.5 / (1+r) ^n equals (1+r) ^ (0.5 - n).  Thus each discount factor is decreased by (1+r)^0.5.</t>
  </si>
  <si>
    <t>a different discount rate based on a team's riskiness.  How would the determination of the riskiness of a particular team's CFs be determined?</t>
  </si>
  <si>
    <t xml:space="preserve">(e) </t>
  </si>
  <si>
    <t>(f)</t>
  </si>
  <si>
    <t xml:space="preserve">I'm not going to count this question as it may be a bit ambiguous.  </t>
  </si>
  <si>
    <t>Under the CBA, the total AAV would be $46.08MM * 10 or roughly $461MM, which is greater than the PV calculated above.</t>
  </si>
  <si>
    <t>For the annuity beginning in YR 11, you'll have to discount that back 10 years to find its Y_0 PV.</t>
  </si>
  <si>
    <t>&lt;-----Sum of PV of both annuities</t>
  </si>
  <si>
    <t>This is simple to do in a table.  See Q#2 Tab.  For the annuities, one way is to multiply the PV by  (1+r) ^ 0.5, which has the effect of decreasing the exponent in each DF by 0.5.</t>
  </si>
  <si>
    <t>For answers using tables, see tab Q#3</t>
  </si>
  <si>
    <t>Question 3(c)</t>
  </si>
  <si>
    <t>Question 3(e)</t>
  </si>
  <si>
    <t>(4) I was playing around w/ the NPER formula and found that this worked: switching FV from "0" to "-100,000", the NPER is 70.54, which is the same as above.  Trying to figure why it works.</t>
  </si>
  <si>
    <t xml:space="preserve">There are a few ways to do this.  (1) Make an amortization table (see Q# 5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</si>
</sst>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0"/>
    <numFmt numFmtId="166" formatCode="0.00000"/>
    <numFmt numFmtId="167" formatCode="0.000000"/>
    <numFmt numFmtId="168" formatCode="0.000%"/>
    <numFmt numFmtId="169" formatCode="0.0000%"/>
    <numFmt numFmtId="170" formatCode="mm/dd/yy"/>
    <numFmt numFmtId="171" formatCode="#,##0.0000"/>
  </numFmts>
  <fonts count="3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0"/>
      <name val="Arial"/>
      <family val="2"/>
    </font>
    <font>
      <b/>
      <vertAlign val="subscript"/>
      <sz val="10"/>
      <name val="Arial"/>
      <family val="2"/>
    </font>
    <font>
      <sz val="10"/>
      <name val="Arial"/>
      <family val="2"/>
    </font>
    <font>
      <sz val="8"/>
      <name val="Verdana"/>
      <family val="2"/>
    </font>
    <font>
      <b/>
      <sz val="12"/>
      <color theme="1"/>
      <name val="Calibri"/>
      <family val="2"/>
      <scheme val="minor"/>
    </font>
    <font>
      <u/>
      <sz val="11"/>
      <color theme="10"/>
      <name val="Calibri"/>
      <family val="2"/>
      <scheme val="minor"/>
    </font>
    <font>
      <u/>
      <sz val="11"/>
      <color theme="11"/>
      <name val="Calibri"/>
      <family val="2"/>
      <scheme val="minor"/>
    </font>
    <font>
      <b/>
      <sz val="12"/>
      <name val="Calibri"/>
      <family val="2"/>
      <scheme val="minor"/>
    </font>
    <font>
      <sz val="12"/>
      <name val="Calibri"/>
      <family val="2"/>
      <scheme val="minor"/>
    </font>
    <font>
      <b/>
      <sz val="11"/>
      <color theme="1"/>
      <name val="Calibri"/>
      <family val="2"/>
      <scheme val="minor"/>
    </font>
    <font>
      <b/>
      <sz val="11"/>
      <color theme="1"/>
      <name val="Calibri"/>
      <family val="2"/>
      <scheme val="minor"/>
    </font>
    <font>
      <sz val="12"/>
      <name val="Calibri"/>
      <family val="2"/>
      <scheme val="minor"/>
    </font>
    <font>
      <b/>
      <sz val="12"/>
      <name val="Calibri"/>
      <family val="2"/>
      <scheme val="minor"/>
    </font>
    <font>
      <b/>
      <sz val="11"/>
      <color rgb="FFFF0000"/>
      <name val="Calibri"/>
      <family val="2"/>
      <scheme val="minor"/>
    </font>
    <font>
      <sz val="12"/>
      <color rgb="FF000000"/>
      <name val="Calibri"/>
      <family val="2"/>
      <scheme val="minor"/>
    </font>
    <font>
      <i/>
      <sz val="12"/>
      <name val="Calibri"/>
      <family val="2"/>
      <scheme val="minor"/>
    </font>
    <font>
      <b/>
      <sz val="12"/>
      <name val="Arial"/>
      <family val="2"/>
    </font>
    <font>
      <i/>
      <sz val="12"/>
      <color theme="1"/>
      <name val="Calibri"/>
      <family val="2"/>
      <scheme val="minor"/>
    </font>
    <font>
      <sz val="12"/>
      <color rgb="FF000000"/>
      <name val="Aptos Narrow"/>
      <family val="2"/>
    </font>
    <font>
      <b/>
      <sz val="12"/>
      <color rgb="FF000000"/>
      <name val="Aptos Narrow"/>
    </font>
    <font>
      <b/>
      <sz val="12"/>
      <color theme="1"/>
      <name val="Calibri (Body)"/>
    </font>
  </fonts>
  <fills count="10">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C5D9F1"/>
        <bgColor rgb="FF000000"/>
      </patternFill>
    </fill>
    <fill>
      <patternFill patternType="solid">
        <fgColor theme="5" tint="0.59999389629810485"/>
        <bgColor indexed="64"/>
      </patternFill>
    </fill>
    <fill>
      <patternFill patternType="solid">
        <fgColor theme="7" tint="0.79998168889431442"/>
        <bgColor indexed="64"/>
      </patternFill>
    </fill>
    <fill>
      <patternFill patternType="solid">
        <fgColor rgb="FFA6C9EC"/>
        <bgColor rgb="FF000000"/>
      </patternFill>
    </fill>
  </fills>
  <borders count="15">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uble">
        <color auto="1"/>
      </bottom>
      <diagonal/>
    </border>
    <border>
      <left style="medium">
        <color auto="1"/>
      </left>
      <right/>
      <top style="medium">
        <color auto="1"/>
      </top>
      <bottom/>
      <diagonal/>
    </border>
    <border>
      <left style="medium">
        <color auto="1"/>
      </left>
      <right/>
      <top/>
      <bottom style="double">
        <color auto="1"/>
      </bottom>
      <diagonal/>
    </border>
    <border>
      <left/>
      <right/>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43" fontId="14" fillId="0" borderId="0" applyFont="0" applyFill="0" applyBorder="0" applyAlignment="0" applyProtection="0"/>
    <xf numFmtId="9" fontId="1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44" fontId="14" fillId="0" borderId="0" applyFont="0" applyFill="0" applyBorder="0" applyAlignment="0" applyProtection="0"/>
  </cellStyleXfs>
  <cellXfs count="248">
    <xf numFmtId="0" fontId="0" fillId="0" borderId="0" xfId="0"/>
    <xf numFmtId="0" fontId="13" fillId="0" borderId="0" xfId="0" applyFont="1"/>
    <xf numFmtId="0" fontId="13" fillId="0" borderId="3" xfId="0" applyFont="1" applyBorder="1"/>
    <xf numFmtId="0" fontId="13" fillId="0" borderId="4" xfId="0" applyFont="1" applyBorder="1"/>
    <xf numFmtId="0" fontId="13" fillId="0" borderId="5" xfId="0" applyFont="1" applyBorder="1"/>
    <xf numFmtId="0" fontId="13" fillId="0" borderId="7" xfId="0" applyFont="1" applyBorder="1"/>
    <xf numFmtId="0" fontId="13" fillId="0" borderId="2" xfId="0" applyFont="1" applyBorder="1"/>
    <xf numFmtId="0" fontId="13" fillId="0" borderId="8" xfId="0" applyFont="1" applyBorder="1"/>
    <xf numFmtId="0" fontId="22" fillId="2" borderId="1" xfId="0" applyFont="1" applyFill="1" applyBorder="1" applyAlignment="1">
      <alignment horizontal="center"/>
    </xf>
    <xf numFmtId="0" fontId="22" fillId="0" borderId="4" xfId="0" applyFont="1" applyBorder="1" applyAlignment="1">
      <alignment horizontal="center"/>
    </xf>
    <xf numFmtId="0" fontId="13" fillId="0" borderId="4" xfId="0" applyFont="1" applyBorder="1" applyAlignment="1">
      <alignment horizontal="center"/>
    </xf>
    <xf numFmtId="0" fontId="13" fillId="0" borderId="0" xfId="0" quotePrefix="1" applyFont="1"/>
    <xf numFmtId="3" fontId="13" fillId="0" borderId="0" xfId="1" applyNumberFormat="1" applyFont="1" applyBorder="1" applyAlignment="1">
      <alignment horizontal="center"/>
    </xf>
    <xf numFmtId="3" fontId="13" fillId="0" borderId="0" xfId="0" applyNumberFormat="1" applyFont="1"/>
    <xf numFmtId="0" fontId="23" fillId="0" borderId="4" xfId="0" applyFont="1" applyBorder="1" applyAlignment="1">
      <alignment horizontal="center"/>
    </xf>
    <xf numFmtId="0" fontId="23" fillId="0" borderId="6" xfId="0" applyFont="1" applyBorder="1" applyAlignment="1">
      <alignment horizontal="center"/>
    </xf>
    <xf numFmtId="0" fontId="23" fillId="0" borderId="0" xfId="0" quotePrefix="1" applyFont="1"/>
    <xf numFmtId="164" fontId="13" fillId="0" borderId="0" xfId="1" quotePrefix="1" applyNumberFormat="1" applyFont="1" applyFill="1" applyBorder="1"/>
    <xf numFmtId="0" fontId="13" fillId="0" borderId="0" xfId="0" applyFont="1" applyAlignment="1">
      <alignment horizontal="center"/>
    </xf>
    <xf numFmtId="166" fontId="13" fillId="0" borderId="0" xfId="0" applyNumberFormat="1" applyFont="1"/>
    <xf numFmtId="0" fontId="23" fillId="0" borderId="0" xfId="0" applyFont="1" applyAlignment="1">
      <alignment horizontal="center"/>
    </xf>
    <xf numFmtId="164" fontId="23" fillId="0" borderId="0" xfId="1" applyNumberFormat="1" applyFont="1"/>
    <xf numFmtId="2" fontId="0" fillId="0" borderId="0" xfId="0" applyNumberFormat="1" applyAlignment="1">
      <alignment horizontal="center"/>
    </xf>
    <xf numFmtId="0" fontId="0" fillId="0" borderId="3" xfId="0" applyBorder="1"/>
    <xf numFmtId="0" fontId="0" fillId="0" borderId="4" xfId="0" applyBorder="1"/>
    <xf numFmtId="0" fontId="0" fillId="0" borderId="5" xfId="0" applyBorder="1"/>
    <xf numFmtId="0" fontId="17" fillId="0" borderId="4" xfId="0" applyFont="1" applyBorder="1" applyAlignment="1">
      <alignment horizontal="center"/>
    </xf>
    <xf numFmtId="0" fontId="17" fillId="0" borderId="11" xfId="0" applyFont="1" applyBorder="1" applyAlignment="1">
      <alignment horizontal="center"/>
    </xf>
    <xf numFmtId="0" fontId="0" fillId="0" borderId="6" xfId="0" applyBorder="1"/>
    <xf numFmtId="2" fontId="0" fillId="0" borderId="7" xfId="0" applyNumberFormat="1" applyBorder="1" applyAlignment="1">
      <alignment horizontal="center"/>
    </xf>
    <xf numFmtId="0" fontId="24" fillId="0" borderId="5" xfId="0" applyFont="1" applyBorder="1"/>
    <xf numFmtId="2" fontId="24" fillId="0" borderId="0" xfId="0" applyNumberFormat="1" applyFont="1" applyAlignment="1">
      <alignment horizontal="center"/>
    </xf>
    <xf numFmtId="0" fontId="24" fillId="3" borderId="10" xfId="0" applyFont="1" applyFill="1" applyBorder="1"/>
    <xf numFmtId="2" fontId="17" fillId="0" borderId="9" xfId="1" applyNumberFormat="1" applyFont="1" applyBorder="1" applyAlignment="1">
      <alignment horizontal="center"/>
    </xf>
    <xf numFmtId="167" fontId="0" fillId="0" borderId="0" xfId="0" applyNumberFormat="1" applyAlignment="1">
      <alignment horizontal="center"/>
    </xf>
    <xf numFmtId="167" fontId="0" fillId="0" borderId="2" xfId="0" applyNumberFormat="1" applyBorder="1" applyAlignment="1">
      <alignment horizontal="center"/>
    </xf>
    <xf numFmtId="167" fontId="17" fillId="0" borderId="0" xfId="0" applyNumberFormat="1" applyFont="1" applyAlignment="1">
      <alignment horizontal="center"/>
    </xf>
    <xf numFmtId="167" fontId="17" fillId="0" borderId="9" xfId="0" applyNumberFormat="1" applyFont="1" applyBorder="1" applyAlignment="1">
      <alignment horizontal="center"/>
    </xf>
    <xf numFmtId="167" fontId="24" fillId="0" borderId="0" xfId="0" applyNumberFormat="1" applyFont="1" applyAlignment="1">
      <alignment horizontal="center"/>
    </xf>
    <xf numFmtId="167" fontId="0" fillId="0" borderId="7" xfId="0" applyNumberFormat="1" applyBorder="1" applyAlignment="1">
      <alignment horizontal="center"/>
    </xf>
    <xf numFmtId="0" fontId="15" fillId="0" borderId="6" xfId="0" applyFont="1" applyBorder="1" applyAlignment="1">
      <alignment horizontal="center" wrapText="1"/>
    </xf>
    <xf numFmtId="2" fontId="15" fillId="0" borderId="7" xfId="0" applyNumberFormat="1" applyFont="1" applyBorder="1" applyAlignment="1">
      <alignment horizontal="center" wrapText="1"/>
    </xf>
    <xf numFmtId="167" fontId="15" fillId="0" borderId="7" xfId="0" applyNumberFormat="1" applyFont="1" applyBorder="1" applyAlignment="1">
      <alignment horizontal="center" wrapText="1"/>
    </xf>
    <xf numFmtId="3" fontId="22" fillId="0" borderId="0" xfId="1" applyNumberFormat="1" applyFont="1" applyFill="1" applyBorder="1" applyAlignment="1">
      <alignment horizontal="center"/>
    </xf>
    <xf numFmtId="0" fontId="26" fillId="0" borderId="0" xfId="0" applyFont="1"/>
    <xf numFmtId="0" fontId="19" fillId="0" borderId="0" xfId="0" applyFont="1" applyAlignment="1">
      <alignment horizontal="center"/>
    </xf>
    <xf numFmtId="8" fontId="19" fillId="0" borderId="0" xfId="0" quotePrefix="1" applyNumberFormat="1" applyFont="1"/>
    <xf numFmtId="0" fontId="11" fillId="0" borderId="0" xfId="0" quotePrefix="1" applyFont="1"/>
    <xf numFmtId="3" fontId="0" fillId="0" borderId="0" xfId="1" applyNumberFormat="1" applyFont="1" applyBorder="1" applyAlignment="1">
      <alignment horizontal="center"/>
    </xf>
    <xf numFmtId="164" fontId="0" fillId="0" borderId="5" xfId="1" applyNumberFormat="1" applyFont="1" applyBorder="1"/>
    <xf numFmtId="0" fontId="19" fillId="0" borderId="0" xfId="0" applyFont="1"/>
    <xf numFmtId="0" fontId="25" fillId="0" borderId="4" xfId="0" applyFont="1" applyBorder="1"/>
    <xf numFmtId="2" fontId="25" fillId="0" borderId="0" xfId="0" applyNumberFormat="1" applyFont="1" applyAlignment="1">
      <alignment horizontal="center"/>
    </xf>
    <xf numFmtId="167" fontId="25" fillId="0" borderId="0" xfId="0" applyNumberFormat="1" applyFont="1" applyAlignment="1">
      <alignment horizontal="center"/>
    </xf>
    <xf numFmtId="164" fontId="13" fillId="0" borderId="0" xfId="1" applyNumberFormat="1" applyFont="1" applyFill="1" applyBorder="1"/>
    <xf numFmtId="2" fontId="28" fillId="4" borderId="7" xfId="0" applyNumberFormat="1" applyFont="1" applyFill="1" applyBorder="1" applyAlignment="1">
      <alignment horizontal="center"/>
    </xf>
    <xf numFmtId="0" fontId="28" fillId="4" borderId="8" xfId="0" applyFont="1" applyFill="1" applyBorder="1"/>
    <xf numFmtId="0" fontId="10" fillId="0" borderId="0" xfId="0" quotePrefix="1" applyFont="1"/>
    <xf numFmtId="0" fontId="10" fillId="0" borderId="0" xfId="0" applyFont="1"/>
    <xf numFmtId="8" fontId="13" fillId="0" borderId="5" xfId="0" applyNumberFormat="1" applyFont="1" applyBorder="1"/>
    <xf numFmtId="9" fontId="25" fillId="0" borderId="0" xfId="2" applyFont="1" applyBorder="1" applyAlignment="1">
      <alignment horizontal="center"/>
    </xf>
    <xf numFmtId="4" fontId="25" fillId="0" borderId="0" xfId="1" applyNumberFormat="1" applyFont="1" applyBorder="1" applyAlignment="1">
      <alignment horizontal="center"/>
    </xf>
    <xf numFmtId="168" fontId="0" fillId="0" borderId="2" xfId="2" applyNumberFormat="1" applyFont="1" applyBorder="1" applyAlignment="1">
      <alignment horizontal="center"/>
    </xf>
    <xf numFmtId="2" fontId="24" fillId="0" borderId="2" xfId="0" applyNumberFormat="1" applyFont="1" applyBorder="1" applyAlignment="1">
      <alignment horizontal="center"/>
    </xf>
    <xf numFmtId="0" fontId="22" fillId="0" borderId="0" xfId="0" applyFont="1" applyAlignment="1">
      <alignment horizontal="center"/>
    </xf>
    <xf numFmtId="8" fontId="13" fillId="0" borderId="0" xfId="0" applyNumberFormat="1" applyFont="1"/>
    <xf numFmtId="0" fontId="7" fillId="0" borderId="4" xfId="0" applyFont="1" applyBorder="1" applyAlignment="1">
      <alignment horizontal="center"/>
    </xf>
    <xf numFmtId="3" fontId="7" fillId="0" borderId="0" xfId="1" applyNumberFormat="1" applyFont="1" applyBorder="1" applyAlignment="1">
      <alignment horizontal="center"/>
    </xf>
    <xf numFmtId="9" fontId="7" fillId="0" borderId="0" xfId="2" applyFont="1" applyBorder="1" applyAlignment="1">
      <alignment horizontal="center"/>
    </xf>
    <xf numFmtId="9" fontId="13" fillId="0" borderId="0" xfId="0" applyNumberFormat="1" applyFont="1" applyAlignment="1">
      <alignment horizontal="center"/>
    </xf>
    <xf numFmtId="2" fontId="13" fillId="0" borderId="0" xfId="0" applyNumberFormat="1" applyFont="1" applyAlignment="1">
      <alignment horizontal="center"/>
    </xf>
    <xf numFmtId="9" fontId="13" fillId="0" borderId="0" xfId="2" applyFont="1" applyBorder="1" applyAlignment="1">
      <alignment horizontal="center"/>
    </xf>
    <xf numFmtId="3" fontId="19" fillId="0" borderId="0" xfId="1" applyNumberFormat="1" applyFont="1" applyFill="1" applyBorder="1" applyAlignment="1">
      <alignment horizontal="center"/>
    </xf>
    <xf numFmtId="3" fontId="0" fillId="0" borderId="0" xfId="0" applyNumberFormat="1" applyAlignment="1">
      <alignment horizontal="center"/>
    </xf>
    <xf numFmtId="3" fontId="0" fillId="0" borderId="7" xfId="0" applyNumberFormat="1" applyBorder="1" applyAlignment="1">
      <alignment horizontal="center"/>
    </xf>
    <xf numFmtId="3" fontId="13" fillId="0" borderId="0" xfId="0" applyNumberFormat="1" applyFont="1" applyAlignment="1">
      <alignment horizontal="center"/>
    </xf>
    <xf numFmtId="3" fontId="22" fillId="0" borderId="0" xfId="1" applyNumberFormat="1" applyFont="1" applyBorder="1" applyAlignment="1">
      <alignment horizontal="center"/>
    </xf>
    <xf numFmtId="3" fontId="7" fillId="0" borderId="0" xfId="0" applyNumberFormat="1" applyFont="1" applyAlignment="1">
      <alignment horizontal="center"/>
    </xf>
    <xf numFmtId="3" fontId="23" fillId="0" borderId="0" xfId="1" applyNumberFormat="1" applyFont="1" applyBorder="1" applyAlignment="1">
      <alignment horizontal="center"/>
    </xf>
    <xf numFmtId="3" fontId="19" fillId="0" borderId="0" xfId="1" applyNumberFormat="1" applyFont="1" applyBorder="1" applyAlignment="1">
      <alignment horizontal="center"/>
    </xf>
    <xf numFmtId="9" fontId="23" fillId="0" borderId="0" xfId="2" applyFont="1" applyBorder="1" applyAlignment="1">
      <alignment horizontal="center"/>
    </xf>
    <xf numFmtId="0" fontId="19" fillId="0" borderId="0" xfId="0" quotePrefix="1" applyFont="1"/>
    <xf numFmtId="0" fontId="19" fillId="2" borderId="4" xfId="0" applyFont="1" applyFill="1" applyBorder="1" applyAlignment="1">
      <alignment horizontal="center"/>
    </xf>
    <xf numFmtId="0" fontId="7" fillId="0" borderId="4" xfId="0" applyFont="1" applyBorder="1"/>
    <xf numFmtId="0" fontId="19" fillId="0" borderId="4" xfId="0" applyFont="1" applyBorder="1" applyAlignment="1">
      <alignment horizontal="center"/>
    </xf>
    <xf numFmtId="3" fontId="7" fillId="0" borderId="4" xfId="1" applyNumberFormat="1" applyFont="1" applyFill="1" applyBorder="1" applyAlignment="1">
      <alignment horizontal="left"/>
    </xf>
    <xf numFmtId="3" fontId="23" fillId="0" borderId="4" xfId="0" applyNumberFormat="1" applyFont="1" applyBorder="1" applyAlignment="1">
      <alignment horizontal="left"/>
    </xf>
    <xf numFmtId="3" fontId="8" fillId="0" borderId="0" xfId="0" applyNumberFormat="1" applyFont="1"/>
    <xf numFmtId="1" fontId="13" fillId="0" borderId="0" xfId="0" applyNumberFormat="1" applyFont="1" applyAlignment="1">
      <alignment horizontal="center"/>
    </xf>
    <xf numFmtId="3" fontId="13" fillId="0" borderId="7" xfId="1" applyNumberFormat="1" applyFont="1" applyBorder="1" applyAlignment="1">
      <alignment horizontal="center"/>
    </xf>
    <xf numFmtId="0" fontId="13" fillId="0" borderId="2" xfId="0" applyFont="1" applyBorder="1" applyAlignment="1">
      <alignment horizontal="center"/>
    </xf>
    <xf numFmtId="0" fontId="13" fillId="0" borderId="7" xfId="0" applyFont="1" applyBorder="1" applyAlignment="1">
      <alignment horizontal="center"/>
    </xf>
    <xf numFmtId="37" fontId="13" fillId="0" borderId="0" xfId="1" applyNumberFormat="1" applyFont="1" applyBorder="1" applyAlignment="1">
      <alignment horizontal="center"/>
    </xf>
    <xf numFmtId="37" fontId="22" fillId="0" borderId="0" xfId="1" applyNumberFormat="1" applyFont="1" applyBorder="1" applyAlignment="1">
      <alignment horizontal="center"/>
    </xf>
    <xf numFmtId="0" fontId="23" fillId="0" borderId="0" xfId="0" applyFont="1" applyAlignment="1">
      <alignment horizontal="left"/>
    </xf>
    <xf numFmtId="0" fontId="23" fillId="0" borderId="0" xfId="0" applyFont="1"/>
    <xf numFmtId="0" fontId="27" fillId="0" borderId="0" xfId="0" applyFont="1" applyAlignment="1">
      <alignment horizontal="center"/>
    </xf>
    <xf numFmtId="0" fontId="22" fillId="0" borderId="0" xfId="0" applyFont="1"/>
    <xf numFmtId="164" fontId="22" fillId="0" borderId="0" xfId="1" applyNumberFormat="1" applyFont="1" applyFill="1" applyBorder="1"/>
    <xf numFmtId="8" fontId="11" fillId="0" borderId="0" xfId="0" quotePrefix="1" applyNumberFormat="1" applyFont="1"/>
    <xf numFmtId="0" fontId="12" fillId="0" borderId="0" xfId="0" quotePrefix="1" applyFont="1"/>
    <xf numFmtId="0" fontId="13"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0" fontId="22" fillId="0" borderId="0" xfId="2" applyNumberFormat="1" applyFont="1" applyFill="1" applyBorder="1" applyAlignment="1">
      <alignment horizontal="center"/>
    </xf>
    <xf numFmtId="1" fontId="13" fillId="0" borderId="0" xfId="1" quotePrefix="1" applyNumberFormat="1" applyFont="1" applyFill="1" applyBorder="1" applyAlignment="1">
      <alignment horizontal="center"/>
    </xf>
    <xf numFmtId="37" fontId="13" fillId="0" borderId="0" xfId="1" applyNumberFormat="1" applyFont="1" applyFill="1" applyBorder="1" applyAlignment="1">
      <alignment horizontal="center"/>
    </xf>
    <xf numFmtId="37" fontId="23" fillId="0" borderId="0" xfId="1" applyNumberFormat="1" applyFont="1" applyFill="1" applyBorder="1" applyAlignment="1">
      <alignment horizontal="center"/>
    </xf>
    <xf numFmtId="169" fontId="22" fillId="0" borderId="0" xfId="2" applyNumberFormat="1" applyFont="1" applyFill="1" applyBorder="1" applyAlignment="1">
      <alignment horizontal="center"/>
    </xf>
    <xf numFmtId="3" fontId="15" fillId="0" borderId="7" xfId="0" applyNumberFormat="1" applyFont="1" applyBorder="1" applyAlignment="1">
      <alignment horizontal="center" wrapText="1"/>
    </xf>
    <xf numFmtId="3" fontId="17" fillId="0" borderId="0" xfId="1" applyNumberFormat="1" applyFont="1" applyBorder="1" applyAlignment="1">
      <alignment horizontal="center"/>
    </xf>
    <xf numFmtId="3" fontId="17" fillId="0" borderId="9" xfId="1" applyNumberFormat="1" applyFont="1" applyBorder="1" applyAlignment="1">
      <alignment horizontal="center"/>
    </xf>
    <xf numFmtId="3" fontId="25" fillId="0" borderId="0" xfId="0" applyNumberFormat="1" applyFont="1" applyAlignment="1">
      <alignment horizontal="center"/>
    </xf>
    <xf numFmtId="3" fontId="25" fillId="0" borderId="0" xfId="1" applyNumberFormat="1" applyFont="1" applyBorder="1" applyAlignment="1">
      <alignment horizontal="center"/>
    </xf>
    <xf numFmtId="0" fontId="13" fillId="0" borderId="6" xfId="0" applyFont="1" applyBorder="1"/>
    <xf numFmtId="3" fontId="22" fillId="0" borderId="7" xfId="1" applyNumberFormat="1" applyFont="1" applyFill="1" applyBorder="1" applyAlignment="1">
      <alignment horizontal="center"/>
    </xf>
    <xf numFmtId="0" fontId="10" fillId="0" borderId="7" xfId="0" applyFont="1" applyBorder="1"/>
    <xf numFmtId="8" fontId="13" fillId="0" borderId="8" xfId="0" applyNumberFormat="1" applyFont="1" applyBorder="1"/>
    <xf numFmtId="3" fontId="24" fillId="4" borderId="2" xfId="0" applyNumberFormat="1" applyFont="1" applyFill="1" applyBorder="1" applyAlignment="1">
      <alignment horizontal="center"/>
    </xf>
    <xf numFmtId="10" fontId="13" fillId="0" borderId="0" xfId="2" applyNumberFormat="1" applyFont="1" applyBorder="1" applyAlignment="1">
      <alignment horizontal="center"/>
    </xf>
    <xf numFmtId="10" fontId="7" fillId="0" borderId="0" xfId="2" applyNumberFormat="1" applyFont="1" applyBorder="1" applyAlignment="1">
      <alignment horizontal="center"/>
    </xf>
    <xf numFmtId="0" fontId="19" fillId="2" borderId="1" xfId="0" applyFont="1" applyFill="1" applyBorder="1"/>
    <xf numFmtId="0" fontId="6" fillId="0" borderId="4" xfId="0" applyFont="1" applyBorder="1"/>
    <xf numFmtId="0" fontId="22" fillId="6" borderId="1" xfId="0" applyFont="1" applyFill="1" applyBorder="1" applyAlignment="1">
      <alignment horizontal="center"/>
    </xf>
    <xf numFmtId="0" fontId="19" fillId="0" borderId="2" xfId="0" applyFont="1" applyBorder="1"/>
    <xf numFmtId="0" fontId="3" fillId="0" borderId="4" xfId="0" applyFont="1" applyBorder="1"/>
    <xf numFmtId="37" fontId="23" fillId="0" borderId="0" xfId="1" applyNumberFormat="1" applyFont="1" applyBorder="1" applyAlignment="1">
      <alignment horizontal="center"/>
    </xf>
    <xf numFmtId="3" fontId="13" fillId="0" borderId="7" xfId="0" applyNumberFormat="1" applyFont="1" applyBorder="1" applyAlignment="1">
      <alignment horizontal="center"/>
    </xf>
    <xf numFmtId="10" fontId="19" fillId="0" borderId="0" xfId="0" applyNumberFormat="1" applyFont="1" applyAlignment="1">
      <alignment horizontal="center"/>
    </xf>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quotePrefix="1" applyFont="1" applyAlignment="1">
      <alignment horizontal="left"/>
    </xf>
    <xf numFmtId="0" fontId="6" fillId="0" borderId="0" xfId="0" applyFont="1"/>
    <xf numFmtId="0" fontId="6" fillId="0" borderId="0" xfId="0" applyFont="1" applyAlignment="1">
      <alignment horizontal="left"/>
    </xf>
    <xf numFmtId="0" fontId="8" fillId="0" borderId="0" xfId="0" applyFont="1" applyAlignment="1">
      <alignment horizontal="left"/>
    </xf>
    <xf numFmtId="169" fontId="13" fillId="0" borderId="0" xfId="2" applyNumberFormat="1" applyFont="1" applyFill="1" applyBorder="1" applyAlignment="1">
      <alignment horizontal="center"/>
    </xf>
    <xf numFmtId="168" fontId="13" fillId="0" borderId="0" xfId="2" applyNumberFormat="1" applyFont="1" applyFill="1" applyBorder="1" applyAlignment="1">
      <alignment horizontal="center"/>
    </xf>
    <xf numFmtId="0" fontId="23" fillId="0" borderId="4" xfId="0" applyFont="1" applyBorder="1" applyAlignment="1">
      <alignment horizontal="left"/>
    </xf>
    <xf numFmtId="0" fontId="3" fillId="0" borderId="4" xfId="0" applyFont="1" applyBorder="1" applyAlignment="1">
      <alignment horizontal="center"/>
    </xf>
    <xf numFmtId="0" fontId="19" fillId="0" borderId="6" xfId="0" applyFont="1" applyBorder="1" applyAlignment="1">
      <alignment horizontal="center"/>
    </xf>
    <xf numFmtId="10" fontId="19" fillId="0" borderId="7" xfId="2" quotePrefix="1" applyNumberFormat="1" applyFont="1" applyFill="1" applyBorder="1" applyAlignment="1">
      <alignment horizontal="center"/>
    </xf>
    <xf numFmtId="0" fontId="19" fillId="0" borderId="7" xfId="0" quotePrefix="1" applyFont="1" applyBorder="1"/>
    <xf numFmtId="0" fontId="3" fillId="0" borderId="2" xfId="0" applyFont="1" applyBorder="1"/>
    <xf numFmtId="3" fontId="3" fillId="0" borderId="0" xfId="1" applyNumberFormat="1" applyFont="1" applyFill="1" applyBorder="1" applyAlignment="1">
      <alignment horizontal="center"/>
    </xf>
    <xf numFmtId="0" fontId="3" fillId="0" borderId="7" xfId="0" applyFont="1" applyBorder="1"/>
    <xf numFmtId="0" fontId="19" fillId="7" borderId="6" xfId="0" applyFont="1" applyFill="1" applyBorder="1" applyAlignment="1">
      <alignment horizontal="left"/>
    </xf>
    <xf numFmtId="0" fontId="19" fillId="2" borderId="10" xfId="0" applyFont="1" applyFill="1" applyBorder="1" applyAlignment="1">
      <alignment horizontal="center"/>
    </xf>
    <xf numFmtId="0" fontId="19" fillId="5" borderId="0" xfId="0" applyFont="1" applyFill="1" applyAlignment="1">
      <alignment horizontal="center"/>
    </xf>
    <xf numFmtId="0" fontId="3" fillId="0" borderId="0" xfId="0" applyFont="1" applyAlignment="1">
      <alignment horizontal="center"/>
    </xf>
    <xf numFmtId="0" fontId="19" fillId="4" borderId="0" xfId="0" applyFont="1" applyFill="1"/>
    <xf numFmtId="10" fontId="19" fillId="4" borderId="0" xfId="2" applyNumberFormat="1" applyFont="1" applyFill="1"/>
    <xf numFmtId="0" fontId="19" fillId="0" borderId="7" xfId="0" applyFont="1" applyBorder="1" applyAlignment="1">
      <alignment horizontal="center" wrapText="1"/>
    </xf>
    <xf numFmtId="0" fontId="19" fillId="0" borderId="7" xfId="0" applyFont="1" applyBorder="1" applyAlignment="1">
      <alignment horizontal="center"/>
    </xf>
    <xf numFmtId="164" fontId="3" fillId="0" borderId="0" xfId="1" applyNumberFormat="1" applyFont="1" applyAlignment="1">
      <alignment horizontal="center"/>
    </xf>
    <xf numFmtId="165" fontId="3" fillId="0" borderId="0" xfId="0" applyNumberFormat="1" applyFont="1" applyAlignment="1">
      <alignment horizontal="center"/>
    </xf>
    <xf numFmtId="0" fontId="3" fillId="0" borderId="7" xfId="0" applyFont="1" applyBorder="1" applyAlignment="1">
      <alignment horizontal="center"/>
    </xf>
    <xf numFmtId="164" fontId="3" fillId="0" borderId="7" xfId="1" applyNumberFormat="1" applyFont="1" applyBorder="1" applyAlignment="1">
      <alignment horizontal="center"/>
    </xf>
    <xf numFmtId="165" fontId="3" fillId="0" borderId="7" xfId="0" applyNumberFormat="1" applyFont="1" applyBorder="1" applyAlignment="1">
      <alignment horizontal="center"/>
    </xf>
    <xf numFmtId="164" fontId="19" fillId="0" borderId="0" xfId="1" applyNumberFormat="1" applyFont="1" applyAlignment="1">
      <alignment horizontal="center"/>
    </xf>
    <xf numFmtId="164" fontId="3" fillId="0" borderId="0" xfId="1" applyNumberFormat="1" applyFont="1"/>
    <xf numFmtId="0" fontId="19" fillId="4" borderId="0" xfId="0" applyFont="1" applyFill="1" applyAlignment="1">
      <alignment horizontal="center"/>
    </xf>
    <xf numFmtId="9" fontId="19" fillId="4" borderId="0" xfId="2" applyFont="1" applyFill="1" applyAlignment="1">
      <alignment horizontal="center"/>
    </xf>
    <xf numFmtId="0" fontId="19" fillId="0" borderId="12" xfId="0" applyFont="1" applyBorder="1" applyAlignment="1">
      <alignment horizontal="center" wrapText="1"/>
    </xf>
    <xf numFmtId="0" fontId="19" fillId="0" borderId="12" xfId="0" applyFont="1" applyBorder="1" applyAlignment="1">
      <alignment horizontal="center"/>
    </xf>
    <xf numFmtId="0" fontId="19" fillId="0" borderId="12" xfId="0" applyFont="1" applyBorder="1"/>
    <xf numFmtId="3" fontId="3" fillId="0" borderId="0" xfId="0" applyNumberFormat="1" applyFont="1" applyAlignment="1">
      <alignment horizontal="center"/>
    </xf>
    <xf numFmtId="3" fontId="3" fillId="0" borderId="0" xfId="1" applyNumberFormat="1" applyFont="1" applyAlignment="1">
      <alignment horizontal="center"/>
    </xf>
    <xf numFmtId="3" fontId="3" fillId="0" borderId="0" xfId="0" applyNumberFormat="1" applyFont="1"/>
    <xf numFmtId="3" fontId="3" fillId="0" borderId="7" xfId="0" applyNumberFormat="1" applyFont="1" applyBorder="1"/>
    <xf numFmtId="3" fontId="3" fillId="0" borderId="7" xfId="1" applyNumberFormat="1" applyFont="1" applyBorder="1" applyAlignment="1">
      <alignment horizontal="center"/>
    </xf>
    <xf numFmtId="3" fontId="3" fillId="0" borderId="7" xfId="0" applyNumberFormat="1" applyFont="1" applyBorder="1" applyAlignment="1">
      <alignment horizontal="center"/>
    </xf>
    <xf numFmtId="164" fontId="19" fillId="0" borderId="1" xfId="1" applyNumberFormat="1" applyFont="1" applyBorder="1"/>
    <xf numFmtId="0" fontId="13" fillId="7" borderId="10" xfId="0" applyFont="1" applyFill="1" applyBorder="1"/>
    <xf numFmtId="0" fontId="22" fillId="7" borderId="2" xfId="0" applyFont="1" applyFill="1" applyBorder="1" applyAlignment="1">
      <alignment horizontal="center"/>
    </xf>
    <xf numFmtId="0" fontId="13" fillId="7" borderId="3" xfId="0" applyFont="1" applyFill="1" applyBorder="1"/>
    <xf numFmtId="0" fontId="13" fillId="7" borderId="4" xfId="0" applyFont="1" applyFill="1" applyBorder="1"/>
    <xf numFmtId="0" fontId="22" fillId="7" borderId="0" xfId="0" applyFont="1" applyFill="1" applyAlignment="1">
      <alignment horizontal="center"/>
    </xf>
    <xf numFmtId="0" fontId="13" fillId="7" borderId="5" xfId="0" applyFont="1" applyFill="1" applyBorder="1"/>
    <xf numFmtId="0" fontId="13" fillId="7" borderId="6" xfId="0" applyFont="1" applyFill="1" applyBorder="1"/>
    <xf numFmtId="0" fontId="22" fillId="7" borderId="7" xfId="0" applyFont="1" applyFill="1" applyBorder="1" applyAlignment="1">
      <alignment horizontal="center"/>
    </xf>
    <xf numFmtId="0" fontId="13" fillId="7" borderId="8" xfId="0" applyFont="1" applyFill="1" applyBorder="1"/>
    <xf numFmtId="164" fontId="3" fillId="0" borderId="7" xfId="1" applyNumberFormat="1" applyFont="1" applyBorder="1"/>
    <xf numFmtId="3" fontId="22" fillId="0" borderId="0" xfId="0" applyNumberFormat="1" applyFont="1" applyAlignment="1">
      <alignment horizontal="center"/>
    </xf>
    <xf numFmtId="0" fontId="3" fillId="0" borderId="0" xfId="0" quotePrefix="1" applyFont="1"/>
    <xf numFmtId="0" fontId="13" fillId="8" borderId="3" xfId="0" applyFont="1" applyFill="1" applyBorder="1"/>
    <xf numFmtId="0" fontId="3" fillId="8" borderId="6" xfId="0" applyFont="1" applyFill="1" applyBorder="1"/>
    <xf numFmtId="0" fontId="13" fillId="8" borderId="8" xfId="0" applyFont="1" applyFill="1" applyBorder="1"/>
    <xf numFmtId="42" fontId="31" fillId="0" borderId="0" xfId="0" applyNumberFormat="1" applyFont="1"/>
    <xf numFmtId="164" fontId="31" fillId="0" borderId="0" xfId="1" applyNumberFormat="1" applyFont="1"/>
    <xf numFmtId="42" fontId="31" fillId="0" borderId="0" xfId="0" applyNumberFormat="1" applyFont="1" applyAlignment="1">
      <alignment horizontal="center"/>
    </xf>
    <xf numFmtId="0" fontId="31" fillId="0" borderId="0" xfId="15" applyNumberFormat="1" applyFont="1"/>
    <xf numFmtId="10" fontId="31" fillId="0" borderId="0" xfId="2" applyNumberFormat="1" applyFont="1"/>
    <xf numFmtId="2" fontId="31" fillId="0" borderId="0" xfId="0" applyNumberFormat="1" applyFont="1"/>
    <xf numFmtId="170" fontId="31" fillId="0" borderId="0" xfId="0" applyNumberFormat="1" applyFont="1"/>
    <xf numFmtId="0" fontId="31" fillId="0" borderId="0" xfId="0" applyFont="1"/>
    <xf numFmtId="42" fontId="31" fillId="0" borderId="13" xfId="0" applyNumberFormat="1" applyFont="1" applyBorder="1" applyAlignment="1">
      <alignment horizontal="center" vertical="center"/>
    </xf>
    <xf numFmtId="42" fontId="31" fillId="0" borderId="14" xfId="0" applyNumberFormat="1" applyFont="1" applyBorder="1" applyAlignment="1">
      <alignment horizontal="center" vertical="center"/>
    </xf>
    <xf numFmtId="15" fontId="31" fillId="0" borderId="0" xfId="0" applyNumberFormat="1" applyFont="1" applyAlignment="1">
      <alignment horizontal="center"/>
    </xf>
    <xf numFmtId="4" fontId="31" fillId="0" borderId="0" xfId="0" applyNumberFormat="1" applyFont="1" applyAlignment="1">
      <alignment horizontal="center"/>
    </xf>
    <xf numFmtId="4" fontId="31" fillId="4" borderId="0" xfId="0" applyNumberFormat="1" applyFont="1" applyFill="1" applyAlignment="1">
      <alignment horizontal="center"/>
    </xf>
    <xf numFmtId="0" fontId="31" fillId="0" borderId="13" xfId="0" applyFont="1" applyBorder="1" applyAlignment="1">
      <alignment horizontal="center" vertical="center"/>
    </xf>
    <xf numFmtId="0" fontId="19" fillId="0" borderId="1" xfId="0" applyFont="1" applyBorder="1"/>
    <xf numFmtId="3" fontId="3" fillId="0" borderId="0" xfId="1" quotePrefix="1" applyNumberFormat="1" applyFont="1" applyBorder="1" applyAlignment="1">
      <alignment horizontal="left"/>
    </xf>
    <xf numFmtId="3" fontId="13" fillId="0" borderId="4" xfId="1" applyNumberFormat="1" applyFont="1" applyBorder="1" applyAlignment="1">
      <alignment horizontal="center"/>
    </xf>
    <xf numFmtId="9" fontId="19" fillId="3" borderId="0" xfId="0" applyNumberFormat="1" applyFont="1" applyFill="1" applyAlignment="1">
      <alignment horizontal="center"/>
    </xf>
    <xf numFmtId="3" fontId="22" fillId="4" borderId="0" xfId="1" applyNumberFormat="1" applyFont="1" applyFill="1" applyBorder="1" applyAlignment="1">
      <alignment horizontal="center"/>
    </xf>
    <xf numFmtId="0" fontId="2" fillId="8" borderId="10" xfId="0" applyFont="1" applyFill="1" applyBorder="1"/>
    <xf numFmtId="0" fontId="2" fillId="0" borderId="4" xfId="0" applyFont="1" applyBorder="1"/>
    <xf numFmtId="0" fontId="2" fillId="0" borderId="0" xfId="0" applyFont="1"/>
    <xf numFmtId="10" fontId="29" fillId="0" borderId="2" xfId="0" applyNumberFormat="1" applyFont="1" applyBorder="1" applyAlignment="1">
      <alignment horizontal="center"/>
    </xf>
    <xf numFmtId="42" fontId="31" fillId="0" borderId="0" xfId="0" quotePrefix="1" applyNumberFormat="1" applyFont="1" applyAlignment="1">
      <alignment horizontal="left"/>
    </xf>
    <xf numFmtId="42" fontId="31" fillId="0" borderId="0" xfId="0" quotePrefix="1" applyNumberFormat="1" applyFont="1" applyAlignment="1">
      <alignment horizontal="center"/>
    </xf>
    <xf numFmtId="4" fontId="22" fillId="0" borderId="0" xfId="1" applyNumberFormat="1" applyFont="1" applyBorder="1" applyAlignment="1">
      <alignment horizontal="center"/>
    </xf>
    <xf numFmtId="10" fontId="29" fillId="0" borderId="0" xfId="0" applyNumberFormat="1" applyFont="1" applyAlignment="1">
      <alignment horizontal="center"/>
    </xf>
    <xf numFmtId="2" fontId="19" fillId="0" borderId="0" xfId="0" applyNumberFormat="1" applyFont="1" applyAlignment="1">
      <alignment horizontal="center"/>
    </xf>
    <xf numFmtId="2" fontId="3" fillId="0" borderId="0" xfId="0" applyNumberFormat="1" applyFont="1"/>
    <xf numFmtId="10" fontId="29" fillId="0" borderId="4" xfId="0" applyNumberFormat="1" applyFont="1" applyBorder="1" applyAlignment="1">
      <alignment horizontal="center"/>
    </xf>
    <xf numFmtId="0" fontId="2" fillId="0" borderId="0" xfId="0" applyFont="1" applyAlignment="1">
      <alignment horizontal="center"/>
    </xf>
    <xf numFmtId="0" fontId="2" fillId="0" borderId="0" xfId="0" quotePrefix="1" applyFont="1"/>
    <xf numFmtId="8" fontId="2" fillId="0" borderId="0" xfId="0" quotePrefix="1" applyNumberFormat="1" applyFont="1"/>
    <xf numFmtId="0" fontId="33" fillId="0" borderId="0" xfId="0" applyFont="1"/>
    <xf numFmtId="0" fontId="34" fillId="0" borderId="0" xfId="0" applyFont="1"/>
    <xf numFmtId="10" fontId="34" fillId="0" borderId="0" xfId="0" applyNumberFormat="1" applyFont="1"/>
    <xf numFmtId="0" fontId="33" fillId="0" borderId="0" xfId="0" applyFont="1" applyAlignment="1">
      <alignment horizontal="left"/>
    </xf>
    <xf numFmtId="0" fontId="34" fillId="0" borderId="0" xfId="0" applyFont="1" applyAlignment="1">
      <alignment horizontal="left"/>
    </xf>
    <xf numFmtId="10" fontId="19" fillId="0" borderId="0" xfId="2" applyNumberFormat="1" applyFont="1" applyFill="1" applyBorder="1"/>
    <xf numFmtId="0" fontId="19" fillId="0" borderId="0" xfId="0" applyFont="1" applyAlignment="1">
      <alignment horizontal="right"/>
    </xf>
    <xf numFmtId="2" fontId="0" fillId="0" borderId="0" xfId="0" applyNumberFormat="1" applyAlignment="1">
      <alignment horizontal="right"/>
    </xf>
    <xf numFmtId="2" fontId="0" fillId="0" borderId="0" xfId="0" applyNumberFormat="1"/>
    <xf numFmtId="0" fontId="24" fillId="0" borderId="0" xfId="0" applyFont="1"/>
    <xf numFmtId="171" fontId="22" fillId="0" borderId="7" xfId="1" applyNumberFormat="1" applyFont="1" applyBorder="1" applyAlignment="1">
      <alignment horizontal="center"/>
    </xf>
    <xf numFmtId="0" fontId="34" fillId="9" borderId="0" xfId="0" applyFont="1" applyFill="1" applyAlignment="1">
      <alignment horizontal="center"/>
    </xf>
    <xf numFmtId="0" fontId="24" fillId="7" borderId="0" xfId="0" applyFont="1" applyFill="1"/>
    <xf numFmtId="0" fontId="19" fillId="0" borderId="4" xfId="0" applyFont="1" applyBorder="1"/>
    <xf numFmtId="0" fontId="24" fillId="0" borderId="4" xfId="0" applyFont="1" applyBorder="1"/>
    <xf numFmtId="3" fontId="22" fillId="0" borderId="4" xfId="1" applyNumberFormat="1" applyFont="1" applyBorder="1" applyAlignment="1">
      <alignment horizontal="center"/>
    </xf>
    <xf numFmtId="0" fontId="19" fillId="0" borderId="5" xfId="0" applyFont="1" applyBorder="1" applyAlignment="1">
      <alignment horizontal="right"/>
    </xf>
    <xf numFmtId="2" fontId="0" fillId="0" borderId="5" xfId="0" applyNumberFormat="1" applyBorder="1" applyAlignment="1">
      <alignment horizontal="right"/>
    </xf>
    <xf numFmtId="2" fontId="0" fillId="0" borderId="5" xfId="0" applyNumberFormat="1" applyBorder="1"/>
    <xf numFmtId="3" fontId="19" fillId="0" borderId="0" xfId="0" applyNumberFormat="1" applyFont="1" applyAlignment="1">
      <alignment horizontal="center"/>
    </xf>
    <xf numFmtId="165" fontId="19" fillId="0" borderId="0" xfId="0" applyNumberFormat="1" applyFont="1" applyAlignment="1">
      <alignment horizontal="center"/>
    </xf>
    <xf numFmtId="0" fontId="19" fillId="0" borderId="5" xfId="0" applyFont="1" applyBorder="1"/>
    <xf numFmtId="0" fontId="9" fillId="0" borderId="0" xfId="0" applyFont="1" applyAlignment="1">
      <alignment horizontal="left" vertical="top" wrapText="1"/>
    </xf>
    <xf numFmtId="0" fontId="13" fillId="0" borderId="0" xfId="0" applyFont="1" applyAlignment="1">
      <alignment vertical="top" wrapText="1"/>
    </xf>
    <xf numFmtId="0" fontId="1" fillId="0" borderId="4" xfId="0" applyFont="1" applyBorder="1"/>
    <xf numFmtId="0" fontId="1" fillId="0" borderId="0" xfId="0" applyFont="1"/>
    <xf numFmtId="3" fontId="1" fillId="0" borderId="4" xfId="1" applyNumberFormat="1" applyFont="1" applyFill="1" applyBorder="1" applyAlignment="1">
      <alignment horizontal="left"/>
    </xf>
  </cellXfs>
  <cellStyles count="16">
    <cellStyle name="Comma" xfId="1" builtinId="3"/>
    <cellStyle name="Currency" xfId="15"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276"/>
  <sheetViews>
    <sheetView showGridLines="0" topLeftCell="A183" zoomScale="116" zoomScaleNormal="170" zoomScalePageLayoutView="154" workbookViewId="0">
      <selection activeCell="E124" sqref="E124"/>
    </sheetView>
  </sheetViews>
  <sheetFormatPr baseColWidth="10" defaultColWidth="8.83203125" defaultRowHeight="16" x14ac:dyDescent="0.2"/>
  <cols>
    <col min="1" max="1" width="4.1640625" style="1" customWidth="1"/>
    <col min="2" max="2" width="25.1640625" style="1" customWidth="1"/>
    <col min="3" max="3" width="27.1640625" style="1" customWidth="1"/>
    <col min="4" max="4" width="37.33203125" style="1" customWidth="1"/>
    <col min="5" max="5" width="25.33203125" style="1" customWidth="1"/>
    <col min="6" max="6" width="48.33203125" style="1" customWidth="1"/>
    <col min="7" max="7" width="9" style="1" bestFit="1" customWidth="1"/>
    <col min="8" max="16384" width="8.83203125" style="1"/>
  </cols>
  <sheetData>
    <row r="1" spans="2:6" ht="17" thickBot="1" x14ac:dyDescent="0.25"/>
    <row r="2" spans="2:6" x14ac:dyDescent="0.2">
      <c r="B2" s="173"/>
      <c r="C2" s="174" t="s">
        <v>7</v>
      </c>
      <c r="D2" s="175"/>
    </row>
    <row r="3" spans="2:6" x14ac:dyDescent="0.2">
      <c r="B3" s="176"/>
      <c r="C3" s="177" t="s">
        <v>24</v>
      </c>
      <c r="D3" s="178"/>
    </row>
    <row r="4" spans="2:6" ht="17" thickBot="1" x14ac:dyDescent="0.25">
      <c r="B4" s="179"/>
      <c r="C4" s="180" t="s">
        <v>106</v>
      </c>
      <c r="D4" s="181"/>
    </row>
    <row r="5" spans="2:6" ht="17" thickBot="1" x14ac:dyDescent="0.25"/>
    <row r="6" spans="2:6" ht="17" thickBot="1" x14ac:dyDescent="0.25">
      <c r="B6" s="8" t="s">
        <v>54</v>
      </c>
      <c r="C6" s="143"/>
      <c r="D6" s="143"/>
      <c r="E6" s="6"/>
      <c r="F6" s="2"/>
    </row>
    <row r="7" spans="2:6" ht="17" thickBot="1" x14ac:dyDescent="0.25">
      <c r="B7" s="9" t="s">
        <v>55</v>
      </c>
      <c r="C7" s="205">
        <v>0.08</v>
      </c>
      <c r="D7" s="129"/>
      <c r="F7" s="4"/>
    </row>
    <row r="8" spans="2:6" x14ac:dyDescent="0.2">
      <c r="B8" s="139" t="s">
        <v>56</v>
      </c>
      <c r="C8" s="43">
        <v>250000</v>
      </c>
      <c r="D8" s="129"/>
      <c r="E8" s="207" t="s">
        <v>107</v>
      </c>
      <c r="F8" s="185"/>
    </row>
    <row r="9" spans="2:6" ht="17" thickBot="1" x14ac:dyDescent="0.25">
      <c r="B9" s="139"/>
      <c r="C9" s="43"/>
      <c r="D9" s="129"/>
      <c r="E9" s="186" t="s">
        <v>78</v>
      </c>
      <c r="F9" s="187"/>
    </row>
    <row r="10" spans="2:6" x14ac:dyDescent="0.2">
      <c r="B10" s="139" t="s">
        <v>57</v>
      </c>
      <c r="C10" s="144">
        <v>360000</v>
      </c>
      <c r="D10" s="129" t="s">
        <v>65</v>
      </c>
      <c r="F10" s="4"/>
    </row>
    <row r="11" spans="2:6" x14ac:dyDescent="0.2">
      <c r="B11" s="139"/>
      <c r="C11" s="43">
        <f>C10/(1+C7)^5</f>
        <v>245009.95093215108</v>
      </c>
      <c r="D11" s="95" t="s">
        <v>58</v>
      </c>
      <c r="F11" s="4"/>
    </row>
    <row r="12" spans="2:6" x14ac:dyDescent="0.2">
      <c r="B12" s="139"/>
      <c r="C12" s="43"/>
      <c r="D12" s="95"/>
      <c r="F12" s="4"/>
    </row>
    <row r="13" spans="2:6" x14ac:dyDescent="0.2">
      <c r="B13" s="139" t="s">
        <v>59</v>
      </c>
      <c r="C13" s="144">
        <v>22800</v>
      </c>
      <c r="D13" s="129" t="s">
        <v>60</v>
      </c>
      <c r="F13" s="4"/>
    </row>
    <row r="14" spans="2:6" x14ac:dyDescent="0.2">
      <c r="B14" s="139"/>
      <c r="C14" s="183">
        <f>C13/C7</f>
        <v>285000</v>
      </c>
      <c r="D14" s="95" t="s">
        <v>61</v>
      </c>
      <c r="F14" s="4"/>
    </row>
    <row r="15" spans="2:6" x14ac:dyDescent="0.2">
      <c r="B15" s="139"/>
      <c r="C15" s="183"/>
      <c r="D15" s="95"/>
      <c r="F15" s="4"/>
    </row>
    <row r="16" spans="2:6" x14ac:dyDescent="0.2">
      <c r="B16" s="139" t="s">
        <v>62</v>
      </c>
      <c r="C16" s="144">
        <v>40000</v>
      </c>
      <c r="D16" s="129" t="s">
        <v>66</v>
      </c>
      <c r="F16" s="4"/>
    </row>
    <row r="17" spans="2:6" x14ac:dyDescent="0.2">
      <c r="B17" s="125"/>
      <c r="C17" s="43">
        <f>-PV(C7,10,C16,0,1)</f>
        <v>289875.51643427054</v>
      </c>
      <c r="D17" s="184" t="s">
        <v>76</v>
      </c>
      <c r="F17" s="4"/>
    </row>
    <row r="18" spans="2:6" x14ac:dyDescent="0.2">
      <c r="B18" s="125"/>
      <c r="C18" s="206">
        <f>-PV(C7,9,C16,0,0) + 40000</f>
        <v>289875.51643427048</v>
      </c>
      <c r="D18" s="184" t="s">
        <v>77</v>
      </c>
      <c r="F18" s="4"/>
    </row>
    <row r="19" spans="2:6" x14ac:dyDescent="0.2">
      <c r="B19" s="3"/>
      <c r="F19" s="4"/>
    </row>
    <row r="20" spans="2:6" x14ac:dyDescent="0.2">
      <c r="B20" s="139" t="s">
        <v>63</v>
      </c>
      <c r="C20" s="144">
        <v>13000</v>
      </c>
      <c r="D20" s="129" t="s">
        <v>67</v>
      </c>
      <c r="F20" s="4"/>
    </row>
    <row r="21" spans="2:6" x14ac:dyDescent="0.2">
      <c r="B21" s="125"/>
      <c r="C21" s="43">
        <f>C20/(C7-0.03)</f>
        <v>260000</v>
      </c>
      <c r="D21" s="129" t="s">
        <v>64</v>
      </c>
      <c r="F21" s="4"/>
    </row>
    <row r="22" spans="2:6" ht="17" thickBot="1" x14ac:dyDescent="0.25">
      <c r="B22" s="146" t="s">
        <v>108</v>
      </c>
      <c r="C22" s="145"/>
      <c r="D22" s="145"/>
      <c r="E22" s="5"/>
      <c r="F22" s="7"/>
    </row>
    <row r="24" spans="2:6" ht="17" thickBot="1" x14ac:dyDescent="0.25"/>
    <row r="25" spans="2:6" ht="17" thickBot="1" x14ac:dyDescent="0.25">
      <c r="B25" s="8" t="s">
        <v>68</v>
      </c>
      <c r="C25" s="6"/>
      <c r="D25" s="6"/>
      <c r="E25" s="6"/>
      <c r="F25" s="2"/>
    </row>
    <row r="26" spans="2:6" x14ac:dyDescent="0.2">
      <c r="B26" s="3"/>
      <c r="F26" s="4"/>
    </row>
    <row r="27" spans="2:6" x14ac:dyDescent="0.2">
      <c r="B27" s="208" t="s">
        <v>150</v>
      </c>
      <c r="F27" s="4"/>
    </row>
    <row r="28" spans="2:6" x14ac:dyDescent="0.2">
      <c r="B28" s="208" t="s">
        <v>129</v>
      </c>
      <c r="F28" s="4"/>
    </row>
    <row r="29" spans="2:6" ht="17" thickBot="1" x14ac:dyDescent="0.25">
      <c r="B29" s="3"/>
      <c r="F29" s="4"/>
    </row>
    <row r="30" spans="2:6" ht="17" thickBot="1" x14ac:dyDescent="0.25">
      <c r="B30" s="8" t="s">
        <v>69</v>
      </c>
      <c r="F30" s="4"/>
    </row>
    <row r="31" spans="2:6" x14ac:dyDescent="0.2">
      <c r="B31" s="3"/>
      <c r="F31" s="4"/>
    </row>
    <row r="32" spans="2:6" x14ac:dyDescent="0.2">
      <c r="B32" s="208" t="s">
        <v>130</v>
      </c>
      <c r="F32" s="4"/>
    </row>
    <row r="33" spans="2:22" x14ac:dyDescent="0.2">
      <c r="B33" s="208" t="s">
        <v>151</v>
      </c>
      <c r="F33" s="4"/>
    </row>
    <row r="34" spans="2:22" x14ac:dyDescent="0.2">
      <c r="B34" s="245" t="s">
        <v>158</v>
      </c>
      <c r="F34" s="4"/>
    </row>
    <row r="35" spans="2:22" ht="17" thickBot="1" x14ac:dyDescent="0.25">
      <c r="B35" s="3"/>
      <c r="F35" s="4"/>
    </row>
    <row r="36" spans="2:22" ht="17" thickBot="1" x14ac:dyDescent="0.25">
      <c r="B36" s="8" t="s">
        <v>70</v>
      </c>
      <c r="F36" s="4"/>
    </row>
    <row r="37" spans="2:22" x14ac:dyDescent="0.2">
      <c r="B37" s="3"/>
      <c r="F37" s="4"/>
    </row>
    <row r="38" spans="2:22" x14ac:dyDescent="0.2">
      <c r="B38" s="234" t="s">
        <v>144</v>
      </c>
      <c r="F38" s="4"/>
    </row>
    <row r="39" spans="2:22" x14ac:dyDescent="0.2">
      <c r="B39" s="235"/>
      <c r="F39" s="4"/>
    </row>
    <row r="40" spans="2:22" x14ac:dyDescent="0.2">
      <c r="B40" s="236">
        <v>365887955.9940145</v>
      </c>
      <c r="C40" s="230" t="s">
        <v>145</v>
      </c>
      <c r="D40" s="50"/>
      <c r="E40" s="226"/>
      <c r="F40" s="25"/>
      <c r="G40"/>
      <c r="H40"/>
      <c r="I40"/>
      <c r="J40"/>
      <c r="K40"/>
      <c r="L40"/>
      <c r="M40"/>
      <c r="N40"/>
      <c r="O40"/>
      <c r="P40"/>
      <c r="Q40"/>
      <c r="R40"/>
      <c r="S40"/>
      <c r="T40"/>
      <c r="U40"/>
      <c r="V40"/>
    </row>
    <row r="41" spans="2:22" x14ac:dyDescent="0.2">
      <c r="B41" s="24"/>
      <c r="C41"/>
      <c r="D41"/>
      <c r="E41"/>
      <c r="F41" s="25"/>
      <c r="G41"/>
      <c r="H41"/>
      <c r="I41"/>
      <c r="J41"/>
      <c r="K41"/>
      <c r="L41"/>
      <c r="M41"/>
      <c r="N41"/>
      <c r="O41"/>
      <c r="P41"/>
      <c r="Q41"/>
      <c r="R41"/>
      <c r="S41"/>
      <c r="T41"/>
      <c r="U41"/>
      <c r="V41"/>
    </row>
    <row r="42" spans="2:22" x14ac:dyDescent="0.2">
      <c r="B42" s="234" t="s">
        <v>131</v>
      </c>
      <c r="C42"/>
      <c r="D42"/>
      <c r="E42"/>
      <c r="F42" s="25"/>
      <c r="G42"/>
      <c r="H42"/>
      <c r="I42"/>
      <c r="J42"/>
      <c r="K42"/>
      <c r="L42"/>
      <c r="M42"/>
      <c r="N42"/>
      <c r="O42"/>
      <c r="P42"/>
      <c r="Q42"/>
      <c r="R42"/>
      <c r="S42"/>
      <c r="T42"/>
      <c r="U42"/>
      <c r="V42"/>
    </row>
    <row r="43" spans="2:22" x14ac:dyDescent="0.2">
      <c r="B43" s="3"/>
      <c r="C43" s="45" t="s">
        <v>139</v>
      </c>
      <c r="E43" s="227"/>
      <c r="F43" s="237"/>
      <c r="G43" s="227"/>
      <c r="H43" s="227"/>
      <c r="I43" s="227"/>
      <c r="J43" s="227"/>
      <c r="K43" s="227"/>
      <c r="L43" s="227"/>
      <c r="M43" s="227"/>
      <c r="N43" s="227"/>
      <c r="O43" s="227"/>
      <c r="P43" s="227"/>
      <c r="Q43" s="227"/>
      <c r="R43" s="227"/>
      <c r="S43" s="227"/>
      <c r="T43" s="227"/>
      <c r="U43" s="227"/>
      <c r="V43" s="227"/>
    </row>
    <row r="44" spans="2:22" x14ac:dyDescent="0.2">
      <c r="B44" s="3"/>
      <c r="E44" s="228"/>
      <c r="F44" s="238"/>
      <c r="G44" s="228"/>
      <c r="H44" s="228"/>
      <c r="I44" s="228"/>
      <c r="J44" s="228"/>
      <c r="K44" s="228"/>
      <c r="L44" s="228"/>
      <c r="M44" s="228"/>
      <c r="N44" s="228"/>
      <c r="O44" s="228"/>
      <c r="P44" s="228"/>
      <c r="Q44" s="228"/>
      <c r="R44" s="228"/>
      <c r="S44" s="228"/>
      <c r="T44" s="228"/>
      <c r="U44" s="228"/>
      <c r="V44" s="228"/>
    </row>
    <row r="45" spans="2:22" x14ac:dyDescent="0.2">
      <c r="B45" s="14" t="s">
        <v>8</v>
      </c>
      <c r="C45" s="12">
        <v>2000000</v>
      </c>
      <c r="E45" s="229"/>
      <c r="F45" s="239"/>
      <c r="G45" s="229"/>
      <c r="H45" s="229"/>
      <c r="I45" s="229"/>
      <c r="J45" s="229"/>
      <c r="K45" s="229"/>
      <c r="L45" s="229"/>
      <c r="M45" s="229"/>
      <c r="N45" s="229"/>
      <c r="O45" s="229"/>
      <c r="P45" s="229"/>
      <c r="Q45" s="229"/>
      <c r="R45" s="229"/>
      <c r="S45" s="229"/>
      <c r="T45" s="229"/>
      <c r="U45" s="229"/>
      <c r="V45" s="229"/>
    </row>
    <row r="46" spans="2:22" x14ac:dyDescent="0.2">
      <c r="B46" s="14" t="s">
        <v>9</v>
      </c>
      <c r="C46" s="75">
        <v>10</v>
      </c>
      <c r="E46" s="229"/>
      <c r="F46" s="239"/>
      <c r="G46" s="229"/>
      <c r="H46" s="229"/>
      <c r="I46" s="229"/>
      <c r="J46" s="229"/>
      <c r="K46" s="229"/>
      <c r="L46" s="229"/>
      <c r="M46" s="229"/>
      <c r="N46" s="229"/>
      <c r="O46" s="229"/>
      <c r="P46" s="229"/>
      <c r="Q46" s="229"/>
      <c r="R46" s="229"/>
      <c r="S46" s="229"/>
      <c r="T46" s="229"/>
      <c r="U46" s="229"/>
      <c r="V46" s="229"/>
    </row>
    <row r="47" spans="2:22" x14ac:dyDescent="0.2">
      <c r="B47" s="14" t="s">
        <v>10</v>
      </c>
      <c r="C47" s="119">
        <v>4.4299999999999999E-2</v>
      </c>
      <c r="E47"/>
      <c r="F47" s="25"/>
      <c r="G47"/>
      <c r="H47"/>
      <c r="I47"/>
      <c r="J47"/>
      <c r="K47"/>
      <c r="L47"/>
      <c r="M47"/>
      <c r="N47"/>
      <c r="O47"/>
      <c r="P47"/>
      <c r="Q47"/>
      <c r="R47"/>
      <c r="S47"/>
      <c r="T47"/>
      <c r="U47"/>
      <c r="V47"/>
    </row>
    <row r="48" spans="2:22" x14ac:dyDescent="0.2">
      <c r="B48" s="9" t="s">
        <v>11</v>
      </c>
      <c r="C48" s="76">
        <f>-PV(C47,C46,C45,0)</f>
        <v>15880044.816455794</v>
      </c>
      <c r="D48" s="46" t="s">
        <v>13</v>
      </c>
      <c r="E48"/>
      <c r="F48" s="25"/>
      <c r="G48"/>
      <c r="H48"/>
      <c r="I48"/>
      <c r="J48"/>
      <c r="K48"/>
      <c r="L48"/>
      <c r="M48"/>
      <c r="N48"/>
      <c r="O48"/>
      <c r="P48"/>
      <c r="Q48"/>
      <c r="R48"/>
      <c r="S48"/>
      <c r="T48"/>
      <c r="U48"/>
      <c r="V48"/>
    </row>
    <row r="49" spans="2:6" x14ac:dyDescent="0.2">
      <c r="B49" s="14" t="s">
        <v>12</v>
      </c>
      <c r="C49" s="75">
        <v>0</v>
      </c>
      <c r="F49" s="4"/>
    </row>
    <row r="50" spans="2:6" x14ac:dyDescent="0.2">
      <c r="B50" s="3"/>
      <c r="F50" s="4"/>
    </row>
    <row r="51" spans="2:6" x14ac:dyDescent="0.2">
      <c r="B51" s="3"/>
      <c r="F51" s="4"/>
    </row>
    <row r="52" spans="2:6" x14ac:dyDescent="0.2">
      <c r="B52" s="3"/>
      <c r="C52" s="45" t="s">
        <v>146</v>
      </c>
      <c r="F52" s="4"/>
    </row>
    <row r="53" spans="2:6" x14ac:dyDescent="0.2">
      <c r="B53" s="3"/>
      <c r="F53" s="4"/>
    </row>
    <row r="54" spans="2:6" x14ac:dyDescent="0.2">
      <c r="B54" s="14" t="s">
        <v>8</v>
      </c>
      <c r="C54" s="12">
        <v>68000000</v>
      </c>
      <c r="F54" s="4"/>
    </row>
    <row r="55" spans="2:6" x14ac:dyDescent="0.2">
      <c r="B55" s="14" t="s">
        <v>9</v>
      </c>
      <c r="C55" s="75">
        <v>10</v>
      </c>
      <c r="F55" s="4"/>
    </row>
    <row r="56" spans="2:6" x14ac:dyDescent="0.2">
      <c r="B56" s="14" t="s">
        <v>10</v>
      </c>
      <c r="C56" s="119">
        <v>4.4299999999999999E-2</v>
      </c>
      <c r="F56" s="4"/>
    </row>
    <row r="57" spans="2:6" x14ac:dyDescent="0.2">
      <c r="B57" s="9" t="s">
        <v>11</v>
      </c>
      <c r="C57" s="76">
        <f>-PV(C56,C55,C54,0)</f>
        <v>539921523.75949705</v>
      </c>
      <c r="D57" s="46" t="s">
        <v>13</v>
      </c>
      <c r="F57" s="4"/>
    </row>
    <row r="58" spans="2:6" x14ac:dyDescent="0.2">
      <c r="B58" s="14" t="s">
        <v>12</v>
      </c>
      <c r="C58" s="75">
        <v>0</v>
      </c>
      <c r="F58" s="4"/>
    </row>
    <row r="59" spans="2:6" x14ac:dyDescent="0.2">
      <c r="B59" s="3"/>
      <c r="F59" s="4"/>
    </row>
    <row r="60" spans="2:6" x14ac:dyDescent="0.2">
      <c r="B60" s="3"/>
      <c r="C60" s="45" t="s">
        <v>140</v>
      </c>
      <c r="F60" s="4"/>
    </row>
    <row r="61" spans="2:6" x14ac:dyDescent="0.2">
      <c r="B61" s="3"/>
      <c r="F61" s="4"/>
    </row>
    <row r="62" spans="2:6" x14ac:dyDescent="0.2">
      <c r="B62" s="84" t="s">
        <v>141</v>
      </c>
      <c r="C62" s="240">
        <f>C57</f>
        <v>539921523.75949705</v>
      </c>
      <c r="F62" s="4"/>
    </row>
    <row r="63" spans="2:6" x14ac:dyDescent="0.2">
      <c r="B63" s="84" t="s">
        <v>136</v>
      </c>
      <c r="C63" s="241">
        <f>1/(1+C56)^10</f>
        <v>0.64825700731550417</v>
      </c>
      <c r="D63" s="209" t="s">
        <v>147</v>
      </c>
      <c r="F63" s="4"/>
    </row>
    <row r="64" spans="2:6" x14ac:dyDescent="0.2">
      <c r="B64" s="84" t="s">
        <v>142</v>
      </c>
      <c r="C64" s="76">
        <f>C63*C62</f>
        <v>350007911.17755842</v>
      </c>
      <c r="F64" s="4"/>
    </row>
    <row r="65" spans="2:6" x14ac:dyDescent="0.2">
      <c r="B65" s="3"/>
      <c r="C65" s="209"/>
      <c r="F65" s="4"/>
    </row>
    <row r="66" spans="2:6" x14ac:dyDescent="0.2">
      <c r="B66" s="234" t="s">
        <v>143</v>
      </c>
      <c r="C66" s="240">
        <f>C64+C48</f>
        <v>365887955.9940142</v>
      </c>
      <c r="D66" s="246" t="s">
        <v>159</v>
      </c>
      <c r="F66" s="4"/>
    </row>
    <row r="67" spans="2:6" ht="17" thickBot="1" x14ac:dyDescent="0.25">
      <c r="B67" s="3"/>
      <c r="C67" s="209"/>
      <c r="F67" s="4"/>
    </row>
    <row r="68" spans="2:6" s="50" customFormat="1" ht="17" thickBot="1" x14ac:dyDescent="0.25">
      <c r="B68" s="8" t="s">
        <v>71</v>
      </c>
      <c r="F68" s="242"/>
    </row>
    <row r="69" spans="2:6" s="50" customFormat="1" x14ac:dyDescent="0.2">
      <c r="B69" s="234"/>
      <c r="F69" s="242"/>
    </row>
    <row r="70" spans="2:6" x14ac:dyDescent="0.2">
      <c r="B70" s="208" t="s">
        <v>148</v>
      </c>
      <c r="F70" s="4"/>
    </row>
    <row r="71" spans="2:6" x14ac:dyDescent="0.2">
      <c r="B71" s="245" t="s">
        <v>160</v>
      </c>
      <c r="F71" s="4"/>
    </row>
    <row r="72" spans="2:6" x14ac:dyDescent="0.2">
      <c r="B72" s="208" t="s">
        <v>152</v>
      </c>
      <c r="F72" s="4"/>
    </row>
    <row r="73" spans="2:6" ht="17" thickBot="1" x14ac:dyDescent="0.25">
      <c r="B73" s="208"/>
      <c r="F73" s="4"/>
    </row>
    <row r="74" spans="2:6" ht="17" thickBot="1" x14ac:dyDescent="0.25">
      <c r="B74" s="8" t="s">
        <v>154</v>
      </c>
      <c r="F74" s="4"/>
    </row>
    <row r="75" spans="2:6" x14ac:dyDescent="0.2">
      <c r="B75" s="9"/>
      <c r="F75" s="4"/>
    </row>
    <row r="76" spans="2:6" x14ac:dyDescent="0.2">
      <c r="B76" s="138" t="s">
        <v>157</v>
      </c>
      <c r="F76" s="4"/>
    </row>
    <row r="77" spans="2:6" x14ac:dyDescent="0.2">
      <c r="B77" s="208" t="s">
        <v>156</v>
      </c>
      <c r="F77" s="4"/>
    </row>
    <row r="78" spans="2:6" ht="17" thickBot="1" x14ac:dyDescent="0.25">
      <c r="B78" s="3"/>
      <c r="F78" s="4"/>
    </row>
    <row r="79" spans="2:6" ht="17" thickBot="1" x14ac:dyDescent="0.25">
      <c r="B79" s="8" t="s">
        <v>155</v>
      </c>
      <c r="F79" s="4"/>
    </row>
    <row r="80" spans="2:6" x14ac:dyDescent="0.2">
      <c r="B80" s="208" t="s">
        <v>149</v>
      </c>
      <c r="F80" s="4"/>
    </row>
    <row r="81" spans="2:6" x14ac:dyDescent="0.2">
      <c r="B81" s="208" t="s">
        <v>153</v>
      </c>
      <c r="F81" s="4"/>
    </row>
    <row r="82" spans="2:6" x14ac:dyDescent="0.2">
      <c r="B82" s="3"/>
      <c r="F82" s="4"/>
    </row>
    <row r="83" spans="2:6" ht="17" thickBot="1" x14ac:dyDescent="0.25">
      <c r="B83" s="114"/>
      <c r="C83" s="5"/>
      <c r="D83" s="5"/>
      <c r="E83" s="5"/>
      <c r="F83" s="7"/>
    </row>
    <row r="87" spans="2:6" ht="17" thickBot="1" x14ac:dyDescent="0.25"/>
    <row r="88" spans="2:6" ht="17" thickBot="1" x14ac:dyDescent="0.25">
      <c r="B88" s="147" t="s">
        <v>115</v>
      </c>
      <c r="C88" s="6"/>
      <c r="D88" s="121" t="s">
        <v>161</v>
      </c>
      <c r="E88" s="6"/>
      <c r="F88" s="2"/>
    </row>
    <row r="89" spans="2:6" x14ac:dyDescent="0.2">
      <c r="B89" s="14" t="s">
        <v>8</v>
      </c>
      <c r="C89" s="12">
        <v>180000</v>
      </c>
      <c r="F89" s="4"/>
    </row>
    <row r="90" spans="2:6" x14ac:dyDescent="0.2">
      <c r="B90" s="14" t="s">
        <v>9</v>
      </c>
      <c r="C90" s="75">
        <v>18</v>
      </c>
      <c r="F90" s="4"/>
    </row>
    <row r="91" spans="2:6" x14ac:dyDescent="0.2">
      <c r="B91" s="14" t="s">
        <v>10</v>
      </c>
      <c r="C91" s="119">
        <v>0.08</v>
      </c>
      <c r="F91" s="4"/>
    </row>
    <row r="92" spans="2:6" x14ac:dyDescent="0.2">
      <c r="B92" s="9" t="s">
        <v>11</v>
      </c>
      <c r="C92" s="76">
        <f>-PV(C91,C90,C89,0)</f>
        <v>1686939.6844887941</v>
      </c>
      <c r="D92" s="46" t="s">
        <v>13</v>
      </c>
      <c r="F92" s="4"/>
    </row>
    <row r="93" spans="2:6" x14ac:dyDescent="0.2">
      <c r="B93" s="14" t="s">
        <v>12</v>
      </c>
      <c r="C93" s="75">
        <v>0</v>
      </c>
      <c r="F93" s="4"/>
    </row>
    <row r="94" spans="2:6" x14ac:dyDescent="0.2">
      <c r="B94" s="3"/>
      <c r="C94" s="75"/>
      <c r="F94" s="4"/>
    </row>
    <row r="95" spans="2:6" x14ac:dyDescent="0.2">
      <c r="B95" s="82" t="s">
        <v>69</v>
      </c>
      <c r="C95" s="13"/>
      <c r="F95" s="4"/>
    </row>
    <row r="96" spans="2:6" x14ac:dyDescent="0.2">
      <c r="B96" s="14" t="s">
        <v>8</v>
      </c>
      <c r="C96" s="12">
        <v>180000</v>
      </c>
      <c r="F96" s="4"/>
    </row>
    <row r="97" spans="2:6" x14ac:dyDescent="0.2">
      <c r="B97" s="14" t="s">
        <v>9</v>
      </c>
      <c r="C97" s="75">
        <v>18</v>
      </c>
      <c r="F97" s="4"/>
    </row>
    <row r="98" spans="2:6" x14ac:dyDescent="0.2">
      <c r="B98" s="14" t="s">
        <v>10</v>
      </c>
      <c r="C98" s="119">
        <v>0.08</v>
      </c>
      <c r="D98" s="45"/>
      <c r="F98" s="4"/>
    </row>
    <row r="99" spans="2:6" x14ac:dyDescent="0.2">
      <c r="B99" s="9" t="s">
        <v>11</v>
      </c>
      <c r="C99" s="76">
        <f>-PV(C98,C97,C96,0,1)</f>
        <v>1821894.859247898</v>
      </c>
      <c r="D99" s="46" t="s">
        <v>13</v>
      </c>
      <c r="E99" s="13"/>
      <c r="F99" s="4"/>
    </row>
    <row r="100" spans="2:6" x14ac:dyDescent="0.2">
      <c r="B100" s="14" t="s">
        <v>12</v>
      </c>
      <c r="C100" s="75">
        <v>0</v>
      </c>
      <c r="F100" s="4"/>
    </row>
    <row r="101" spans="2:6" x14ac:dyDescent="0.2">
      <c r="B101" s="83" t="s">
        <v>31</v>
      </c>
      <c r="C101" s="13"/>
      <c r="F101" s="4"/>
    </row>
    <row r="102" spans="2:6" x14ac:dyDescent="0.2">
      <c r="B102" s="122" t="s">
        <v>45</v>
      </c>
      <c r="C102" s="13"/>
      <c r="F102" s="4"/>
    </row>
    <row r="103" spans="2:6" x14ac:dyDescent="0.2">
      <c r="B103" s="208" t="s">
        <v>109</v>
      </c>
      <c r="C103" s="13"/>
      <c r="F103" s="4"/>
    </row>
    <row r="104" spans="2:6" x14ac:dyDescent="0.2">
      <c r="B104" s="125" t="s">
        <v>46</v>
      </c>
      <c r="C104" s="13"/>
      <c r="F104" s="4"/>
    </row>
    <row r="105" spans="2:6" x14ac:dyDescent="0.2">
      <c r="B105" s="82" t="s">
        <v>70</v>
      </c>
      <c r="C105" s="13"/>
      <c r="F105" s="4"/>
    </row>
    <row r="106" spans="2:6" x14ac:dyDescent="0.2">
      <c r="B106" s="66" t="s">
        <v>8</v>
      </c>
      <c r="C106" s="67">
        <v>180000</v>
      </c>
      <c r="F106" s="4"/>
    </row>
    <row r="107" spans="2:6" x14ac:dyDescent="0.2">
      <c r="B107" s="66" t="s">
        <v>36</v>
      </c>
      <c r="C107" s="68">
        <v>0.02</v>
      </c>
      <c r="F107" s="4"/>
    </row>
    <row r="108" spans="2:6" x14ac:dyDescent="0.2">
      <c r="B108" s="66" t="s">
        <v>9</v>
      </c>
      <c r="C108" s="77">
        <v>18</v>
      </c>
      <c r="F108" s="4"/>
    </row>
    <row r="109" spans="2:6" x14ac:dyDescent="0.2">
      <c r="B109" s="14" t="s">
        <v>10</v>
      </c>
      <c r="C109" s="120">
        <v>0.08</v>
      </c>
      <c r="F109" s="4"/>
    </row>
    <row r="110" spans="2:6" x14ac:dyDescent="0.2">
      <c r="B110" s="84" t="s">
        <v>37</v>
      </c>
      <c r="C110" s="72">
        <f>C106/(C109-C107)-C106/(C109-C107)*((1+C107)^C108/(1+C109)^C108)</f>
        <v>1927748.2896160104</v>
      </c>
      <c r="D110" s="50" t="s">
        <v>38</v>
      </c>
      <c r="F110" s="4"/>
    </row>
    <row r="111" spans="2:6" x14ac:dyDescent="0.2">
      <c r="B111" s="10"/>
      <c r="C111" s="43"/>
      <c r="D111" s="44"/>
      <c r="F111" s="4"/>
    </row>
    <row r="112" spans="2:6" x14ac:dyDescent="0.2">
      <c r="B112" s="85" t="s">
        <v>39</v>
      </c>
      <c r="C112" s="13"/>
      <c r="F112" s="4"/>
    </row>
    <row r="113" spans="2:6" x14ac:dyDescent="0.2">
      <c r="B113" s="86" t="s">
        <v>110</v>
      </c>
      <c r="C113" s="13"/>
      <c r="D113" s="44"/>
      <c r="F113" s="4"/>
    </row>
    <row r="114" spans="2:6" x14ac:dyDescent="0.2">
      <c r="B114" s="85" t="s">
        <v>43</v>
      </c>
      <c r="C114" s="13"/>
      <c r="F114" s="4"/>
    </row>
    <row r="115" spans="2:6" x14ac:dyDescent="0.2">
      <c r="B115" s="247" t="s">
        <v>111</v>
      </c>
      <c r="C115" s="13"/>
      <c r="F115" s="4"/>
    </row>
    <row r="116" spans="2:6" x14ac:dyDescent="0.2">
      <c r="B116" s="3"/>
      <c r="C116" s="43"/>
      <c r="D116" s="11"/>
      <c r="E116" s="58"/>
      <c r="F116" s="59"/>
    </row>
    <row r="117" spans="2:6" x14ac:dyDescent="0.2">
      <c r="B117" s="82" t="s">
        <v>71</v>
      </c>
      <c r="C117" s="43"/>
      <c r="D117" s="11"/>
      <c r="E117" s="58"/>
      <c r="F117" s="59"/>
    </row>
    <row r="118" spans="2:6" x14ac:dyDescent="0.2">
      <c r="B118" s="14" t="s">
        <v>8</v>
      </c>
      <c r="C118" s="12">
        <v>180000</v>
      </c>
      <c r="E118" s="58"/>
      <c r="F118" s="59"/>
    </row>
    <row r="119" spans="2:6" x14ac:dyDescent="0.2">
      <c r="B119" s="14" t="s">
        <v>9</v>
      </c>
      <c r="C119" s="75">
        <v>18</v>
      </c>
      <c r="E119" s="58"/>
      <c r="F119" s="59"/>
    </row>
    <row r="120" spans="2:6" x14ac:dyDescent="0.2">
      <c r="B120" s="14" t="s">
        <v>10</v>
      </c>
      <c r="C120" s="71">
        <v>0.1</v>
      </c>
      <c r="D120" s="50" t="s">
        <v>112</v>
      </c>
      <c r="E120" s="58"/>
      <c r="F120" s="59"/>
    </row>
    <row r="121" spans="2:6" x14ac:dyDescent="0.2">
      <c r="B121" s="9" t="s">
        <v>11</v>
      </c>
      <c r="C121" s="76">
        <f>-PV(C120,C119,C118,0)</f>
        <v>1476254.1781634153</v>
      </c>
      <c r="D121" s="46" t="s">
        <v>13</v>
      </c>
      <c r="E121" s="58"/>
      <c r="F121" s="59"/>
    </row>
    <row r="122" spans="2:6" x14ac:dyDescent="0.2">
      <c r="B122" s="14" t="s">
        <v>12</v>
      </c>
      <c r="C122" s="75">
        <v>0</v>
      </c>
      <c r="E122" s="58"/>
      <c r="F122" s="59"/>
    </row>
    <row r="123" spans="2:6" x14ac:dyDescent="0.2">
      <c r="B123" s="3"/>
      <c r="C123" s="43"/>
      <c r="D123" s="11"/>
      <c r="E123" s="58"/>
      <c r="F123" s="59"/>
    </row>
    <row r="124" spans="2:6" x14ac:dyDescent="0.2">
      <c r="B124" s="82" t="s">
        <v>72</v>
      </c>
      <c r="C124" s="43"/>
      <c r="D124" s="11"/>
      <c r="E124" s="58"/>
      <c r="F124" s="59"/>
    </row>
    <row r="125" spans="2:6" x14ac:dyDescent="0.2">
      <c r="B125" s="14" t="s">
        <v>8</v>
      </c>
      <c r="C125" s="12">
        <v>180000</v>
      </c>
      <c r="E125" s="58"/>
      <c r="F125" s="59"/>
    </row>
    <row r="126" spans="2:6" x14ac:dyDescent="0.2">
      <c r="B126" s="14" t="s">
        <v>9</v>
      </c>
      <c r="C126" s="75">
        <v>18</v>
      </c>
      <c r="E126" s="58"/>
      <c r="F126" s="59"/>
    </row>
    <row r="127" spans="2:6" x14ac:dyDescent="0.2">
      <c r="B127" s="14" t="s">
        <v>10</v>
      </c>
      <c r="C127" s="71">
        <v>0.05</v>
      </c>
      <c r="D127" s="50" t="s">
        <v>79</v>
      </c>
      <c r="E127" s="58"/>
      <c r="F127" s="59"/>
    </row>
    <row r="128" spans="2:6" x14ac:dyDescent="0.2">
      <c r="B128" s="14" t="s">
        <v>11</v>
      </c>
      <c r="C128" s="80">
        <v>0</v>
      </c>
      <c r="E128" s="58"/>
      <c r="F128" s="59"/>
    </row>
    <row r="129" spans="2:12" x14ac:dyDescent="0.2">
      <c r="B129" s="9" t="s">
        <v>12</v>
      </c>
      <c r="C129" s="79">
        <f>-FV(C127,C126,C125,C128)</f>
        <v>5063829.2412879048</v>
      </c>
      <c r="D129" s="81" t="s">
        <v>40</v>
      </c>
      <c r="E129" s="58"/>
      <c r="F129" s="59"/>
    </row>
    <row r="130" spans="2:12" x14ac:dyDescent="0.2">
      <c r="B130" s="3"/>
      <c r="C130" s="43"/>
      <c r="D130" s="50" t="s">
        <v>81</v>
      </c>
      <c r="E130" s="58"/>
      <c r="F130" s="59"/>
    </row>
    <row r="131" spans="2:12" x14ac:dyDescent="0.2">
      <c r="B131" s="3"/>
      <c r="C131" s="43"/>
      <c r="D131" s="58"/>
      <c r="E131" s="58"/>
      <c r="F131" s="59"/>
    </row>
    <row r="132" spans="2:12" x14ac:dyDescent="0.2">
      <c r="B132" s="14" t="s">
        <v>8</v>
      </c>
      <c r="C132" s="12">
        <v>180000</v>
      </c>
      <c r="D132" s="58"/>
      <c r="E132" s="58"/>
      <c r="F132" s="59"/>
    </row>
    <row r="133" spans="2:12" x14ac:dyDescent="0.2">
      <c r="B133" s="14" t="s">
        <v>9</v>
      </c>
      <c r="C133" s="75">
        <v>18</v>
      </c>
      <c r="D133" s="58"/>
      <c r="E133" s="58"/>
      <c r="F133" s="59"/>
    </row>
    <row r="134" spans="2:12" x14ac:dyDescent="0.2">
      <c r="B134" s="14" t="s">
        <v>10</v>
      </c>
      <c r="C134" s="71">
        <v>7.0000000000000007E-2</v>
      </c>
      <c r="D134" s="50" t="s">
        <v>80</v>
      </c>
      <c r="E134" s="58"/>
      <c r="F134" s="59"/>
    </row>
    <row r="135" spans="2:12" x14ac:dyDescent="0.2">
      <c r="B135" s="14" t="s">
        <v>11</v>
      </c>
      <c r="C135" s="78">
        <v>0</v>
      </c>
      <c r="D135" s="58"/>
      <c r="E135" s="58"/>
      <c r="F135" s="59"/>
    </row>
    <row r="136" spans="2:12" x14ac:dyDescent="0.2">
      <c r="B136" s="9" t="s">
        <v>12</v>
      </c>
      <c r="C136" s="79">
        <f>-FV(C134,C133,C132,C135)</f>
        <v>6119825.8518836619</v>
      </c>
      <c r="D136" s="81" t="s">
        <v>40</v>
      </c>
      <c r="E136" s="58"/>
      <c r="F136" s="59"/>
    </row>
    <row r="137" spans="2:12" ht="17" thickBot="1" x14ac:dyDescent="0.25">
      <c r="B137" s="114"/>
      <c r="C137" s="115"/>
      <c r="D137" s="116"/>
      <c r="E137" s="116"/>
      <c r="F137" s="117"/>
    </row>
    <row r="138" spans="2:12" ht="17" thickBot="1" x14ac:dyDescent="0.25">
      <c r="C138" s="43"/>
      <c r="D138" s="58"/>
      <c r="E138" s="58"/>
      <c r="F138" s="65"/>
    </row>
    <row r="139" spans="2:12" ht="17" thickBot="1" x14ac:dyDescent="0.25">
      <c r="B139" s="123" t="s">
        <v>14</v>
      </c>
      <c r="C139" s="210">
        <v>7.1999999999999995E-2</v>
      </c>
      <c r="D139" s="143" t="s">
        <v>83</v>
      </c>
      <c r="E139" s="6"/>
      <c r="F139" s="2"/>
    </row>
    <row r="140" spans="2:12" x14ac:dyDescent="0.2">
      <c r="B140" s="9" t="s">
        <v>8</v>
      </c>
      <c r="C140" s="76">
        <f>PMT(C142,C141,C143,C144)</f>
        <v>-2342.8374895373786</v>
      </c>
      <c r="D140" s="16" t="s">
        <v>74</v>
      </c>
      <c r="F140" s="4"/>
      <c r="I140" s="64"/>
      <c r="J140" s="214"/>
      <c r="L140" s="214"/>
    </row>
    <row r="141" spans="2:12" x14ac:dyDescent="0.2">
      <c r="B141" s="14" t="s">
        <v>9</v>
      </c>
      <c r="C141" s="88">
        <v>120</v>
      </c>
      <c r="D141" s="16" t="s">
        <v>114</v>
      </c>
      <c r="F141" s="4"/>
      <c r="I141" s="64"/>
      <c r="J141" s="213"/>
      <c r="L141" s="76"/>
    </row>
    <row r="142" spans="2:12" x14ac:dyDescent="0.2">
      <c r="B142" s="14" t="s">
        <v>10</v>
      </c>
      <c r="C142" s="119">
        <f>C139/12</f>
        <v>5.9999999999999993E-3</v>
      </c>
      <c r="D142" s="209" t="s">
        <v>113</v>
      </c>
      <c r="F142" s="4"/>
      <c r="I142" s="20"/>
      <c r="J142" s="70"/>
      <c r="L142" s="88"/>
    </row>
    <row r="143" spans="2:12" x14ac:dyDescent="0.2">
      <c r="B143" s="14" t="s">
        <v>11</v>
      </c>
      <c r="C143" s="75">
        <v>200000</v>
      </c>
      <c r="F143" s="4"/>
      <c r="I143" s="20"/>
      <c r="J143" s="119"/>
      <c r="L143" s="119"/>
    </row>
    <row r="144" spans="2:12" ht="17" thickBot="1" x14ac:dyDescent="0.25">
      <c r="B144" s="15" t="s">
        <v>12</v>
      </c>
      <c r="C144" s="89">
        <v>0</v>
      </c>
      <c r="D144" s="5"/>
      <c r="E144" s="5"/>
      <c r="F144" s="7"/>
      <c r="I144" s="20"/>
      <c r="J144" s="75"/>
      <c r="L144" s="75"/>
    </row>
    <row r="145" spans="2:12" ht="17" thickBot="1" x14ac:dyDescent="0.25">
      <c r="I145" s="20"/>
      <c r="J145" s="12"/>
      <c r="L145" s="12"/>
    </row>
    <row r="146" spans="2:12" ht="17" thickBot="1" x14ac:dyDescent="0.25">
      <c r="B146" s="123" t="s">
        <v>15</v>
      </c>
      <c r="C146" s="6"/>
      <c r="D146" s="6"/>
      <c r="E146" s="6"/>
      <c r="F146" s="2"/>
    </row>
    <row r="147" spans="2:12" x14ac:dyDescent="0.2">
      <c r="B147" s="245" t="s">
        <v>165</v>
      </c>
      <c r="F147" s="4"/>
    </row>
    <row r="148" spans="2:12" x14ac:dyDescent="0.2">
      <c r="B148" s="208" t="s">
        <v>121</v>
      </c>
      <c r="F148" s="4"/>
      <c r="J148" s="219"/>
    </row>
    <row r="149" spans="2:12" x14ac:dyDescent="0.2">
      <c r="B149" s="208" t="s">
        <v>122</v>
      </c>
      <c r="F149" s="4"/>
    </row>
    <row r="150" spans="2:12" x14ac:dyDescent="0.2">
      <c r="B150" s="125"/>
      <c r="F150" s="4"/>
    </row>
    <row r="151" spans="2:12" x14ac:dyDescent="0.2">
      <c r="B151" s="9" t="s">
        <v>8</v>
      </c>
      <c r="C151" s="78">
        <v>-2342.8374895373786</v>
      </c>
      <c r="D151" s="209" t="s">
        <v>120</v>
      </c>
      <c r="F151" s="4"/>
    </row>
    <row r="152" spans="2:12" x14ac:dyDescent="0.2">
      <c r="B152" s="14" t="s">
        <v>95</v>
      </c>
      <c r="C152" s="215">
        <f>NPER(C154,C151,C155,C156,0)</f>
        <v>49.455821820490378</v>
      </c>
      <c r="D152" s="184" t="s">
        <v>93</v>
      </c>
      <c r="F152" s="4"/>
    </row>
    <row r="153" spans="2:12" x14ac:dyDescent="0.2">
      <c r="B153" s="14" t="s">
        <v>96</v>
      </c>
      <c r="C153" s="215">
        <f>120-C152</f>
        <v>70.544178179509629</v>
      </c>
      <c r="D153" s="184" t="s">
        <v>97</v>
      </c>
      <c r="F153" s="4"/>
    </row>
    <row r="154" spans="2:12" x14ac:dyDescent="0.2">
      <c r="B154" s="14" t="s">
        <v>10</v>
      </c>
      <c r="C154" s="119">
        <f>7.2%/12</f>
        <v>6.000000000000001E-3</v>
      </c>
      <c r="F154" s="4"/>
    </row>
    <row r="155" spans="2:12" x14ac:dyDescent="0.2">
      <c r="B155" s="14" t="s">
        <v>11</v>
      </c>
      <c r="C155" s="75">
        <v>100000</v>
      </c>
      <c r="D155" s="129" t="s">
        <v>94</v>
      </c>
      <c r="E155" s="216"/>
      <c r="F155" s="4"/>
    </row>
    <row r="156" spans="2:12" x14ac:dyDescent="0.2">
      <c r="B156" s="14" t="s">
        <v>12</v>
      </c>
      <c r="C156" s="12">
        <v>0</v>
      </c>
      <c r="F156" s="4"/>
    </row>
    <row r="157" spans="2:12" x14ac:dyDescent="0.2">
      <c r="B157" s="3"/>
      <c r="C157" s="12"/>
      <c r="F157" s="4"/>
    </row>
    <row r="158" spans="2:12" x14ac:dyDescent="0.2">
      <c r="B158" s="125" t="s">
        <v>105</v>
      </c>
      <c r="C158" s="12"/>
      <c r="F158" s="4"/>
    </row>
    <row r="159" spans="2:12" x14ac:dyDescent="0.2">
      <c r="B159" s="3"/>
      <c r="C159" s="12"/>
      <c r="F159" s="4"/>
    </row>
    <row r="160" spans="2:12" x14ac:dyDescent="0.2">
      <c r="B160" s="14" t="s">
        <v>83</v>
      </c>
      <c r="C160" s="214">
        <v>7.1999999999999995E-2</v>
      </c>
      <c r="F160" s="4"/>
    </row>
    <row r="161" spans="2:6" x14ac:dyDescent="0.2">
      <c r="B161" s="14" t="s">
        <v>8</v>
      </c>
      <c r="C161" s="78">
        <f>PMT(C163,C162,C164,C165)</f>
        <v>-2342.8374895373786</v>
      </c>
      <c r="F161" s="4"/>
    </row>
    <row r="162" spans="2:6" x14ac:dyDescent="0.2">
      <c r="B162" s="14" t="s">
        <v>9</v>
      </c>
      <c r="C162" s="88">
        <v>120</v>
      </c>
      <c r="F162" s="4"/>
    </row>
    <row r="163" spans="2:6" x14ac:dyDescent="0.2">
      <c r="B163" s="14" t="s">
        <v>10</v>
      </c>
      <c r="C163" s="119">
        <f>C160/12</f>
        <v>5.9999999999999993E-3</v>
      </c>
      <c r="F163" s="4"/>
    </row>
    <row r="164" spans="2:6" x14ac:dyDescent="0.2">
      <c r="B164" s="14" t="s">
        <v>11</v>
      </c>
      <c r="C164" s="75">
        <v>200000</v>
      </c>
      <c r="F164" s="4"/>
    </row>
    <row r="165" spans="2:6" x14ac:dyDescent="0.2">
      <c r="B165" s="204" t="s">
        <v>12</v>
      </c>
      <c r="C165" s="12">
        <v>0</v>
      </c>
      <c r="F165" s="4"/>
    </row>
    <row r="166" spans="2:6" x14ac:dyDescent="0.2">
      <c r="B166" s="139" t="s">
        <v>100</v>
      </c>
      <c r="C166" s="12">
        <v>1</v>
      </c>
      <c r="F166" s="4"/>
    </row>
    <row r="167" spans="2:6" x14ac:dyDescent="0.2">
      <c r="B167" s="84" t="s">
        <v>101</v>
      </c>
      <c r="C167" s="79">
        <v>70</v>
      </c>
      <c r="D167" s="209" t="s">
        <v>118</v>
      </c>
      <c r="F167" s="4"/>
    </row>
    <row r="168" spans="2:6" x14ac:dyDescent="0.2">
      <c r="B168" s="139" t="s">
        <v>102</v>
      </c>
      <c r="C168" s="75">
        <f>CUMPRINC(C163,C162,C164,C166,C167,0)</f>
        <v>-99055.957191187743</v>
      </c>
      <c r="D168" s="203" t="s">
        <v>103</v>
      </c>
      <c r="F168" s="4"/>
    </row>
    <row r="169" spans="2:6" x14ac:dyDescent="0.2">
      <c r="B169" s="3"/>
      <c r="C169" s="12"/>
      <c r="F169" s="4"/>
    </row>
    <row r="170" spans="2:6" x14ac:dyDescent="0.2">
      <c r="B170" s="125" t="s">
        <v>104</v>
      </c>
      <c r="C170" s="12"/>
      <c r="F170" s="4"/>
    </row>
    <row r="171" spans="2:6" x14ac:dyDescent="0.2">
      <c r="B171" s="125"/>
      <c r="C171" s="12"/>
      <c r="F171" s="4"/>
    </row>
    <row r="172" spans="2:6" x14ac:dyDescent="0.2">
      <c r="B172" s="245" t="s">
        <v>164</v>
      </c>
      <c r="C172" s="12"/>
      <c r="F172" s="4"/>
    </row>
    <row r="173" spans="2:6" x14ac:dyDescent="0.2">
      <c r="B173" s="208"/>
      <c r="C173" s="12"/>
      <c r="F173" s="4"/>
    </row>
    <row r="174" spans="2:6" x14ac:dyDescent="0.2">
      <c r="B174" s="217">
        <v>7.1999999999999995E-2</v>
      </c>
      <c r="C174" s="218" t="s">
        <v>83</v>
      </c>
      <c r="F174" s="4"/>
    </row>
    <row r="175" spans="2:6" x14ac:dyDescent="0.2">
      <c r="B175" s="14" t="s">
        <v>8</v>
      </c>
      <c r="C175" s="78">
        <v>-2342.83748953738</v>
      </c>
      <c r="D175" s="209" t="s">
        <v>123</v>
      </c>
      <c r="F175" s="4"/>
    </row>
    <row r="176" spans="2:6" x14ac:dyDescent="0.2">
      <c r="B176" s="9" t="s">
        <v>124</v>
      </c>
      <c r="C176" s="215">
        <f>NPER(B174/12,C175,C178,C179)</f>
        <v>70.544178179509416</v>
      </c>
      <c r="D176" s="219" t="s">
        <v>93</v>
      </c>
      <c r="F176" s="4"/>
    </row>
    <row r="177" spans="2:6" x14ac:dyDescent="0.2">
      <c r="B177" s="14" t="s">
        <v>10</v>
      </c>
      <c r="C177" s="119">
        <f>B174/12</f>
        <v>5.9999999999999993E-3</v>
      </c>
      <c r="F177" s="4"/>
    </row>
    <row r="178" spans="2:6" x14ac:dyDescent="0.2">
      <c r="B178" s="14" t="s">
        <v>11</v>
      </c>
      <c r="C178" s="75">
        <v>200000</v>
      </c>
      <c r="F178" s="4"/>
    </row>
    <row r="179" spans="2:6" x14ac:dyDescent="0.2">
      <c r="B179" s="14" t="s">
        <v>12</v>
      </c>
      <c r="C179" s="12">
        <v>-100000</v>
      </c>
      <c r="D179" s="209" t="s">
        <v>125</v>
      </c>
      <c r="F179" s="4"/>
    </row>
    <row r="180" spans="2:6" x14ac:dyDescent="0.2">
      <c r="B180" s="3"/>
      <c r="F180" s="4"/>
    </row>
    <row r="181" spans="2:6" ht="17" thickBot="1" x14ac:dyDescent="0.25">
      <c r="B181" s="114"/>
      <c r="C181" s="89"/>
      <c r="D181" s="5"/>
      <c r="E181" s="5"/>
      <c r="F181" s="7"/>
    </row>
    <row r="182" spans="2:6" ht="17" thickBot="1" x14ac:dyDescent="0.25">
      <c r="C182" s="12"/>
    </row>
    <row r="183" spans="2:6" ht="17" thickBot="1" x14ac:dyDescent="0.25">
      <c r="B183" s="8" t="s">
        <v>25</v>
      </c>
      <c r="C183" s="6"/>
      <c r="D183" s="6"/>
      <c r="E183" s="6"/>
      <c r="F183" s="2"/>
    </row>
    <row r="184" spans="2:6" x14ac:dyDescent="0.2">
      <c r="B184" s="9" t="s">
        <v>8</v>
      </c>
      <c r="C184" s="76">
        <f>PMT(C188,C186,C189,C190)</f>
        <v>-67886.611841302816</v>
      </c>
      <c r="D184" s="16" t="s">
        <v>126</v>
      </c>
      <c r="F184" s="4"/>
    </row>
    <row r="185" spans="2:6" x14ac:dyDescent="0.2">
      <c r="B185" s="9" t="s">
        <v>8</v>
      </c>
      <c r="C185" s="76">
        <f>PMT(C187,C186,C189,C190)</f>
        <v>-44869.294898316315</v>
      </c>
      <c r="D185" s="16" t="s">
        <v>75</v>
      </c>
      <c r="F185" s="4"/>
    </row>
    <row r="186" spans="2:6" x14ac:dyDescent="0.2">
      <c r="B186" s="14" t="s">
        <v>9</v>
      </c>
      <c r="C186" s="88">
        <v>35</v>
      </c>
      <c r="F186" s="4"/>
    </row>
    <row r="187" spans="2:6" x14ac:dyDescent="0.2">
      <c r="B187" s="14" t="s">
        <v>47</v>
      </c>
      <c r="C187" s="71">
        <v>0.06</v>
      </c>
      <c r="F187" s="4"/>
    </row>
    <row r="188" spans="2:6" x14ac:dyDescent="0.2">
      <c r="B188" s="14" t="s">
        <v>48</v>
      </c>
      <c r="C188" s="71">
        <v>0.04</v>
      </c>
      <c r="F188" s="4"/>
    </row>
    <row r="189" spans="2:6" x14ac:dyDescent="0.2">
      <c r="B189" s="14" t="s">
        <v>11</v>
      </c>
      <c r="C189" s="70">
        <v>0</v>
      </c>
      <c r="F189" s="4"/>
    </row>
    <row r="190" spans="2:6" ht="17" thickBot="1" x14ac:dyDescent="0.25">
      <c r="B190" s="15" t="s">
        <v>12</v>
      </c>
      <c r="C190" s="89">
        <v>5000000</v>
      </c>
      <c r="D190" s="5"/>
      <c r="E190" s="5"/>
      <c r="F190" s="7"/>
    </row>
    <row r="191" spans="2:6" ht="17" thickBot="1" x14ac:dyDescent="0.25">
      <c r="B191" s="20"/>
      <c r="C191" s="12"/>
    </row>
    <row r="192" spans="2:6" ht="17" thickBot="1" x14ac:dyDescent="0.25">
      <c r="B192" s="8" t="s">
        <v>49</v>
      </c>
      <c r="C192" s="90"/>
      <c r="D192" s="6"/>
      <c r="E192" s="6"/>
      <c r="F192" s="2"/>
    </row>
    <row r="193" spans="2:6" x14ac:dyDescent="0.2">
      <c r="B193" s="14" t="s">
        <v>8</v>
      </c>
      <c r="C193" s="92">
        <v>300000</v>
      </c>
      <c r="F193" s="4"/>
    </row>
    <row r="194" spans="2:6" x14ac:dyDescent="0.2">
      <c r="B194" s="14" t="s">
        <v>9</v>
      </c>
      <c r="C194" s="18">
        <v>25</v>
      </c>
      <c r="F194" s="4"/>
    </row>
    <row r="195" spans="2:6" x14ac:dyDescent="0.2">
      <c r="B195" s="14" t="s">
        <v>10</v>
      </c>
      <c r="C195" s="69">
        <v>7.0000000000000007E-2</v>
      </c>
      <c r="F195" s="4"/>
    </row>
    <row r="196" spans="2:6" x14ac:dyDescent="0.2">
      <c r="B196" s="9" t="s">
        <v>11</v>
      </c>
      <c r="C196" s="93">
        <f>-PV(C195,C194,C193,0)</f>
        <v>3496074.9534761156</v>
      </c>
      <c r="D196" s="46" t="s">
        <v>13</v>
      </c>
      <c r="F196" s="4"/>
    </row>
    <row r="197" spans="2:6" ht="17" thickBot="1" x14ac:dyDescent="0.25">
      <c r="B197" s="15" t="s">
        <v>12</v>
      </c>
      <c r="C197" s="91">
        <v>0</v>
      </c>
      <c r="D197" s="5"/>
      <c r="E197" s="5"/>
      <c r="F197" s="7"/>
    </row>
    <row r="198" spans="2:6" ht="17" thickBot="1" x14ac:dyDescent="0.25">
      <c r="B198" s="87"/>
      <c r="D198" s="13"/>
      <c r="E198" s="13"/>
      <c r="F198" s="13"/>
    </row>
    <row r="199" spans="2:6" ht="17" thickBot="1" x14ac:dyDescent="0.25">
      <c r="B199" s="8" t="s">
        <v>98</v>
      </c>
      <c r="C199" s="90"/>
      <c r="D199" s="6"/>
      <c r="E199" s="6"/>
      <c r="F199" s="2"/>
    </row>
    <row r="200" spans="2:6" x14ac:dyDescent="0.2">
      <c r="B200" s="14" t="s">
        <v>8</v>
      </c>
      <c r="C200" s="92">
        <v>0</v>
      </c>
      <c r="F200" s="4"/>
    </row>
    <row r="201" spans="2:6" x14ac:dyDescent="0.2">
      <c r="B201" s="14" t="s">
        <v>9</v>
      </c>
      <c r="C201" s="18">
        <v>100</v>
      </c>
      <c r="F201" s="4"/>
    </row>
    <row r="202" spans="2:6" x14ac:dyDescent="0.2">
      <c r="B202" s="14" t="s">
        <v>10</v>
      </c>
      <c r="C202" s="128">
        <f>RATE(C201,C200,C203,C204)</f>
        <v>6.9999999684734998E-2</v>
      </c>
      <c r="D202" s="81" t="s">
        <v>16</v>
      </c>
      <c r="F202" s="4"/>
    </row>
    <row r="203" spans="2:6" x14ac:dyDescent="0.2">
      <c r="B203" s="9" t="s">
        <v>11</v>
      </c>
      <c r="C203" s="126">
        <v>-10000</v>
      </c>
      <c r="D203" s="46"/>
      <c r="F203" s="4"/>
    </row>
    <row r="204" spans="2:6" ht="17" thickBot="1" x14ac:dyDescent="0.25">
      <c r="B204" s="15" t="s">
        <v>12</v>
      </c>
      <c r="C204" s="127">
        <v>8677163</v>
      </c>
      <c r="D204" s="5"/>
      <c r="E204" s="5"/>
      <c r="F204" s="7"/>
    </row>
    <row r="205" spans="2:6" ht="17" thickBot="1" x14ac:dyDescent="0.25"/>
    <row r="206" spans="2:6" ht="17" thickBot="1" x14ac:dyDescent="0.25">
      <c r="B206" s="8" t="s">
        <v>119</v>
      </c>
      <c r="C206" s="6"/>
      <c r="D206" s="124"/>
      <c r="E206" s="124"/>
      <c r="F206" s="2"/>
    </row>
    <row r="207" spans="2:6" x14ac:dyDescent="0.2">
      <c r="B207" s="14"/>
      <c r="C207" s="54"/>
      <c r="D207" s="50"/>
      <c r="F207" s="4"/>
    </row>
    <row r="208" spans="2:6" x14ac:dyDescent="0.2">
      <c r="B208" s="14" t="s">
        <v>8</v>
      </c>
      <c r="C208" s="106">
        <v>10200</v>
      </c>
      <c r="D208" s="50"/>
      <c r="F208" s="4"/>
    </row>
    <row r="209" spans="2:6" x14ac:dyDescent="0.2">
      <c r="B209" s="14" t="s">
        <v>9</v>
      </c>
      <c r="C209" s="106">
        <v>120</v>
      </c>
      <c r="D209" s="57" t="s">
        <v>28</v>
      </c>
      <c r="F209" s="4"/>
    </row>
    <row r="210" spans="2:6" x14ac:dyDescent="0.2">
      <c r="B210" s="9" t="s">
        <v>17</v>
      </c>
      <c r="C210" s="108">
        <f>RATE(C209,C208,C212,C213,0)</f>
        <v>3.4653936702981679E-3</v>
      </c>
      <c r="D210" s="81" t="s">
        <v>16</v>
      </c>
      <c r="F210" s="4"/>
    </row>
    <row r="211" spans="2:6" x14ac:dyDescent="0.2">
      <c r="B211" s="9" t="s">
        <v>18</v>
      </c>
      <c r="C211" s="104">
        <f>(1+C210)^12-1</f>
        <v>4.2386542209707612E-2</v>
      </c>
      <c r="D211" s="220" t="s">
        <v>128</v>
      </c>
      <c r="F211" s="4"/>
    </row>
    <row r="212" spans="2:6" x14ac:dyDescent="0.2">
      <c r="B212" s="14" t="s">
        <v>11</v>
      </c>
      <c r="C212" s="107">
        <v>-1000000</v>
      </c>
      <c r="F212" s="4"/>
    </row>
    <row r="213" spans="2:6" x14ac:dyDescent="0.2">
      <c r="B213" s="14" t="s">
        <v>12</v>
      </c>
      <c r="C213" s="105">
        <v>0</v>
      </c>
      <c r="F213" s="4"/>
    </row>
    <row r="214" spans="2:6" x14ac:dyDescent="0.2">
      <c r="B214" s="14"/>
      <c r="C214" s="105"/>
      <c r="F214" s="4"/>
    </row>
    <row r="215" spans="2:6" x14ac:dyDescent="0.2">
      <c r="B215" s="138" t="s">
        <v>127</v>
      </c>
      <c r="C215" s="105"/>
      <c r="F215" s="4"/>
    </row>
    <row r="216" spans="2:6" x14ac:dyDescent="0.2">
      <c r="B216" s="139" t="s">
        <v>17</v>
      </c>
      <c r="C216" s="136">
        <f>C210</f>
        <v>3.4653936702981679E-3</v>
      </c>
      <c r="F216" s="4"/>
    </row>
    <row r="217" spans="2:6" x14ac:dyDescent="0.2">
      <c r="B217" s="139" t="s">
        <v>51</v>
      </c>
      <c r="C217" s="137">
        <f>C216*12</f>
        <v>4.1584724043578013E-2</v>
      </c>
      <c r="D217" s="129" t="s">
        <v>99</v>
      </c>
      <c r="F217" s="4"/>
    </row>
    <row r="218" spans="2:6" ht="17" thickBot="1" x14ac:dyDescent="0.25">
      <c r="B218" s="140" t="s">
        <v>52</v>
      </c>
      <c r="C218" s="141">
        <f>EFFECT(C217,12)</f>
        <v>4.2386542209707612E-2</v>
      </c>
      <c r="D218" s="142" t="s">
        <v>53</v>
      </c>
      <c r="E218" s="5"/>
      <c r="F218" s="7"/>
    </row>
    <row r="232" spans="2:3" x14ac:dyDescent="0.2">
      <c r="B232" s="130"/>
      <c r="C232" s="17"/>
    </row>
    <row r="233" spans="2:3" x14ac:dyDescent="0.2">
      <c r="B233" s="131"/>
      <c r="C233" s="17"/>
    </row>
    <row r="234" spans="2:3" x14ac:dyDescent="0.2">
      <c r="B234" s="132"/>
      <c r="C234" s="17"/>
    </row>
    <row r="235" spans="2:3" x14ac:dyDescent="0.2">
      <c r="B235" s="101"/>
      <c r="C235" s="17"/>
    </row>
    <row r="236" spans="2:3" x14ac:dyDescent="0.2">
      <c r="B236" s="130"/>
      <c r="C236" s="17"/>
    </row>
    <row r="237" spans="2:3" x14ac:dyDescent="0.2">
      <c r="B237" s="129"/>
      <c r="C237" s="17"/>
    </row>
    <row r="238" spans="2:3" x14ac:dyDescent="0.2">
      <c r="B238" s="133"/>
    </row>
    <row r="239" spans="2:3" x14ac:dyDescent="0.2">
      <c r="B239" s="134"/>
      <c r="C239" s="17"/>
    </row>
    <row r="240" spans="2:3" x14ac:dyDescent="0.2">
      <c r="B240" s="134"/>
      <c r="C240" s="17"/>
    </row>
    <row r="241" spans="2:9" x14ac:dyDescent="0.2">
      <c r="B241" s="135"/>
      <c r="C241" s="17"/>
    </row>
    <row r="242" spans="2:9" x14ac:dyDescent="0.2">
      <c r="B242" s="134"/>
      <c r="C242" s="17"/>
    </row>
    <row r="243" spans="2:9" x14ac:dyDescent="0.2">
      <c r="B243" s="134"/>
      <c r="C243" s="17"/>
    </row>
    <row r="244" spans="2:9" x14ac:dyDescent="0.2">
      <c r="B244" s="134"/>
      <c r="C244" s="17"/>
    </row>
    <row r="245" spans="2:9" x14ac:dyDescent="0.2">
      <c r="B245" s="135"/>
      <c r="C245" s="17"/>
    </row>
    <row r="246" spans="2:9" x14ac:dyDescent="0.2">
      <c r="B246" s="133"/>
    </row>
    <row r="247" spans="2:9" x14ac:dyDescent="0.2">
      <c r="B247" s="96"/>
    </row>
    <row r="248" spans="2:9" x14ac:dyDescent="0.2">
      <c r="B248" s="94"/>
    </row>
    <row r="249" spans="2:9" x14ac:dyDescent="0.2">
      <c r="B249" s="95"/>
    </row>
    <row r="250" spans="2:9" x14ac:dyDescent="0.2">
      <c r="B250" s="95"/>
    </row>
    <row r="251" spans="2:9" x14ac:dyDescent="0.2">
      <c r="B251" s="95"/>
      <c r="I251" s="47"/>
    </row>
    <row r="252" spans="2:9" x14ac:dyDescent="0.2">
      <c r="B252" s="95"/>
    </row>
    <row r="253" spans="2:9" x14ac:dyDescent="0.2">
      <c r="B253" s="95"/>
    </row>
    <row r="254" spans="2:9" x14ac:dyDescent="0.2">
      <c r="B254" s="97"/>
    </row>
    <row r="255" spans="2:9" x14ac:dyDescent="0.2">
      <c r="C255" s="98"/>
    </row>
    <row r="257" spans="2:6" x14ac:dyDescent="0.2">
      <c r="B257" s="18"/>
    </row>
    <row r="258" spans="2:6" x14ac:dyDescent="0.2">
      <c r="B258" s="18"/>
    </row>
    <row r="259" spans="2:6" x14ac:dyDescent="0.2">
      <c r="B259" s="18"/>
      <c r="C259" s="19"/>
      <c r="E259" s="99"/>
    </row>
    <row r="260" spans="2:6" x14ac:dyDescent="0.2">
      <c r="B260" s="64"/>
      <c r="C260" s="98"/>
      <c r="D260" s="100"/>
    </row>
    <row r="261" spans="2:6" x14ac:dyDescent="0.2">
      <c r="B261" s="18"/>
    </row>
    <row r="263" spans="2:6" x14ac:dyDescent="0.2">
      <c r="B263" s="64"/>
      <c r="C263" s="98"/>
    </row>
    <row r="265" spans="2:6" x14ac:dyDescent="0.2">
      <c r="B265" s="97"/>
    </row>
    <row r="266" spans="2:6" x14ac:dyDescent="0.2">
      <c r="B266" s="97"/>
      <c r="C266" s="98"/>
    </row>
    <row r="267" spans="2:6" x14ac:dyDescent="0.2">
      <c r="B267" s="18"/>
    </row>
    <row r="268" spans="2:6" x14ac:dyDescent="0.2">
      <c r="B268" s="101"/>
    </row>
    <row r="269" spans="2:6" x14ac:dyDescent="0.2">
      <c r="B269" s="102"/>
    </row>
    <row r="270" spans="2:6" x14ac:dyDescent="0.2">
      <c r="B270" s="103"/>
    </row>
    <row r="272" spans="2:6" x14ac:dyDescent="0.2">
      <c r="B272" s="243"/>
      <c r="C272" s="244"/>
      <c r="D272" s="244"/>
      <c r="E272" s="244"/>
      <c r="F272" s="244"/>
    </row>
    <row r="273" spans="2:6" x14ac:dyDescent="0.2">
      <c r="B273" s="244"/>
      <c r="C273" s="244"/>
      <c r="D273" s="244"/>
      <c r="E273" s="244"/>
      <c r="F273" s="244"/>
    </row>
    <row r="274" spans="2:6" x14ac:dyDescent="0.2">
      <c r="B274" s="244"/>
      <c r="C274" s="244"/>
      <c r="D274" s="244"/>
      <c r="E274" s="244"/>
      <c r="F274" s="244"/>
    </row>
    <row r="275" spans="2:6" x14ac:dyDescent="0.2">
      <c r="B275" s="18"/>
      <c r="C275" s="19"/>
      <c r="D275" s="19"/>
      <c r="E275" s="19"/>
    </row>
    <row r="276" spans="2:6" x14ac:dyDescent="0.2">
      <c r="B276" s="20"/>
      <c r="C276" s="21"/>
    </row>
  </sheetData>
  <mergeCells count="1">
    <mergeCell ref="B272:F274"/>
  </mergeCells>
  <phoneticPr fontId="18" type="noConversion"/>
  <pageMargins left="0.7" right="0.45" top="0.75" bottom="0.75" header="0.3" footer="0.3"/>
  <pageSetup scale="80" orientation="landscape"/>
  <headerFooter>
    <oddHeader>&amp;LCorp Fin 2014 &amp;CHomework 2&amp;R&amp;P of &amp;N</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6E3C0-1CB5-4C43-81E2-A76D2F4D549D}">
  <dimension ref="B4:W26"/>
  <sheetViews>
    <sheetView showGridLines="0" workbookViewId="0">
      <selection activeCell="B27" sqref="B27"/>
    </sheetView>
  </sheetViews>
  <sheetFormatPr baseColWidth="10" defaultRowHeight="15" x14ac:dyDescent="0.2"/>
  <cols>
    <col min="2" max="2" width="17.83203125" customWidth="1"/>
    <col min="3" max="3" width="11.6640625" bestFit="1" customWidth="1"/>
    <col min="4" max="4" width="12.83203125" bestFit="1" customWidth="1"/>
    <col min="13" max="22" width="11.6640625" bestFit="1" customWidth="1"/>
  </cols>
  <sheetData>
    <row r="4" spans="2:23" x14ac:dyDescent="0.2">
      <c r="B4" s="233" t="s">
        <v>73</v>
      </c>
    </row>
    <row r="5" spans="2:23" ht="16" x14ac:dyDescent="0.2">
      <c r="B5" s="221"/>
      <c r="C5" s="221"/>
      <c r="D5" s="222" t="s">
        <v>133</v>
      </c>
      <c r="E5" s="223">
        <v>4.4299999999999999E-2</v>
      </c>
      <c r="F5" s="221"/>
      <c r="G5" s="221"/>
      <c r="H5" s="221"/>
      <c r="I5" s="221"/>
      <c r="J5" s="221"/>
      <c r="K5" s="221"/>
      <c r="L5" s="221"/>
      <c r="M5" s="221"/>
      <c r="N5" s="221"/>
      <c r="O5" s="221"/>
      <c r="P5" s="221"/>
      <c r="Q5" s="221"/>
      <c r="R5" s="221"/>
      <c r="S5" s="221"/>
      <c r="T5" s="221"/>
      <c r="U5" s="221"/>
      <c r="V5" s="221"/>
    </row>
    <row r="6" spans="2:23" ht="16" x14ac:dyDescent="0.2">
      <c r="B6" s="221"/>
      <c r="C6" s="221"/>
      <c r="D6" s="221"/>
      <c r="E6" s="221"/>
      <c r="F6" s="221"/>
      <c r="G6" s="221"/>
      <c r="H6" s="221"/>
      <c r="I6" s="221"/>
      <c r="J6" s="221"/>
      <c r="K6" s="221"/>
      <c r="L6" s="221"/>
      <c r="M6" s="221"/>
      <c r="N6" s="221"/>
      <c r="O6" s="221"/>
      <c r="P6" s="221"/>
      <c r="Q6" s="221"/>
      <c r="R6" s="221"/>
      <c r="S6" s="221"/>
      <c r="T6" s="221"/>
      <c r="U6" s="221"/>
      <c r="V6" s="221"/>
    </row>
    <row r="7" spans="2:23" ht="16" x14ac:dyDescent="0.2">
      <c r="B7" s="221"/>
      <c r="C7" s="221"/>
      <c r="D7" s="221"/>
      <c r="E7" s="221"/>
      <c r="F7" s="221"/>
      <c r="G7" s="221"/>
      <c r="H7" s="221"/>
      <c r="I7" s="221"/>
      <c r="J7" s="221"/>
      <c r="K7" s="221"/>
      <c r="L7" s="221"/>
      <c r="M7" s="221"/>
      <c r="N7" s="221"/>
      <c r="O7" s="221"/>
      <c r="P7" s="221"/>
      <c r="Q7" s="221"/>
      <c r="R7" s="221"/>
      <c r="S7" s="221"/>
      <c r="T7" s="221"/>
      <c r="U7" s="221"/>
      <c r="V7" s="221"/>
    </row>
    <row r="8" spans="2:23" ht="16" x14ac:dyDescent="0.2">
      <c r="B8" s="232" t="s">
        <v>134</v>
      </c>
      <c r="C8" s="232">
        <v>1</v>
      </c>
      <c r="D8" s="232">
        <v>2</v>
      </c>
      <c r="E8" s="232">
        <v>3</v>
      </c>
      <c r="F8" s="232">
        <v>4</v>
      </c>
      <c r="G8" s="232">
        <v>5</v>
      </c>
      <c r="H8" s="232">
        <v>6</v>
      </c>
      <c r="I8" s="232">
        <v>7</v>
      </c>
      <c r="J8" s="232">
        <v>8</v>
      </c>
      <c r="K8" s="232">
        <v>9</v>
      </c>
      <c r="L8" s="232">
        <v>10</v>
      </c>
      <c r="M8" s="232">
        <v>11</v>
      </c>
      <c r="N8" s="232">
        <v>12</v>
      </c>
      <c r="O8" s="232">
        <v>13</v>
      </c>
      <c r="P8" s="232">
        <v>14</v>
      </c>
      <c r="Q8" s="232">
        <v>15</v>
      </c>
      <c r="R8" s="232">
        <v>16</v>
      </c>
      <c r="S8" s="232">
        <v>17</v>
      </c>
      <c r="T8" s="232">
        <v>18</v>
      </c>
      <c r="U8" s="232">
        <v>19</v>
      </c>
      <c r="V8" s="232">
        <v>20</v>
      </c>
    </row>
    <row r="9" spans="2:23" ht="16" x14ac:dyDescent="0.2">
      <c r="B9" s="224" t="s">
        <v>135</v>
      </c>
      <c r="C9" s="76">
        <v>2000000</v>
      </c>
      <c r="D9" s="76">
        <v>2000000</v>
      </c>
      <c r="E9" s="76">
        <v>2000000</v>
      </c>
      <c r="F9" s="76">
        <v>2000000</v>
      </c>
      <c r="G9" s="76">
        <v>2000000</v>
      </c>
      <c r="H9" s="76">
        <v>2000000</v>
      </c>
      <c r="I9" s="76">
        <v>2000000</v>
      </c>
      <c r="J9" s="76">
        <v>2000000</v>
      </c>
      <c r="K9" s="76">
        <v>2000000</v>
      </c>
      <c r="L9" s="76">
        <v>2000000</v>
      </c>
      <c r="M9" s="76">
        <v>68000000</v>
      </c>
      <c r="N9" s="76">
        <v>68000000</v>
      </c>
      <c r="O9" s="76">
        <v>68000000</v>
      </c>
      <c r="P9" s="76">
        <v>68000000</v>
      </c>
      <c r="Q9" s="76">
        <v>68000000</v>
      </c>
      <c r="R9" s="76">
        <v>68000000</v>
      </c>
      <c r="S9" s="76">
        <v>68000000</v>
      </c>
      <c r="T9" s="76">
        <v>68000000</v>
      </c>
      <c r="U9" s="76">
        <v>68000000</v>
      </c>
      <c r="V9" s="76">
        <v>68000000</v>
      </c>
    </row>
    <row r="10" spans="2:23" ht="17" thickBot="1" x14ac:dyDescent="0.25">
      <c r="B10" s="224" t="s">
        <v>136</v>
      </c>
      <c r="C10" s="231">
        <f>1/(1+$E$5)^C8</f>
        <v>0.95757923968208369</v>
      </c>
      <c r="D10" s="231">
        <f t="shared" ref="D10:V10" si="0">1/(1+$E$5)^D8</f>
        <v>0.91695800027011753</v>
      </c>
      <c r="E10" s="231">
        <f t="shared" si="0"/>
        <v>0.87805994471906301</v>
      </c>
      <c r="F10" s="231">
        <f t="shared" si="0"/>
        <v>0.84081197425937293</v>
      </c>
      <c r="G10" s="231">
        <f t="shared" si="0"/>
        <v>0.805144091026882</v>
      </c>
      <c r="H10" s="231">
        <f t="shared" si="0"/>
        <v>0.77098926652004418</v>
      </c>
      <c r="I10" s="231">
        <f t="shared" si="0"/>
        <v>0.73828331563731131</v>
      </c>
      <c r="J10" s="231">
        <f t="shared" si="0"/>
        <v>0.70696477605794439</v>
      </c>
      <c r="K10" s="231">
        <f t="shared" si="0"/>
        <v>0.67697479273958094</v>
      </c>
      <c r="L10" s="231">
        <f t="shared" si="0"/>
        <v>0.64825700731550417</v>
      </c>
      <c r="M10" s="231">
        <f t="shared" si="0"/>
        <v>0.62075745218376344</v>
      </c>
      <c r="N10" s="231">
        <f t="shared" si="0"/>
        <v>0.59442444908911574</v>
      </c>
      <c r="O10" s="231">
        <f t="shared" si="0"/>
        <v>0.56920851200719691</v>
      </c>
      <c r="P10" s="231">
        <f t="shared" si="0"/>
        <v>0.54506225414842191</v>
      </c>
      <c r="Q10" s="231">
        <f t="shared" si="0"/>
        <v>0.52194029890684845</v>
      </c>
      <c r="R10" s="231">
        <f t="shared" si="0"/>
        <v>0.49979919458665939</v>
      </c>
      <c r="S10" s="231">
        <f t="shared" si="0"/>
        <v>0.47859733274601107</v>
      </c>
      <c r="T10" s="231">
        <f t="shared" si="0"/>
        <v>0.45829487000479863</v>
      </c>
      <c r="U10" s="231">
        <f t="shared" si="0"/>
        <v>0.43885365316939434</v>
      </c>
      <c r="V10" s="231">
        <f t="shared" si="0"/>
        <v>0.42023714753365365</v>
      </c>
      <c r="W10" s="76"/>
    </row>
    <row r="11" spans="2:23" ht="16" x14ac:dyDescent="0.2">
      <c r="B11" s="224" t="s">
        <v>137</v>
      </c>
      <c r="C11" s="76">
        <f>C10*C9</f>
        <v>1915158.4793641674</v>
      </c>
      <c r="D11" s="76">
        <f t="shared" ref="D11:V11" si="1">D10*D9</f>
        <v>1833916.0005402351</v>
      </c>
      <c r="E11" s="76">
        <f t="shared" si="1"/>
        <v>1756119.889438126</v>
      </c>
      <c r="F11" s="76">
        <f t="shared" si="1"/>
        <v>1681623.9485187458</v>
      </c>
      <c r="G11" s="76">
        <f t="shared" si="1"/>
        <v>1610288.1820537641</v>
      </c>
      <c r="H11" s="76">
        <f t="shared" si="1"/>
        <v>1541978.5330400884</v>
      </c>
      <c r="I11" s="76">
        <f t="shared" si="1"/>
        <v>1476566.6312746226</v>
      </c>
      <c r="J11" s="76">
        <f t="shared" si="1"/>
        <v>1413929.5521158888</v>
      </c>
      <c r="K11" s="76">
        <f t="shared" si="1"/>
        <v>1353949.5854791619</v>
      </c>
      <c r="L11" s="76">
        <f t="shared" si="1"/>
        <v>1296514.0146310083</v>
      </c>
      <c r="M11" s="76">
        <f t="shared" si="1"/>
        <v>42211506.748495914</v>
      </c>
      <c r="N11" s="76">
        <f t="shared" si="1"/>
        <v>40420862.538059868</v>
      </c>
      <c r="O11" s="76">
        <f t="shared" si="1"/>
        <v>38706178.816489391</v>
      </c>
      <c r="P11" s="76">
        <f t="shared" si="1"/>
        <v>37064233.28209269</v>
      </c>
      <c r="Q11" s="76">
        <f t="shared" si="1"/>
        <v>35491940.325665697</v>
      </c>
      <c r="R11" s="76">
        <f t="shared" si="1"/>
        <v>33986345.231892839</v>
      </c>
      <c r="S11" s="76">
        <f t="shared" si="1"/>
        <v>32544618.626728754</v>
      </c>
      <c r="T11" s="76">
        <f t="shared" si="1"/>
        <v>31164051.160326306</v>
      </c>
      <c r="U11" s="76">
        <f t="shared" si="1"/>
        <v>29842048.415518817</v>
      </c>
      <c r="V11" s="76">
        <f t="shared" si="1"/>
        <v>28576126.032288447</v>
      </c>
      <c r="W11" s="76"/>
    </row>
    <row r="12" spans="2:23" ht="16" x14ac:dyDescent="0.2">
      <c r="B12" s="221"/>
      <c r="C12" s="76"/>
      <c r="D12" s="76"/>
      <c r="E12" s="76"/>
      <c r="F12" s="76"/>
      <c r="G12" s="76"/>
      <c r="H12" s="76"/>
      <c r="I12" s="76"/>
      <c r="J12" s="76"/>
      <c r="K12" s="76"/>
      <c r="L12" s="76"/>
      <c r="M12" s="76"/>
      <c r="N12" s="76"/>
      <c r="O12" s="76"/>
      <c r="P12" s="76"/>
      <c r="Q12" s="76"/>
      <c r="R12" s="76"/>
      <c r="S12" s="76"/>
      <c r="T12" s="76"/>
      <c r="U12" s="76"/>
      <c r="V12" s="76"/>
      <c r="W12" s="76"/>
    </row>
    <row r="13" spans="2:23" ht="16" x14ac:dyDescent="0.2">
      <c r="B13" s="225" t="s">
        <v>138</v>
      </c>
      <c r="C13" s="76">
        <f>SUM(C11:V11)</f>
        <v>365887955.9940145</v>
      </c>
      <c r="D13" s="76"/>
      <c r="E13" s="76"/>
      <c r="F13" s="76"/>
      <c r="G13" s="76"/>
      <c r="H13" s="76"/>
      <c r="I13" s="76"/>
      <c r="J13" s="76"/>
      <c r="K13" s="76"/>
      <c r="L13" s="76"/>
      <c r="M13" s="76"/>
      <c r="N13" s="76"/>
      <c r="O13" s="76"/>
      <c r="P13" s="76"/>
      <c r="Q13" s="76"/>
      <c r="R13" s="76"/>
      <c r="S13" s="76"/>
      <c r="T13" s="76"/>
      <c r="U13" s="76"/>
      <c r="V13" s="76"/>
      <c r="W13" s="76"/>
    </row>
    <row r="14" spans="2:23" ht="16" x14ac:dyDescent="0.2">
      <c r="C14" s="76"/>
      <c r="D14" s="76"/>
      <c r="E14" s="76"/>
      <c r="F14" s="76"/>
      <c r="G14" s="76"/>
      <c r="H14" s="76"/>
      <c r="I14" s="76"/>
      <c r="J14" s="76"/>
      <c r="K14" s="76"/>
      <c r="L14" s="76"/>
      <c r="M14" s="76"/>
      <c r="N14" s="76"/>
      <c r="O14" s="76"/>
      <c r="P14" s="76"/>
      <c r="Q14" s="76"/>
      <c r="R14" s="76"/>
      <c r="S14" s="76"/>
      <c r="T14" s="76"/>
      <c r="U14" s="76"/>
      <c r="V14" s="76"/>
      <c r="W14" s="76"/>
    </row>
    <row r="15" spans="2:23" ht="16" x14ac:dyDescent="0.2">
      <c r="C15" s="76"/>
      <c r="D15" s="76"/>
      <c r="E15" s="76"/>
      <c r="F15" s="76"/>
      <c r="G15" s="76"/>
      <c r="H15" s="76"/>
      <c r="I15" s="76"/>
      <c r="J15" s="76"/>
      <c r="K15" s="76"/>
      <c r="L15" s="76"/>
      <c r="M15" s="76"/>
      <c r="N15" s="76"/>
      <c r="O15" s="76"/>
      <c r="P15" s="76"/>
      <c r="Q15" s="76"/>
      <c r="R15" s="76"/>
      <c r="S15" s="76"/>
      <c r="T15" s="76"/>
      <c r="U15" s="76"/>
      <c r="V15" s="76"/>
      <c r="W15" s="76"/>
    </row>
    <row r="17" spans="2:22" x14ac:dyDescent="0.2">
      <c r="B17" s="233" t="s">
        <v>132</v>
      </c>
    </row>
    <row r="20" spans="2:22" ht="16" x14ac:dyDescent="0.2">
      <c r="B20" s="232" t="s">
        <v>134</v>
      </c>
      <c r="C20" s="232">
        <v>1</v>
      </c>
      <c r="D20" s="232">
        <v>2</v>
      </c>
      <c r="E20" s="232">
        <v>3</v>
      </c>
      <c r="F20" s="232">
        <v>4</v>
      </c>
      <c r="G20" s="232">
        <v>5</v>
      </c>
      <c r="H20" s="232">
        <v>6</v>
      </c>
      <c r="I20" s="232">
        <v>7</v>
      </c>
      <c r="J20" s="232">
        <v>8</v>
      </c>
      <c r="K20" s="232">
        <v>9</v>
      </c>
      <c r="L20" s="232">
        <v>10</v>
      </c>
      <c r="M20" s="232">
        <v>11</v>
      </c>
      <c r="N20" s="232">
        <v>12</v>
      </c>
      <c r="O20" s="232">
        <v>13</v>
      </c>
      <c r="P20" s="232">
        <v>14</v>
      </c>
      <c r="Q20" s="232">
        <v>15</v>
      </c>
      <c r="R20" s="232">
        <v>16</v>
      </c>
      <c r="S20" s="232">
        <v>17</v>
      </c>
      <c r="T20" s="232">
        <v>18</v>
      </c>
      <c r="U20" s="232">
        <v>19</v>
      </c>
      <c r="V20" s="232">
        <v>20</v>
      </c>
    </row>
    <row r="21" spans="2:22" ht="16" x14ac:dyDescent="0.2">
      <c r="B21" s="224" t="s">
        <v>135</v>
      </c>
      <c r="C21" s="76">
        <v>2000000</v>
      </c>
      <c r="D21" s="76">
        <v>2000000</v>
      </c>
      <c r="E21" s="76">
        <v>2000000</v>
      </c>
      <c r="F21" s="76">
        <v>2000000</v>
      </c>
      <c r="G21" s="76">
        <v>2000000</v>
      </c>
      <c r="H21" s="76">
        <v>2000000</v>
      </c>
      <c r="I21" s="76">
        <v>2000000</v>
      </c>
      <c r="J21" s="76">
        <v>2000000</v>
      </c>
      <c r="K21" s="76">
        <v>2000000</v>
      </c>
      <c r="L21" s="76">
        <v>2000000</v>
      </c>
      <c r="M21" s="76">
        <v>68000000</v>
      </c>
      <c r="N21" s="76">
        <v>68000000</v>
      </c>
      <c r="O21" s="76">
        <v>68000000</v>
      </c>
      <c r="P21" s="76">
        <v>68000000</v>
      </c>
      <c r="Q21" s="76">
        <v>68000000</v>
      </c>
      <c r="R21" s="76">
        <v>68000000</v>
      </c>
      <c r="S21" s="76">
        <v>68000000</v>
      </c>
      <c r="T21" s="76">
        <v>68000000</v>
      </c>
      <c r="U21" s="76">
        <v>68000000</v>
      </c>
      <c r="V21" s="76">
        <v>68000000</v>
      </c>
    </row>
    <row r="22" spans="2:22" ht="17" thickBot="1" x14ac:dyDescent="0.25">
      <c r="B22" s="224" t="s">
        <v>136</v>
      </c>
      <c r="C22" s="231">
        <f>1/(1+$E$5)^(C20-0.5)</f>
        <v>0.97855977828750129</v>
      </c>
      <c r="D22" s="231">
        <f t="shared" ref="D22:V22" si="2">1/(1+$E$5)^(D20-0.5)</f>
        <v>0.93704852847601383</v>
      </c>
      <c r="E22" s="231">
        <f t="shared" si="2"/>
        <v>0.89729821744327665</v>
      </c>
      <c r="F22" s="231">
        <f t="shared" si="2"/>
        <v>0.85923414482742189</v>
      </c>
      <c r="G22" s="231">
        <f t="shared" si="2"/>
        <v>0.82278477911272807</v>
      </c>
      <c r="H22" s="231">
        <f t="shared" si="2"/>
        <v>0.7878816232047573</v>
      </c>
      <c r="I22" s="231">
        <f t="shared" si="2"/>
        <v>0.75445908570789744</v>
      </c>
      <c r="J22" s="231">
        <f t="shared" si="2"/>
        <v>0.72245435766340838</v>
      </c>
      <c r="K22" s="231">
        <f t="shared" si="2"/>
        <v>0.69180729451633483</v>
      </c>
      <c r="L22" s="231">
        <f t="shared" si="2"/>
        <v>0.66246030308947124</v>
      </c>
      <c r="M22" s="231">
        <f t="shared" si="2"/>
        <v>0.63435823335197861</v>
      </c>
      <c r="N22" s="231">
        <f t="shared" si="2"/>
        <v>0.60744827477925745</v>
      </c>
      <c r="O22" s="231">
        <f t="shared" si="2"/>
        <v>0.5816798571093148</v>
      </c>
      <c r="P22" s="231">
        <f t="shared" si="2"/>
        <v>0.55700455530912074</v>
      </c>
      <c r="Q22" s="231">
        <f t="shared" si="2"/>
        <v>0.53337599857236495</v>
      </c>
      <c r="R22" s="231">
        <f t="shared" si="2"/>
        <v>0.51074978317759734</v>
      </c>
      <c r="S22" s="231">
        <f t="shared" si="2"/>
        <v>0.48908338904299281</v>
      </c>
      <c r="T22" s="231">
        <f t="shared" si="2"/>
        <v>0.46833609982092572</v>
      </c>
      <c r="U22" s="231">
        <f t="shared" si="2"/>
        <v>0.4484689263821946</v>
      </c>
      <c r="V22" s="231">
        <f t="shared" si="2"/>
        <v>0.42944453354610224</v>
      </c>
    </row>
    <row r="23" spans="2:22" ht="16" x14ac:dyDescent="0.2">
      <c r="B23" s="224" t="s">
        <v>137</v>
      </c>
      <c r="C23" s="76">
        <f>C22*C21</f>
        <v>1957119.5565750026</v>
      </c>
      <c r="D23" s="76">
        <f t="shared" ref="D23" si="3">D22*D21</f>
        <v>1874097.0569520276</v>
      </c>
      <c r="E23" s="76">
        <f t="shared" ref="E23" si="4">E22*E21</f>
        <v>1794596.4348865533</v>
      </c>
      <c r="F23" s="76">
        <f t="shared" ref="F23" si="5">F22*F21</f>
        <v>1718468.2896548437</v>
      </c>
      <c r="G23" s="76">
        <f t="shared" ref="G23" si="6">G22*G21</f>
        <v>1645569.5582254562</v>
      </c>
      <c r="H23" s="76">
        <f t="shared" ref="H23" si="7">H22*H21</f>
        <v>1575763.2464095147</v>
      </c>
      <c r="I23" s="76">
        <f t="shared" ref="I23" si="8">I22*I21</f>
        <v>1508918.1714157949</v>
      </c>
      <c r="J23" s="76">
        <f t="shared" ref="J23" si="9">J22*J21</f>
        <v>1444908.7153268168</v>
      </c>
      <c r="K23" s="76">
        <f t="shared" ref="K23" si="10">K22*K21</f>
        <v>1383614.5890326696</v>
      </c>
      <c r="L23" s="76">
        <f t="shared" ref="L23" si="11">L22*L21</f>
        <v>1324920.6061789424</v>
      </c>
      <c r="M23" s="76">
        <f t="shared" ref="M23" si="12">M22*M21</f>
        <v>43136359.867934547</v>
      </c>
      <c r="N23" s="76">
        <f t="shared" ref="N23" si="13">N22*N21</f>
        <v>41306482.684989505</v>
      </c>
      <c r="O23" s="76">
        <f t="shared" ref="O23" si="14">O22*O21</f>
        <v>39554230.283433408</v>
      </c>
      <c r="P23" s="76">
        <f t="shared" ref="P23" si="15">P22*P21</f>
        <v>37876309.761020213</v>
      </c>
      <c r="Q23" s="76">
        <f t="shared" ref="Q23" si="16">Q22*Q21</f>
        <v>36269567.90292082</v>
      </c>
      <c r="R23" s="76">
        <f t="shared" ref="R23" si="17">R22*R21</f>
        <v>34730985.256076619</v>
      </c>
      <c r="S23" s="76">
        <f t="shared" ref="S23" si="18">S22*S21</f>
        <v>33257670.454923511</v>
      </c>
      <c r="T23" s="76">
        <f t="shared" ref="T23" si="19">T22*T21</f>
        <v>31846854.787822951</v>
      </c>
      <c r="U23" s="76">
        <f t="shared" ref="U23" si="20">U22*U21</f>
        <v>30495886.993989233</v>
      </c>
      <c r="V23" s="76">
        <f t="shared" ref="V23" si="21">V22*V21</f>
        <v>29202228.281134952</v>
      </c>
    </row>
    <row r="24" spans="2:22" ht="16" x14ac:dyDescent="0.2">
      <c r="B24" s="221"/>
      <c r="C24" s="76"/>
      <c r="D24" s="76"/>
      <c r="E24" s="76"/>
      <c r="F24" s="76"/>
      <c r="G24" s="76"/>
      <c r="H24" s="76"/>
      <c r="I24" s="76"/>
      <c r="J24" s="76"/>
      <c r="K24" s="76"/>
      <c r="L24" s="76"/>
      <c r="M24" s="76"/>
      <c r="N24" s="76"/>
      <c r="O24" s="76"/>
      <c r="P24" s="76"/>
      <c r="Q24" s="76"/>
      <c r="R24" s="76"/>
      <c r="S24" s="76"/>
      <c r="T24" s="76"/>
      <c r="U24" s="76"/>
      <c r="V24" s="76"/>
    </row>
    <row r="25" spans="2:22" ht="16" x14ac:dyDescent="0.2">
      <c r="B25" s="225" t="s">
        <v>138</v>
      </c>
      <c r="C25" s="76">
        <f>SUM(C23:V23)</f>
        <v>373904552.49890339</v>
      </c>
      <c r="D25" s="76"/>
      <c r="E25" s="76"/>
      <c r="F25" s="76"/>
      <c r="G25" s="76"/>
      <c r="H25" s="76"/>
      <c r="I25" s="76"/>
      <c r="J25" s="76"/>
      <c r="K25" s="76"/>
      <c r="L25" s="76"/>
      <c r="M25" s="76"/>
      <c r="N25" s="76"/>
      <c r="O25" s="76"/>
      <c r="P25" s="76"/>
      <c r="Q25" s="76"/>
      <c r="R25" s="76"/>
      <c r="S25" s="76"/>
      <c r="T25" s="76"/>
      <c r="U25" s="76"/>
      <c r="V25" s="76"/>
    </row>
    <row r="26" spans="2:22" ht="16" x14ac:dyDescent="0.2">
      <c r="C26" s="76"/>
      <c r="D26" s="76"/>
      <c r="E26" s="76"/>
      <c r="F26" s="76"/>
      <c r="G26" s="76"/>
      <c r="H26" s="76"/>
      <c r="I26" s="76"/>
      <c r="J26" s="76"/>
      <c r="K26" s="76"/>
      <c r="L26" s="76"/>
      <c r="M26" s="76"/>
      <c r="N26" s="76"/>
      <c r="O26" s="76"/>
      <c r="P26" s="76"/>
      <c r="Q26" s="76"/>
      <c r="R26" s="76"/>
      <c r="S26" s="76"/>
      <c r="T26" s="76"/>
      <c r="U26" s="76"/>
      <c r="V26" s="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67"/>
  <sheetViews>
    <sheetView showGridLines="0" zoomScaleNormal="192" zoomScalePageLayoutView="247" workbookViewId="0">
      <selection activeCell="B48" sqref="B48"/>
    </sheetView>
  </sheetViews>
  <sheetFormatPr baseColWidth="10" defaultColWidth="11.5" defaultRowHeight="16" x14ac:dyDescent="0.2"/>
  <cols>
    <col min="1" max="1" width="5.33203125" style="129" customWidth="1"/>
    <col min="2" max="2" width="13.6640625" style="149" customWidth="1"/>
    <col min="3" max="4" width="11.5" style="149"/>
    <col min="5" max="5" width="13" style="129" customWidth="1"/>
    <col min="6" max="6" width="12.1640625" style="129" bestFit="1" customWidth="1"/>
    <col min="7" max="7" width="13.1640625" style="129" customWidth="1"/>
    <col min="8" max="8" width="11.83203125" style="149" bestFit="1" customWidth="1"/>
    <col min="9" max="16384" width="11.5" style="129"/>
  </cols>
  <sheetData>
    <row r="2" spans="2:7" x14ac:dyDescent="0.2">
      <c r="B2" s="148" t="s">
        <v>115</v>
      </c>
      <c r="E2" s="150" t="s">
        <v>30</v>
      </c>
      <c r="F2" s="151">
        <v>0.08</v>
      </c>
    </row>
    <row r="3" spans="2:7" ht="35" thickBot="1" x14ac:dyDescent="0.25">
      <c r="B3" s="152" t="s">
        <v>32</v>
      </c>
      <c r="C3" s="153" t="s">
        <v>21</v>
      </c>
      <c r="D3" s="153" t="s">
        <v>29</v>
      </c>
      <c r="E3" s="153" t="s">
        <v>21</v>
      </c>
      <c r="F3" s="153" t="s">
        <v>22</v>
      </c>
      <c r="G3" s="153" t="s">
        <v>11</v>
      </c>
    </row>
    <row r="4" spans="2:7" x14ac:dyDescent="0.2">
      <c r="B4" s="149">
        <v>0</v>
      </c>
      <c r="C4" s="149">
        <v>1</v>
      </c>
      <c r="D4" s="149">
        <v>2024</v>
      </c>
      <c r="E4" s="154">
        <f>12*15000</f>
        <v>180000</v>
      </c>
      <c r="F4" s="155">
        <f>1/(1+$F$2)^C4</f>
        <v>0.92592592592592582</v>
      </c>
      <c r="G4" s="154">
        <f>F4*E4</f>
        <v>166666.66666666666</v>
      </c>
    </row>
    <row r="5" spans="2:7" x14ac:dyDescent="0.2">
      <c r="B5" s="149">
        <v>1</v>
      </c>
      <c r="C5" s="149">
        <v>2</v>
      </c>
      <c r="D5" s="149">
        <v>2025</v>
      </c>
      <c r="E5" s="154">
        <f t="shared" ref="E5:E21" si="0">12*15000</f>
        <v>180000</v>
      </c>
      <c r="F5" s="155">
        <f t="shared" ref="F5:F20" si="1">1/(1+$F$2)^C5</f>
        <v>0.85733882030178321</v>
      </c>
      <c r="G5" s="154">
        <f t="shared" ref="G5:G20" si="2">F5*E5</f>
        <v>154320.98765432098</v>
      </c>
    </row>
    <row r="6" spans="2:7" x14ac:dyDescent="0.2">
      <c r="B6" s="149">
        <v>2</v>
      </c>
      <c r="C6" s="149">
        <v>3</v>
      </c>
      <c r="D6" s="149">
        <v>2026</v>
      </c>
      <c r="E6" s="154">
        <f t="shared" si="0"/>
        <v>180000</v>
      </c>
      <c r="F6" s="155">
        <f t="shared" si="1"/>
        <v>0.79383224102016958</v>
      </c>
      <c r="G6" s="154">
        <f t="shared" si="2"/>
        <v>142889.80338363053</v>
      </c>
    </row>
    <row r="7" spans="2:7" x14ac:dyDescent="0.2">
      <c r="B7" s="149">
        <v>3</v>
      </c>
      <c r="C7" s="149">
        <v>4</v>
      </c>
      <c r="D7" s="149">
        <v>2027</v>
      </c>
      <c r="E7" s="154">
        <f t="shared" si="0"/>
        <v>180000</v>
      </c>
      <c r="F7" s="155">
        <f t="shared" si="1"/>
        <v>0.73502985279645328</v>
      </c>
      <c r="G7" s="154">
        <f t="shared" si="2"/>
        <v>132305.3735033616</v>
      </c>
    </row>
    <row r="8" spans="2:7" x14ac:dyDescent="0.2">
      <c r="B8" s="149">
        <v>4</v>
      </c>
      <c r="C8" s="149">
        <v>5</v>
      </c>
      <c r="D8" s="149">
        <v>2028</v>
      </c>
      <c r="E8" s="154">
        <f t="shared" si="0"/>
        <v>180000</v>
      </c>
      <c r="F8" s="155">
        <f t="shared" si="1"/>
        <v>0.68058319703375303</v>
      </c>
      <c r="G8" s="154">
        <f t="shared" si="2"/>
        <v>122504.97546607554</v>
      </c>
    </row>
    <row r="9" spans="2:7" x14ac:dyDescent="0.2">
      <c r="B9" s="149">
        <v>5</v>
      </c>
      <c r="C9" s="149">
        <v>6</v>
      </c>
      <c r="D9" s="149">
        <v>2029</v>
      </c>
      <c r="E9" s="154">
        <f t="shared" si="0"/>
        <v>180000</v>
      </c>
      <c r="F9" s="155">
        <f t="shared" si="1"/>
        <v>0.63016962688310452</v>
      </c>
      <c r="G9" s="154">
        <f t="shared" si="2"/>
        <v>113430.53283895881</v>
      </c>
    </row>
    <row r="10" spans="2:7" x14ac:dyDescent="0.2">
      <c r="B10" s="149">
        <v>6</v>
      </c>
      <c r="C10" s="149">
        <v>7</v>
      </c>
      <c r="D10" s="149">
        <v>2030</v>
      </c>
      <c r="E10" s="154">
        <f t="shared" si="0"/>
        <v>180000</v>
      </c>
      <c r="F10" s="155">
        <f t="shared" si="1"/>
        <v>0.58349039526213387</v>
      </c>
      <c r="G10" s="154">
        <f t="shared" si="2"/>
        <v>105028.27114718409</v>
      </c>
    </row>
    <row r="11" spans="2:7" x14ac:dyDescent="0.2">
      <c r="B11" s="149">
        <v>7</v>
      </c>
      <c r="C11" s="149">
        <v>8</v>
      </c>
      <c r="D11" s="149">
        <v>2031</v>
      </c>
      <c r="E11" s="154">
        <f t="shared" si="0"/>
        <v>180000</v>
      </c>
      <c r="F11" s="155">
        <f t="shared" si="1"/>
        <v>0.54026888450197574</v>
      </c>
      <c r="G11" s="154">
        <f t="shared" si="2"/>
        <v>97248.399210355637</v>
      </c>
    </row>
    <row r="12" spans="2:7" x14ac:dyDescent="0.2">
      <c r="B12" s="149">
        <v>8</v>
      </c>
      <c r="C12" s="149">
        <v>9</v>
      </c>
      <c r="D12" s="149">
        <v>2032</v>
      </c>
      <c r="E12" s="154">
        <f t="shared" si="0"/>
        <v>180000</v>
      </c>
      <c r="F12" s="155">
        <f t="shared" si="1"/>
        <v>0.50024896713145905</v>
      </c>
      <c r="G12" s="154">
        <f t="shared" si="2"/>
        <v>90044.814083662626</v>
      </c>
    </row>
    <row r="13" spans="2:7" x14ac:dyDescent="0.2">
      <c r="B13" s="149">
        <v>9</v>
      </c>
      <c r="C13" s="149">
        <v>10</v>
      </c>
      <c r="D13" s="149">
        <v>2033</v>
      </c>
      <c r="E13" s="154">
        <f t="shared" si="0"/>
        <v>180000</v>
      </c>
      <c r="F13" s="155">
        <f t="shared" si="1"/>
        <v>0.46319348808468425</v>
      </c>
      <c r="G13" s="154">
        <f t="shared" si="2"/>
        <v>83374.827855243158</v>
      </c>
    </row>
    <row r="14" spans="2:7" x14ac:dyDescent="0.2">
      <c r="B14" s="149">
        <v>10</v>
      </c>
      <c r="C14" s="149">
        <v>11</v>
      </c>
      <c r="D14" s="149">
        <v>2034</v>
      </c>
      <c r="E14" s="154">
        <f t="shared" si="0"/>
        <v>180000</v>
      </c>
      <c r="F14" s="155">
        <f t="shared" si="1"/>
        <v>0.42888285933767062</v>
      </c>
      <c r="G14" s="154">
        <f t="shared" si="2"/>
        <v>77198.914680780712</v>
      </c>
    </row>
    <row r="15" spans="2:7" x14ac:dyDescent="0.2">
      <c r="B15" s="149">
        <v>11</v>
      </c>
      <c r="C15" s="149">
        <v>12</v>
      </c>
      <c r="D15" s="149">
        <v>2035</v>
      </c>
      <c r="E15" s="154">
        <f t="shared" si="0"/>
        <v>180000</v>
      </c>
      <c r="F15" s="155">
        <f t="shared" si="1"/>
        <v>0.39711375864599124</v>
      </c>
      <c r="G15" s="154">
        <f t="shared" si="2"/>
        <v>71480.476556278431</v>
      </c>
    </row>
    <row r="16" spans="2:7" x14ac:dyDescent="0.2">
      <c r="B16" s="149">
        <v>12</v>
      </c>
      <c r="C16" s="149">
        <v>13</v>
      </c>
      <c r="D16" s="149">
        <v>2036</v>
      </c>
      <c r="E16" s="154">
        <f t="shared" si="0"/>
        <v>180000</v>
      </c>
      <c r="F16" s="155">
        <f t="shared" si="1"/>
        <v>0.36769792467221413</v>
      </c>
      <c r="G16" s="154">
        <f t="shared" si="2"/>
        <v>66185.626440998545</v>
      </c>
    </row>
    <row r="17" spans="2:8" x14ac:dyDescent="0.2">
      <c r="B17" s="149">
        <v>13</v>
      </c>
      <c r="C17" s="149">
        <v>14</v>
      </c>
      <c r="D17" s="149">
        <v>2037</v>
      </c>
      <c r="E17" s="154">
        <f t="shared" si="0"/>
        <v>180000</v>
      </c>
      <c r="F17" s="155">
        <f t="shared" si="1"/>
        <v>0.34046104136316119</v>
      </c>
      <c r="G17" s="154">
        <f t="shared" si="2"/>
        <v>61282.987445369014</v>
      </c>
    </row>
    <row r="18" spans="2:8" x14ac:dyDescent="0.2">
      <c r="B18" s="149">
        <v>14</v>
      </c>
      <c r="C18" s="149">
        <v>15</v>
      </c>
      <c r="D18" s="149">
        <v>2038</v>
      </c>
      <c r="E18" s="154">
        <f t="shared" si="0"/>
        <v>180000</v>
      </c>
      <c r="F18" s="155">
        <f t="shared" si="1"/>
        <v>0.31524170496588994</v>
      </c>
      <c r="G18" s="154">
        <f t="shared" si="2"/>
        <v>56743.506893860191</v>
      </c>
    </row>
    <row r="19" spans="2:8" x14ac:dyDescent="0.2">
      <c r="B19" s="149">
        <v>15</v>
      </c>
      <c r="C19" s="149">
        <v>16</v>
      </c>
      <c r="D19" s="149">
        <v>2039</v>
      </c>
      <c r="E19" s="154">
        <f t="shared" si="0"/>
        <v>180000</v>
      </c>
      <c r="F19" s="155">
        <f t="shared" si="1"/>
        <v>0.29189046756100923</v>
      </c>
      <c r="G19" s="154">
        <f t="shared" si="2"/>
        <v>52540.284160981661</v>
      </c>
    </row>
    <row r="20" spans="2:8" x14ac:dyDescent="0.2">
      <c r="B20" s="149">
        <v>16</v>
      </c>
      <c r="C20" s="149">
        <v>17</v>
      </c>
      <c r="D20" s="149">
        <v>2040</v>
      </c>
      <c r="E20" s="154">
        <f t="shared" si="0"/>
        <v>180000</v>
      </c>
      <c r="F20" s="155">
        <f t="shared" si="1"/>
        <v>0.27026895144537894</v>
      </c>
      <c r="G20" s="154">
        <f t="shared" si="2"/>
        <v>48648.411260168206</v>
      </c>
    </row>
    <row r="21" spans="2:8" ht="17" thickBot="1" x14ac:dyDescent="0.25">
      <c r="B21" s="156">
        <v>17</v>
      </c>
      <c r="C21" s="156">
        <v>18</v>
      </c>
      <c r="D21" s="156">
        <v>2041</v>
      </c>
      <c r="E21" s="157">
        <f t="shared" si="0"/>
        <v>180000</v>
      </c>
      <c r="F21" s="158">
        <f t="shared" ref="F21" si="3">1/(1+$F$2)^C21</f>
        <v>0.25024902911609154</v>
      </c>
      <c r="G21" s="157">
        <f t="shared" ref="G21" si="4">F21*E21</f>
        <v>45044.825240896476</v>
      </c>
    </row>
    <row r="22" spans="2:8" x14ac:dyDescent="0.2">
      <c r="F22" s="45" t="s">
        <v>23</v>
      </c>
      <c r="G22" s="159">
        <f>SUM(G4:G21)</f>
        <v>1686939.6844887929</v>
      </c>
    </row>
    <row r="24" spans="2:8" x14ac:dyDescent="0.2">
      <c r="B24" s="148" t="s">
        <v>162</v>
      </c>
      <c r="E24" s="150" t="s">
        <v>30</v>
      </c>
      <c r="F24" s="151">
        <v>0.08</v>
      </c>
    </row>
    <row r="25" spans="2:8" x14ac:dyDescent="0.2">
      <c r="E25" s="150" t="s">
        <v>33</v>
      </c>
      <c r="F25" s="151">
        <v>0.02</v>
      </c>
    </row>
    <row r="26" spans="2:8" ht="35" thickBot="1" x14ac:dyDescent="0.25">
      <c r="B26" s="152" t="s">
        <v>32</v>
      </c>
      <c r="C26" s="153" t="s">
        <v>21</v>
      </c>
      <c r="D26" s="153" t="s">
        <v>29</v>
      </c>
      <c r="E26" s="153" t="s">
        <v>34</v>
      </c>
      <c r="F26" s="152" t="s">
        <v>35</v>
      </c>
      <c r="G26" s="153" t="s">
        <v>22</v>
      </c>
      <c r="H26" s="153" t="s">
        <v>11</v>
      </c>
    </row>
    <row r="27" spans="2:8" x14ac:dyDescent="0.2">
      <c r="B27" s="149">
        <v>0</v>
      </c>
      <c r="C27" s="149">
        <v>1</v>
      </c>
      <c r="D27" s="149">
        <v>2024</v>
      </c>
      <c r="E27" s="154">
        <f>12*15000</f>
        <v>180000</v>
      </c>
      <c r="F27" s="160">
        <f>E27*(1+$F$25)^B27</f>
        <v>180000</v>
      </c>
      <c r="G27" s="155">
        <f t="shared" ref="G27:G44" si="5">1/(1+$F$2)^C27</f>
        <v>0.92592592592592582</v>
      </c>
      <c r="H27" s="154">
        <f>F27*G27</f>
        <v>166666.66666666666</v>
      </c>
    </row>
    <row r="28" spans="2:8" x14ac:dyDescent="0.2">
      <c r="B28" s="149">
        <v>1</v>
      </c>
      <c r="C28" s="149">
        <v>2</v>
      </c>
      <c r="D28" s="149">
        <v>2025</v>
      </c>
      <c r="E28" s="154">
        <f t="shared" ref="E28:E44" si="6">12*15000</f>
        <v>180000</v>
      </c>
      <c r="F28" s="160">
        <f t="shared" ref="F28:F44" si="7">E28*(1+$F$25)^B28</f>
        <v>183600</v>
      </c>
      <c r="G28" s="155">
        <f t="shared" si="5"/>
        <v>0.85733882030178321</v>
      </c>
      <c r="H28" s="154">
        <f t="shared" ref="H28:H44" si="8">F28*G28</f>
        <v>157407.40740740739</v>
      </c>
    </row>
    <row r="29" spans="2:8" x14ac:dyDescent="0.2">
      <c r="B29" s="149">
        <v>2</v>
      </c>
      <c r="C29" s="149">
        <v>3</v>
      </c>
      <c r="D29" s="149">
        <v>2026</v>
      </c>
      <c r="E29" s="154">
        <f t="shared" si="6"/>
        <v>180000</v>
      </c>
      <c r="F29" s="160">
        <f t="shared" si="7"/>
        <v>187272</v>
      </c>
      <c r="G29" s="155">
        <f t="shared" si="5"/>
        <v>0.79383224102016958</v>
      </c>
      <c r="H29" s="154">
        <f t="shared" si="8"/>
        <v>148662.5514403292</v>
      </c>
    </row>
    <row r="30" spans="2:8" x14ac:dyDescent="0.2">
      <c r="B30" s="149">
        <v>3</v>
      </c>
      <c r="C30" s="149">
        <v>4</v>
      </c>
      <c r="D30" s="149">
        <v>2027</v>
      </c>
      <c r="E30" s="154">
        <f t="shared" si="6"/>
        <v>180000</v>
      </c>
      <c r="F30" s="160">
        <f t="shared" si="7"/>
        <v>191017.43999999997</v>
      </c>
      <c r="G30" s="155">
        <f t="shared" si="5"/>
        <v>0.73502985279645328</v>
      </c>
      <c r="H30" s="154">
        <f t="shared" si="8"/>
        <v>140403.52080475533</v>
      </c>
    </row>
    <row r="31" spans="2:8" x14ac:dyDescent="0.2">
      <c r="B31" s="149">
        <v>4</v>
      </c>
      <c r="C31" s="149">
        <v>5</v>
      </c>
      <c r="D31" s="149">
        <v>2028</v>
      </c>
      <c r="E31" s="154">
        <f t="shared" si="6"/>
        <v>180000</v>
      </c>
      <c r="F31" s="160">
        <f t="shared" si="7"/>
        <v>194837.78880000001</v>
      </c>
      <c r="G31" s="155">
        <f t="shared" si="5"/>
        <v>0.68058319703375303</v>
      </c>
      <c r="H31" s="154">
        <f t="shared" si="8"/>
        <v>132603.32520449118</v>
      </c>
    </row>
    <row r="32" spans="2:8" x14ac:dyDescent="0.2">
      <c r="B32" s="149">
        <v>5</v>
      </c>
      <c r="C32" s="149">
        <v>6</v>
      </c>
      <c r="D32" s="149">
        <v>2029</v>
      </c>
      <c r="E32" s="154">
        <f t="shared" si="6"/>
        <v>180000</v>
      </c>
      <c r="F32" s="160">
        <f t="shared" si="7"/>
        <v>198734.54457600001</v>
      </c>
      <c r="G32" s="155">
        <f t="shared" si="5"/>
        <v>0.63016962688310452</v>
      </c>
      <c r="H32" s="154">
        <f t="shared" si="8"/>
        <v>125236.47380424163</v>
      </c>
    </row>
    <row r="33" spans="2:8" x14ac:dyDescent="0.2">
      <c r="B33" s="149">
        <v>6</v>
      </c>
      <c r="C33" s="149">
        <v>7</v>
      </c>
      <c r="D33" s="149">
        <v>2030</v>
      </c>
      <c r="E33" s="154">
        <f t="shared" si="6"/>
        <v>180000</v>
      </c>
      <c r="F33" s="160">
        <f t="shared" si="7"/>
        <v>202709.23546752002</v>
      </c>
      <c r="G33" s="155">
        <f t="shared" si="5"/>
        <v>0.58349039526213387</v>
      </c>
      <c r="H33" s="154">
        <f t="shared" si="8"/>
        <v>118278.89192622821</v>
      </c>
    </row>
    <row r="34" spans="2:8" x14ac:dyDescent="0.2">
      <c r="B34" s="149">
        <v>7</v>
      </c>
      <c r="C34" s="149">
        <v>8</v>
      </c>
      <c r="D34" s="149">
        <v>2031</v>
      </c>
      <c r="E34" s="154">
        <f t="shared" si="6"/>
        <v>180000</v>
      </c>
      <c r="F34" s="160">
        <f t="shared" si="7"/>
        <v>206763.42017687036</v>
      </c>
      <c r="G34" s="155">
        <f t="shared" si="5"/>
        <v>0.54026888450197574</v>
      </c>
      <c r="H34" s="154">
        <f t="shared" si="8"/>
        <v>111707.84237477106</v>
      </c>
    </row>
    <row r="35" spans="2:8" x14ac:dyDescent="0.2">
      <c r="B35" s="149">
        <v>8</v>
      </c>
      <c r="C35" s="149">
        <v>9</v>
      </c>
      <c r="D35" s="149">
        <v>2032</v>
      </c>
      <c r="E35" s="154">
        <f t="shared" si="6"/>
        <v>180000</v>
      </c>
      <c r="F35" s="160">
        <f t="shared" si="7"/>
        <v>210898.68858040779</v>
      </c>
      <c r="G35" s="155">
        <f t="shared" si="5"/>
        <v>0.50024896713145905</v>
      </c>
      <c r="H35" s="154">
        <f t="shared" si="8"/>
        <v>105501.85113172824</v>
      </c>
    </row>
    <row r="36" spans="2:8" x14ac:dyDescent="0.2">
      <c r="B36" s="149">
        <v>9</v>
      </c>
      <c r="C36" s="149">
        <v>10</v>
      </c>
      <c r="D36" s="149">
        <v>2033</v>
      </c>
      <c r="E36" s="154">
        <f t="shared" si="6"/>
        <v>180000</v>
      </c>
      <c r="F36" s="160">
        <f t="shared" si="7"/>
        <v>215116.66235201596</v>
      </c>
      <c r="G36" s="155">
        <f t="shared" si="5"/>
        <v>0.46319348808468425</v>
      </c>
      <c r="H36" s="154">
        <f t="shared" si="8"/>
        <v>99640.637179965546</v>
      </c>
    </row>
    <row r="37" spans="2:8" x14ac:dyDescent="0.2">
      <c r="B37" s="149">
        <v>10</v>
      </c>
      <c r="C37" s="149">
        <v>11</v>
      </c>
      <c r="D37" s="149">
        <v>2034</v>
      </c>
      <c r="E37" s="154">
        <f t="shared" si="6"/>
        <v>180000</v>
      </c>
      <c r="F37" s="160">
        <f t="shared" si="7"/>
        <v>219418.99559905627</v>
      </c>
      <c r="G37" s="155">
        <f t="shared" si="5"/>
        <v>0.42888285933767062</v>
      </c>
      <c r="H37" s="154">
        <f t="shared" si="8"/>
        <v>94105.046225523023</v>
      </c>
    </row>
    <row r="38" spans="2:8" x14ac:dyDescent="0.2">
      <c r="B38" s="149">
        <v>11</v>
      </c>
      <c r="C38" s="149">
        <v>12</v>
      </c>
      <c r="D38" s="149">
        <v>2035</v>
      </c>
      <c r="E38" s="154">
        <f t="shared" si="6"/>
        <v>180000</v>
      </c>
      <c r="F38" s="160">
        <f t="shared" si="7"/>
        <v>223807.37551103736</v>
      </c>
      <c r="G38" s="155">
        <f t="shared" si="5"/>
        <v>0.39711375864599124</v>
      </c>
      <c r="H38" s="154">
        <f t="shared" si="8"/>
        <v>88876.988101882816</v>
      </c>
    </row>
    <row r="39" spans="2:8" x14ac:dyDescent="0.2">
      <c r="B39" s="149">
        <v>12</v>
      </c>
      <c r="C39" s="149">
        <v>13</v>
      </c>
      <c r="D39" s="149">
        <v>2036</v>
      </c>
      <c r="E39" s="154">
        <f t="shared" si="6"/>
        <v>180000</v>
      </c>
      <c r="F39" s="160">
        <f t="shared" si="7"/>
        <v>228283.52302125815</v>
      </c>
      <c r="G39" s="155">
        <f t="shared" si="5"/>
        <v>0.36769792467221413</v>
      </c>
      <c r="H39" s="154">
        <f t="shared" si="8"/>
        <v>83939.377651778239</v>
      </c>
    </row>
    <row r="40" spans="2:8" x14ac:dyDescent="0.2">
      <c r="B40" s="149">
        <v>13</v>
      </c>
      <c r="C40" s="149">
        <v>14</v>
      </c>
      <c r="D40" s="149">
        <v>2037</v>
      </c>
      <c r="E40" s="154">
        <f t="shared" si="6"/>
        <v>180000</v>
      </c>
      <c r="F40" s="160">
        <f t="shared" si="7"/>
        <v>232849.19348168329</v>
      </c>
      <c r="G40" s="155">
        <f t="shared" si="5"/>
        <v>0.34046104136316119</v>
      </c>
      <c r="H40" s="154">
        <f t="shared" si="8"/>
        <v>79276.078893346101</v>
      </c>
    </row>
    <row r="41" spans="2:8" x14ac:dyDescent="0.2">
      <c r="B41" s="149">
        <v>14</v>
      </c>
      <c r="C41" s="149">
        <v>15</v>
      </c>
      <c r="D41" s="149">
        <v>2038</v>
      </c>
      <c r="E41" s="154">
        <f t="shared" si="6"/>
        <v>180000</v>
      </c>
      <c r="F41" s="160">
        <f t="shared" si="7"/>
        <v>237506.17735131699</v>
      </c>
      <c r="G41" s="155">
        <f t="shared" si="5"/>
        <v>0.31524170496588994</v>
      </c>
      <c r="H41" s="154">
        <f t="shared" si="8"/>
        <v>74871.852288160197</v>
      </c>
    </row>
    <row r="42" spans="2:8" x14ac:dyDescent="0.2">
      <c r="B42" s="149">
        <v>15</v>
      </c>
      <c r="C42" s="149">
        <v>16</v>
      </c>
      <c r="D42" s="149">
        <v>2039</v>
      </c>
      <c r="E42" s="154">
        <f t="shared" si="6"/>
        <v>180000</v>
      </c>
      <c r="F42" s="160">
        <f t="shared" si="7"/>
        <v>242256.30089834327</v>
      </c>
      <c r="G42" s="155">
        <f t="shared" si="5"/>
        <v>0.29189046756100923</v>
      </c>
      <c r="H42" s="154">
        <f t="shared" si="8"/>
        <v>70712.30493881795</v>
      </c>
    </row>
    <row r="43" spans="2:8" x14ac:dyDescent="0.2">
      <c r="B43" s="149">
        <v>16</v>
      </c>
      <c r="C43" s="149">
        <v>17</v>
      </c>
      <c r="D43" s="149">
        <v>2040</v>
      </c>
      <c r="E43" s="154">
        <f t="shared" si="6"/>
        <v>180000</v>
      </c>
      <c r="F43" s="160">
        <f t="shared" si="7"/>
        <v>247101.42691631016</v>
      </c>
      <c r="G43" s="155">
        <f t="shared" si="5"/>
        <v>0.27026895144537894</v>
      </c>
      <c r="H43" s="154">
        <f t="shared" si="8"/>
        <v>66783.843553328086</v>
      </c>
    </row>
    <row r="44" spans="2:8" ht="17" thickBot="1" x14ac:dyDescent="0.25">
      <c r="B44" s="156">
        <v>17</v>
      </c>
      <c r="C44" s="156">
        <v>18</v>
      </c>
      <c r="D44" s="156">
        <v>2041</v>
      </c>
      <c r="E44" s="157">
        <f t="shared" si="6"/>
        <v>180000</v>
      </c>
      <c r="F44" s="182">
        <f t="shared" si="7"/>
        <v>252043.45545463639</v>
      </c>
      <c r="G44" s="158">
        <f t="shared" si="5"/>
        <v>0.25024902911609154</v>
      </c>
      <c r="H44" s="157">
        <f t="shared" si="8"/>
        <v>63073.630022587626</v>
      </c>
    </row>
    <row r="45" spans="2:8" x14ac:dyDescent="0.2">
      <c r="G45" s="45" t="s">
        <v>23</v>
      </c>
      <c r="H45" s="159">
        <f>SUM(H27:H44)</f>
        <v>1927748.2896160088</v>
      </c>
    </row>
    <row r="46" spans="2:8" x14ac:dyDescent="0.2">
      <c r="G46" s="50"/>
      <c r="H46" s="45"/>
    </row>
    <row r="47" spans="2:8" x14ac:dyDescent="0.2">
      <c r="B47" s="148" t="s">
        <v>163</v>
      </c>
      <c r="D47" s="161" t="s">
        <v>30</v>
      </c>
      <c r="E47" s="162">
        <v>0.05</v>
      </c>
      <c r="F47" s="129" t="s">
        <v>82</v>
      </c>
    </row>
    <row r="48" spans="2:8" ht="34" x14ac:dyDescent="0.2">
      <c r="B48" s="163" t="s">
        <v>32</v>
      </c>
      <c r="C48" s="164" t="s">
        <v>21</v>
      </c>
      <c r="D48" s="164" t="s">
        <v>29</v>
      </c>
      <c r="E48" s="165" t="s">
        <v>42</v>
      </c>
      <c r="F48" s="164" t="s">
        <v>21</v>
      </c>
      <c r="G48" s="164" t="s">
        <v>20</v>
      </c>
      <c r="H48" s="164" t="s">
        <v>41</v>
      </c>
    </row>
    <row r="49" spans="2:8" x14ac:dyDescent="0.2">
      <c r="B49" s="149">
        <v>0</v>
      </c>
      <c r="C49" s="149">
        <v>1</v>
      </c>
      <c r="D49" s="149">
        <v>2024</v>
      </c>
      <c r="E49" s="166">
        <v>0</v>
      </c>
      <c r="F49" s="167">
        <f>12*15000</f>
        <v>180000</v>
      </c>
      <c r="G49" s="166">
        <f>E49*$E$47</f>
        <v>0</v>
      </c>
      <c r="H49" s="160">
        <f>E49+F49+G49</f>
        <v>180000</v>
      </c>
    </row>
    <row r="50" spans="2:8" x14ac:dyDescent="0.2">
      <c r="B50" s="149">
        <v>1</v>
      </c>
      <c r="C50" s="149">
        <v>2</v>
      </c>
      <c r="D50" s="149">
        <v>2025</v>
      </c>
      <c r="E50" s="168">
        <f>H49</f>
        <v>180000</v>
      </c>
      <c r="F50" s="167">
        <f t="shared" ref="F50:F66" si="9">12*15000</f>
        <v>180000</v>
      </c>
      <c r="G50" s="166">
        <f t="shared" ref="G50:G66" si="10">E50*$E$47</f>
        <v>9000</v>
      </c>
      <c r="H50" s="160">
        <f>E50+F50+G50</f>
        <v>369000</v>
      </c>
    </row>
    <row r="51" spans="2:8" x14ac:dyDescent="0.2">
      <c r="B51" s="149">
        <v>2</v>
      </c>
      <c r="C51" s="149">
        <v>3</v>
      </c>
      <c r="D51" s="149">
        <v>2026</v>
      </c>
      <c r="E51" s="168">
        <f>H50</f>
        <v>369000</v>
      </c>
      <c r="F51" s="167">
        <f t="shared" si="9"/>
        <v>180000</v>
      </c>
      <c r="G51" s="166">
        <f t="shared" si="10"/>
        <v>18450</v>
      </c>
      <c r="H51" s="160">
        <f>E51+F51+G51</f>
        <v>567450</v>
      </c>
    </row>
    <row r="52" spans="2:8" x14ac:dyDescent="0.2">
      <c r="B52" s="149">
        <v>3</v>
      </c>
      <c r="C52" s="149">
        <v>4</v>
      </c>
      <c r="D52" s="149">
        <v>2027</v>
      </c>
      <c r="E52" s="168">
        <f t="shared" ref="E52:E66" si="11">H51</f>
        <v>567450</v>
      </c>
      <c r="F52" s="167">
        <f t="shared" si="9"/>
        <v>180000</v>
      </c>
      <c r="G52" s="166">
        <f t="shared" si="10"/>
        <v>28372.5</v>
      </c>
      <c r="H52" s="160">
        <f t="shared" ref="H52:H66" si="12">E52+F52+G52</f>
        <v>775822.5</v>
      </c>
    </row>
    <row r="53" spans="2:8" x14ac:dyDescent="0.2">
      <c r="B53" s="149">
        <v>4</v>
      </c>
      <c r="C53" s="149">
        <v>5</v>
      </c>
      <c r="D53" s="149">
        <v>2028</v>
      </c>
      <c r="E53" s="168">
        <f t="shared" si="11"/>
        <v>775822.5</v>
      </c>
      <c r="F53" s="167">
        <f t="shared" si="9"/>
        <v>180000</v>
      </c>
      <c r="G53" s="166">
        <f t="shared" si="10"/>
        <v>38791.125</v>
      </c>
      <c r="H53" s="160">
        <f t="shared" si="12"/>
        <v>994613.625</v>
      </c>
    </row>
    <row r="54" spans="2:8" x14ac:dyDescent="0.2">
      <c r="B54" s="149">
        <v>5</v>
      </c>
      <c r="C54" s="149">
        <v>6</v>
      </c>
      <c r="D54" s="149">
        <v>2029</v>
      </c>
      <c r="E54" s="168">
        <f t="shared" si="11"/>
        <v>994613.625</v>
      </c>
      <c r="F54" s="167">
        <f t="shared" si="9"/>
        <v>180000</v>
      </c>
      <c r="G54" s="166">
        <f t="shared" si="10"/>
        <v>49730.681250000001</v>
      </c>
      <c r="H54" s="160">
        <f t="shared" si="12"/>
        <v>1224344.3062499999</v>
      </c>
    </row>
    <row r="55" spans="2:8" x14ac:dyDescent="0.2">
      <c r="B55" s="149">
        <v>6</v>
      </c>
      <c r="C55" s="149">
        <v>7</v>
      </c>
      <c r="D55" s="149">
        <v>2030</v>
      </c>
      <c r="E55" s="168">
        <f t="shared" si="11"/>
        <v>1224344.3062499999</v>
      </c>
      <c r="F55" s="167">
        <f t="shared" si="9"/>
        <v>180000</v>
      </c>
      <c r="G55" s="166">
        <f t="shared" si="10"/>
        <v>61217.215312499997</v>
      </c>
      <c r="H55" s="160">
        <f t="shared" si="12"/>
        <v>1465561.5215624999</v>
      </c>
    </row>
    <row r="56" spans="2:8" x14ac:dyDescent="0.2">
      <c r="B56" s="149">
        <v>7</v>
      </c>
      <c r="C56" s="149">
        <v>8</v>
      </c>
      <c r="D56" s="149">
        <v>2031</v>
      </c>
      <c r="E56" s="168">
        <f t="shared" si="11"/>
        <v>1465561.5215624999</v>
      </c>
      <c r="F56" s="167">
        <f t="shared" si="9"/>
        <v>180000</v>
      </c>
      <c r="G56" s="166">
        <f t="shared" si="10"/>
        <v>73278.076078124999</v>
      </c>
      <c r="H56" s="160">
        <f t="shared" si="12"/>
        <v>1718839.597640625</v>
      </c>
    </row>
    <row r="57" spans="2:8" x14ac:dyDescent="0.2">
      <c r="B57" s="149">
        <v>8</v>
      </c>
      <c r="C57" s="149">
        <v>9</v>
      </c>
      <c r="D57" s="149">
        <v>2032</v>
      </c>
      <c r="E57" s="168">
        <f t="shared" si="11"/>
        <v>1718839.597640625</v>
      </c>
      <c r="F57" s="167">
        <f t="shared" si="9"/>
        <v>180000</v>
      </c>
      <c r="G57" s="166">
        <f t="shared" si="10"/>
        <v>85941.979882031257</v>
      </c>
      <c r="H57" s="160">
        <f t="shared" si="12"/>
        <v>1984781.5775226562</v>
      </c>
    </row>
    <row r="58" spans="2:8" x14ac:dyDescent="0.2">
      <c r="B58" s="149">
        <v>9</v>
      </c>
      <c r="C58" s="149">
        <v>10</v>
      </c>
      <c r="D58" s="149">
        <v>2033</v>
      </c>
      <c r="E58" s="168">
        <f t="shared" si="11"/>
        <v>1984781.5775226562</v>
      </c>
      <c r="F58" s="167">
        <f t="shared" si="9"/>
        <v>180000</v>
      </c>
      <c r="G58" s="166">
        <f t="shared" si="10"/>
        <v>99239.078876132815</v>
      </c>
      <c r="H58" s="160">
        <f t="shared" si="12"/>
        <v>2264020.6563987886</v>
      </c>
    </row>
    <row r="59" spans="2:8" x14ac:dyDescent="0.2">
      <c r="B59" s="149">
        <v>10</v>
      </c>
      <c r="C59" s="149">
        <v>11</v>
      </c>
      <c r="D59" s="149">
        <v>2034</v>
      </c>
      <c r="E59" s="168">
        <f t="shared" si="11"/>
        <v>2264020.6563987886</v>
      </c>
      <c r="F59" s="167">
        <f t="shared" si="9"/>
        <v>180000</v>
      </c>
      <c r="G59" s="166">
        <f t="shared" si="10"/>
        <v>113201.03281993943</v>
      </c>
      <c r="H59" s="160">
        <f t="shared" si="12"/>
        <v>2557221.6892187279</v>
      </c>
    </row>
    <row r="60" spans="2:8" x14ac:dyDescent="0.2">
      <c r="B60" s="149">
        <v>11</v>
      </c>
      <c r="C60" s="149">
        <v>12</v>
      </c>
      <c r="D60" s="149">
        <v>2035</v>
      </c>
      <c r="E60" s="168">
        <f t="shared" si="11"/>
        <v>2557221.6892187279</v>
      </c>
      <c r="F60" s="167">
        <f t="shared" si="9"/>
        <v>180000</v>
      </c>
      <c r="G60" s="166">
        <f t="shared" si="10"/>
        <v>127861.0844609364</v>
      </c>
      <c r="H60" s="160">
        <f t="shared" si="12"/>
        <v>2865082.7736796644</v>
      </c>
    </row>
    <row r="61" spans="2:8" x14ac:dyDescent="0.2">
      <c r="B61" s="149">
        <v>12</v>
      </c>
      <c r="C61" s="149">
        <v>13</v>
      </c>
      <c r="D61" s="149">
        <v>2036</v>
      </c>
      <c r="E61" s="168">
        <f t="shared" si="11"/>
        <v>2865082.7736796644</v>
      </c>
      <c r="F61" s="167">
        <f t="shared" si="9"/>
        <v>180000</v>
      </c>
      <c r="G61" s="166">
        <f t="shared" si="10"/>
        <v>143254.13868398321</v>
      </c>
      <c r="H61" s="160">
        <f t="shared" si="12"/>
        <v>3188336.9123636475</v>
      </c>
    </row>
    <row r="62" spans="2:8" x14ac:dyDescent="0.2">
      <c r="B62" s="149">
        <v>13</v>
      </c>
      <c r="C62" s="149">
        <v>14</v>
      </c>
      <c r="D62" s="149">
        <v>2037</v>
      </c>
      <c r="E62" s="168">
        <f t="shared" si="11"/>
        <v>3188336.9123636475</v>
      </c>
      <c r="F62" s="167">
        <f t="shared" si="9"/>
        <v>180000</v>
      </c>
      <c r="G62" s="166">
        <f t="shared" si="10"/>
        <v>159416.84561818239</v>
      </c>
      <c r="H62" s="160">
        <f t="shared" si="12"/>
        <v>3527753.7579818298</v>
      </c>
    </row>
    <row r="63" spans="2:8" x14ac:dyDescent="0.2">
      <c r="B63" s="149">
        <v>14</v>
      </c>
      <c r="C63" s="149">
        <v>15</v>
      </c>
      <c r="D63" s="149">
        <v>2038</v>
      </c>
      <c r="E63" s="168">
        <f t="shared" si="11"/>
        <v>3527753.7579818298</v>
      </c>
      <c r="F63" s="167">
        <f t="shared" si="9"/>
        <v>180000</v>
      </c>
      <c r="G63" s="166">
        <f t="shared" si="10"/>
        <v>176387.68789909151</v>
      </c>
      <c r="H63" s="160">
        <f t="shared" si="12"/>
        <v>3884141.4458809216</v>
      </c>
    </row>
    <row r="64" spans="2:8" x14ac:dyDescent="0.2">
      <c r="B64" s="149">
        <v>15</v>
      </c>
      <c r="C64" s="149">
        <v>16</v>
      </c>
      <c r="D64" s="149">
        <v>2039</v>
      </c>
      <c r="E64" s="168">
        <f t="shared" si="11"/>
        <v>3884141.4458809216</v>
      </c>
      <c r="F64" s="167">
        <f t="shared" si="9"/>
        <v>180000</v>
      </c>
      <c r="G64" s="166">
        <f t="shared" si="10"/>
        <v>194207.07229404608</v>
      </c>
      <c r="H64" s="160">
        <f t="shared" si="12"/>
        <v>4258348.5181749677</v>
      </c>
    </row>
    <row r="65" spans="2:8" ht="17" thickBot="1" x14ac:dyDescent="0.25">
      <c r="B65" s="149">
        <v>16</v>
      </c>
      <c r="C65" s="149">
        <v>17</v>
      </c>
      <c r="D65" s="149">
        <v>2040</v>
      </c>
      <c r="E65" s="168">
        <f t="shared" si="11"/>
        <v>4258348.5181749677</v>
      </c>
      <c r="F65" s="167">
        <f t="shared" si="9"/>
        <v>180000</v>
      </c>
      <c r="G65" s="166">
        <f t="shared" si="10"/>
        <v>212917.42590874841</v>
      </c>
      <c r="H65" s="160">
        <f t="shared" si="12"/>
        <v>4651265.9440837158</v>
      </c>
    </row>
    <row r="66" spans="2:8" ht="17" thickBot="1" x14ac:dyDescent="0.25">
      <c r="B66" s="156">
        <v>17</v>
      </c>
      <c r="C66" s="156">
        <v>18</v>
      </c>
      <c r="D66" s="156">
        <v>2041</v>
      </c>
      <c r="E66" s="169">
        <f t="shared" si="11"/>
        <v>4651265.9440837158</v>
      </c>
      <c r="F66" s="170">
        <f t="shared" si="9"/>
        <v>180000</v>
      </c>
      <c r="G66" s="171">
        <f t="shared" si="10"/>
        <v>232563.2972041858</v>
      </c>
      <c r="H66" s="172">
        <f t="shared" si="12"/>
        <v>5063829.241287902</v>
      </c>
    </row>
    <row r="67" spans="2:8" x14ac:dyDescent="0.2">
      <c r="G67" s="45"/>
      <c r="H67" s="1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6027D-FF65-9C4A-AAEB-0AE3F2AEDBDF}">
  <dimension ref="C3:I130"/>
  <sheetViews>
    <sheetView showGridLines="0" topLeftCell="A47" zoomScale="125" workbookViewId="0">
      <selection activeCell="L34" sqref="L34"/>
    </sheetView>
  </sheetViews>
  <sheetFormatPr baseColWidth="10" defaultRowHeight="16" x14ac:dyDescent="0.2"/>
  <cols>
    <col min="1" max="2" width="10.83203125" style="129"/>
    <col min="3" max="3" width="10.83203125" style="50"/>
    <col min="4" max="4" width="15.83203125" style="129" bestFit="1" customWidth="1"/>
    <col min="5" max="5" width="20.5" style="129" bestFit="1" customWidth="1"/>
    <col min="6" max="6" width="15.33203125" style="129" bestFit="1" customWidth="1"/>
    <col min="7" max="7" width="12.83203125" style="129" customWidth="1"/>
    <col min="8" max="8" width="18.83203125" style="129" bestFit="1" customWidth="1"/>
    <col min="9" max="9" width="24.33203125" style="129" bestFit="1" customWidth="1"/>
    <col min="10" max="16384" width="10.83203125" style="129"/>
  </cols>
  <sheetData>
    <row r="3" spans="3:9" x14ac:dyDescent="0.2">
      <c r="D3" s="188" t="s">
        <v>84</v>
      </c>
      <c r="E3" s="189">
        <v>200000</v>
      </c>
      <c r="F3" s="190" t="s">
        <v>11</v>
      </c>
      <c r="G3" s="190"/>
      <c r="H3" s="188"/>
      <c r="I3" s="188"/>
    </row>
    <row r="4" spans="3:9" x14ac:dyDescent="0.2">
      <c r="D4" s="188" t="s">
        <v>85</v>
      </c>
      <c r="E4" s="191">
        <v>120</v>
      </c>
      <c r="F4" s="190" t="s">
        <v>9</v>
      </c>
      <c r="G4" s="190"/>
      <c r="H4" s="188"/>
      <c r="I4" s="188"/>
    </row>
    <row r="5" spans="3:9" x14ac:dyDescent="0.2">
      <c r="D5" s="188" t="s">
        <v>30</v>
      </c>
      <c r="E5" s="192">
        <f>0.072/12</f>
        <v>5.9999999999999993E-3</v>
      </c>
      <c r="F5" s="190" t="s">
        <v>10</v>
      </c>
      <c r="G5" s="212" t="s">
        <v>116</v>
      </c>
      <c r="H5" s="188"/>
      <c r="I5" s="188"/>
    </row>
    <row r="6" spans="3:9" x14ac:dyDescent="0.2">
      <c r="D6" s="188" t="s">
        <v>21</v>
      </c>
      <c r="E6" s="193">
        <f>-PMT(E5,E4,E3)</f>
        <v>2342.8374895373786</v>
      </c>
      <c r="F6" s="190" t="s">
        <v>8</v>
      </c>
      <c r="G6" s="190"/>
      <c r="H6" s="188"/>
      <c r="I6" s="188"/>
    </row>
    <row r="7" spans="3:9" x14ac:dyDescent="0.2">
      <c r="D7" s="188" t="s">
        <v>86</v>
      </c>
      <c r="E7" s="194">
        <v>45292</v>
      </c>
      <c r="F7" s="190"/>
      <c r="G7" s="211" t="s">
        <v>117</v>
      </c>
      <c r="H7" s="188"/>
      <c r="I7" s="188"/>
    </row>
    <row r="8" spans="3:9" x14ac:dyDescent="0.2">
      <c r="D8" s="195"/>
      <c r="E8" s="188"/>
      <c r="F8" s="188"/>
      <c r="G8" s="190"/>
      <c r="H8" s="188"/>
      <c r="I8" s="188"/>
    </row>
    <row r="9" spans="3:9" ht="17" thickBot="1" x14ac:dyDescent="0.25">
      <c r="D9" s="195"/>
      <c r="E9" s="188"/>
      <c r="F9" s="188"/>
      <c r="G9" s="190"/>
      <c r="H9" s="188"/>
      <c r="I9" s="188"/>
    </row>
    <row r="10" spans="3:9" ht="17" thickBot="1" x14ac:dyDescent="0.25">
      <c r="C10" s="202" t="s">
        <v>92</v>
      </c>
      <c r="D10" s="201" t="s">
        <v>87</v>
      </c>
      <c r="E10" s="196" t="s">
        <v>88</v>
      </c>
      <c r="F10" s="196" t="s">
        <v>89</v>
      </c>
      <c r="G10" s="196" t="s">
        <v>21</v>
      </c>
      <c r="H10" s="196" t="s">
        <v>90</v>
      </c>
      <c r="I10" s="197" t="s">
        <v>91</v>
      </c>
    </row>
    <row r="11" spans="3:9" x14ac:dyDescent="0.2">
      <c r="C11" s="45">
        <v>1</v>
      </c>
      <c r="D11" s="198">
        <v>45292</v>
      </c>
      <c r="E11" s="199">
        <f>E3</f>
        <v>200000</v>
      </c>
      <c r="F11" s="199">
        <f>$E$5*E11</f>
        <v>1199.9999999999998</v>
      </c>
      <c r="G11" s="199">
        <f>$E$6</f>
        <v>2342.8374895373786</v>
      </c>
      <c r="H11" s="199">
        <f>G11-F11</f>
        <v>1142.8374895373788</v>
      </c>
      <c r="I11" s="199">
        <f>E11+F11-G11</f>
        <v>198857.16251046263</v>
      </c>
    </row>
    <row r="12" spans="3:9" x14ac:dyDescent="0.2">
      <c r="C12" s="45">
        <v>2</v>
      </c>
      <c r="D12" s="198">
        <v>45323</v>
      </c>
      <c r="E12" s="199">
        <f>I11</f>
        <v>198857.16251046263</v>
      </c>
      <c r="F12" s="199">
        <f t="shared" ref="F12:F75" si="0">$E$5*E12</f>
        <v>1193.1429750627756</v>
      </c>
      <c r="G12" s="199">
        <f t="shared" ref="G12:G75" si="1">$E$6</f>
        <v>2342.8374895373786</v>
      </c>
      <c r="H12" s="199">
        <f t="shared" ref="H12:H75" si="2">G12-F12</f>
        <v>1149.694514474603</v>
      </c>
      <c r="I12" s="199">
        <f t="shared" ref="I12:I75" si="3">E12+F12-G12</f>
        <v>197707.46799598803</v>
      </c>
    </row>
    <row r="13" spans="3:9" x14ac:dyDescent="0.2">
      <c r="C13" s="45">
        <v>3</v>
      </c>
      <c r="D13" s="198">
        <v>45352</v>
      </c>
      <c r="E13" s="199">
        <f t="shared" ref="E13:E76" si="4">I12</f>
        <v>197707.46799598803</v>
      </c>
      <c r="F13" s="199">
        <f t="shared" si="0"/>
        <v>1186.2448079759281</v>
      </c>
      <c r="G13" s="199">
        <f t="shared" si="1"/>
        <v>2342.8374895373786</v>
      </c>
      <c r="H13" s="199">
        <f t="shared" si="2"/>
        <v>1156.5926815614505</v>
      </c>
      <c r="I13" s="199">
        <f t="shared" si="3"/>
        <v>196550.87531442658</v>
      </c>
    </row>
    <row r="14" spans="3:9" x14ac:dyDescent="0.2">
      <c r="C14" s="45">
        <v>4</v>
      </c>
      <c r="D14" s="198">
        <v>45383</v>
      </c>
      <c r="E14" s="199">
        <f t="shared" si="4"/>
        <v>196550.87531442658</v>
      </c>
      <c r="F14" s="199">
        <f t="shared" si="0"/>
        <v>1179.3052518865593</v>
      </c>
      <c r="G14" s="199">
        <f t="shared" si="1"/>
        <v>2342.8374895373786</v>
      </c>
      <c r="H14" s="199">
        <f t="shared" si="2"/>
        <v>1163.5322376508193</v>
      </c>
      <c r="I14" s="199">
        <f t="shared" si="3"/>
        <v>195387.34307677578</v>
      </c>
    </row>
    <row r="15" spans="3:9" x14ac:dyDescent="0.2">
      <c r="C15" s="45">
        <v>5</v>
      </c>
      <c r="D15" s="198">
        <v>45413</v>
      </c>
      <c r="E15" s="199">
        <f t="shared" si="4"/>
        <v>195387.34307677578</v>
      </c>
      <c r="F15" s="199">
        <f t="shared" si="0"/>
        <v>1172.3240584606544</v>
      </c>
      <c r="G15" s="199">
        <f t="shared" si="1"/>
        <v>2342.8374895373786</v>
      </c>
      <c r="H15" s="199">
        <f t="shared" si="2"/>
        <v>1170.5134310767241</v>
      </c>
      <c r="I15" s="199">
        <f t="shared" si="3"/>
        <v>194216.82964569906</v>
      </c>
    </row>
    <row r="16" spans="3:9" x14ac:dyDescent="0.2">
      <c r="C16" s="45">
        <v>6</v>
      </c>
      <c r="D16" s="198">
        <v>45444</v>
      </c>
      <c r="E16" s="199">
        <f t="shared" si="4"/>
        <v>194216.82964569906</v>
      </c>
      <c r="F16" s="199">
        <f t="shared" si="0"/>
        <v>1165.3009778741941</v>
      </c>
      <c r="G16" s="199">
        <f t="shared" si="1"/>
        <v>2342.8374895373786</v>
      </c>
      <c r="H16" s="199">
        <f t="shared" si="2"/>
        <v>1177.5365116631845</v>
      </c>
      <c r="I16" s="199">
        <f t="shared" si="3"/>
        <v>193039.29313403589</v>
      </c>
    </row>
    <row r="17" spans="3:9" x14ac:dyDescent="0.2">
      <c r="C17" s="45">
        <v>7</v>
      </c>
      <c r="D17" s="198">
        <v>45474</v>
      </c>
      <c r="E17" s="199">
        <f t="shared" si="4"/>
        <v>193039.29313403589</v>
      </c>
      <c r="F17" s="199">
        <f t="shared" si="0"/>
        <v>1158.2357588042153</v>
      </c>
      <c r="G17" s="199">
        <f t="shared" si="1"/>
        <v>2342.8374895373786</v>
      </c>
      <c r="H17" s="199">
        <f t="shared" si="2"/>
        <v>1184.6017307331633</v>
      </c>
      <c r="I17" s="199">
        <f t="shared" si="3"/>
        <v>191854.69140330274</v>
      </c>
    </row>
    <row r="18" spans="3:9" x14ac:dyDescent="0.2">
      <c r="C18" s="45">
        <v>8</v>
      </c>
      <c r="D18" s="198">
        <v>45505</v>
      </c>
      <c r="E18" s="199">
        <f t="shared" si="4"/>
        <v>191854.69140330274</v>
      </c>
      <c r="F18" s="199">
        <f t="shared" si="0"/>
        <v>1151.1281484198164</v>
      </c>
      <c r="G18" s="199">
        <f t="shared" si="1"/>
        <v>2342.8374895373786</v>
      </c>
      <c r="H18" s="199">
        <f t="shared" si="2"/>
        <v>1191.7093411175622</v>
      </c>
      <c r="I18" s="199">
        <f t="shared" si="3"/>
        <v>190662.98206218518</v>
      </c>
    </row>
    <row r="19" spans="3:9" x14ac:dyDescent="0.2">
      <c r="C19" s="45">
        <v>9</v>
      </c>
      <c r="D19" s="198">
        <v>45536</v>
      </c>
      <c r="E19" s="199">
        <f t="shared" si="4"/>
        <v>190662.98206218518</v>
      </c>
      <c r="F19" s="199">
        <f t="shared" si="0"/>
        <v>1143.977892373111</v>
      </c>
      <c r="G19" s="199">
        <f t="shared" si="1"/>
        <v>2342.8374895373786</v>
      </c>
      <c r="H19" s="199">
        <f t="shared" si="2"/>
        <v>1198.8595971642676</v>
      </c>
      <c r="I19" s="199">
        <f t="shared" si="3"/>
        <v>189464.12246502092</v>
      </c>
    </row>
    <row r="20" spans="3:9" x14ac:dyDescent="0.2">
      <c r="C20" s="45">
        <v>10</v>
      </c>
      <c r="D20" s="198">
        <v>45566</v>
      </c>
      <c r="E20" s="199">
        <f t="shared" si="4"/>
        <v>189464.12246502092</v>
      </c>
      <c r="F20" s="199">
        <f t="shared" si="0"/>
        <v>1136.7847347901254</v>
      </c>
      <c r="G20" s="199">
        <f t="shared" si="1"/>
        <v>2342.8374895373786</v>
      </c>
      <c r="H20" s="199">
        <f t="shared" si="2"/>
        <v>1206.0527547472532</v>
      </c>
      <c r="I20" s="199">
        <f t="shared" si="3"/>
        <v>188258.06971027367</v>
      </c>
    </row>
    <row r="21" spans="3:9" x14ac:dyDescent="0.2">
      <c r="C21" s="45">
        <v>11</v>
      </c>
      <c r="D21" s="198">
        <v>45597</v>
      </c>
      <c r="E21" s="199">
        <f t="shared" si="4"/>
        <v>188258.06971027367</v>
      </c>
      <c r="F21" s="199">
        <f t="shared" si="0"/>
        <v>1129.5484182616419</v>
      </c>
      <c r="G21" s="199">
        <f t="shared" si="1"/>
        <v>2342.8374895373786</v>
      </c>
      <c r="H21" s="199">
        <f t="shared" si="2"/>
        <v>1213.2890712757367</v>
      </c>
      <c r="I21" s="199">
        <f t="shared" si="3"/>
        <v>187044.78063899794</v>
      </c>
    </row>
    <row r="22" spans="3:9" x14ac:dyDescent="0.2">
      <c r="C22" s="45">
        <v>12</v>
      </c>
      <c r="D22" s="198">
        <v>45627</v>
      </c>
      <c r="E22" s="199">
        <f t="shared" si="4"/>
        <v>187044.78063899794</v>
      </c>
      <c r="F22" s="199">
        <f t="shared" si="0"/>
        <v>1122.2686838339876</v>
      </c>
      <c r="G22" s="199">
        <f t="shared" si="1"/>
        <v>2342.8374895373786</v>
      </c>
      <c r="H22" s="199">
        <f t="shared" si="2"/>
        <v>1220.568805703391</v>
      </c>
      <c r="I22" s="199">
        <f t="shared" si="3"/>
        <v>185824.21183329457</v>
      </c>
    </row>
    <row r="23" spans="3:9" x14ac:dyDescent="0.2">
      <c r="C23" s="45">
        <v>13</v>
      </c>
      <c r="D23" s="198">
        <v>45658</v>
      </c>
      <c r="E23" s="199">
        <f t="shared" si="4"/>
        <v>185824.21183329457</v>
      </c>
      <c r="F23" s="199">
        <f t="shared" si="0"/>
        <v>1114.9452709997672</v>
      </c>
      <c r="G23" s="199">
        <f t="shared" si="1"/>
        <v>2342.8374895373786</v>
      </c>
      <c r="H23" s="199">
        <f t="shared" si="2"/>
        <v>1227.8922185376114</v>
      </c>
      <c r="I23" s="199">
        <f t="shared" si="3"/>
        <v>184596.31961475697</v>
      </c>
    </row>
    <row r="24" spans="3:9" x14ac:dyDescent="0.2">
      <c r="C24" s="45">
        <v>14</v>
      </c>
      <c r="D24" s="198">
        <v>45689</v>
      </c>
      <c r="E24" s="199">
        <f t="shared" si="4"/>
        <v>184596.31961475697</v>
      </c>
      <c r="F24" s="199">
        <f t="shared" si="0"/>
        <v>1107.5779176885417</v>
      </c>
      <c r="G24" s="199">
        <f t="shared" si="1"/>
        <v>2342.8374895373786</v>
      </c>
      <c r="H24" s="199">
        <f t="shared" si="2"/>
        <v>1235.2595718488369</v>
      </c>
      <c r="I24" s="199">
        <f t="shared" si="3"/>
        <v>183361.06004290815</v>
      </c>
    </row>
    <row r="25" spans="3:9" x14ac:dyDescent="0.2">
      <c r="C25" s="45">
        <v>15</v>
      </c>
      <c r="D25" s="198">
        <v>45717</v>
      </c>
      <c r="E25" s="199">
        <f t="shared" si="4"/>
        <v>183361.06004290815</v>
      </c>
      <c r="F25" s="199">
        <f t="shared" si="0"/>
        <v>1100.1663602574488</v>
      </c>
      <c r="G25" s="199">
        <f t="shared" si="1"/>
        <v>2342.8374895373786</v>
      </c>
      <c r="H25" s="199">
        <f t="shared" si="2"/>
        <v>1242.6711292799298</v>
      </c>
      <c r="I25" s="199">
        <f t="shared" si="3"/>
        <v>182118.38891362824</v>
      </c>
    </row>
    <row r="26" spans="3:9" x14ac:dyDescent="0.2">
      <c r="C26" s="45">
        <v>16</v>
      </c>
      <c r="D26" s="198">
        <v>45748</v>
      </c>
      <c r="E26" s="199">
        <f t="shared" si="4"/>
        <v>182118.38891362824</v>
      </c>
      <c r="F26" s="199">
        <f t="shared" si="0"/>
        <v>1092.7103334817693</v>
      </c>
      <c r="G26" s="199">
        <f t="shared" si="1"/>
        <v>2342.8374895373786</v>
      </c>
      <c r="H26" s="199">
        <f t="shared" si="2"/>
        <v>1250.1271560556092</v>
      </c>
      <c r="I26" s="199">
        <f t="shared" si="3"/>
        <v>180868.26175757265</v>
      </c>
    </row>
    <row r="27" spans="3:9" x14ac:dyDescent="0.2">
      <c r="C27" s="45">
        <v>17</v>
      </c>
      <c r="D27" s="198">
        <v>45778</v>
      </c>
      <c r="E27" s="199">
        <f t="shared" si="4"/>
        <v>180868.26175757265</v>
      </c>
      <c r="F27" s="199">
        <f t="shared" si="0"/>
        <v>1085.2095705454358</v>
      </c>
      <c r="G27" s="199">
        <f t="shared" si="1"/>
        <v>2342.8374895373786</v>
      </c>
      <c r="H27" s="199">
        <f t="shared" si="2"/>
        <v>1257.6279189919428</v>
      </c>
      <c r="I27" s="199">
        <f t="shared" si="3"/>
        <v>179610.63383858072</v>
      </c>
    </row>
    <row r="28" spans="3:9" x14ac:dyDescent="0.2">
      <c r="C28" s="45">
        <v>18</v>
      </c>
      <c r="D28" s="198">
        <v>45809</v>
      </c>
      <c r="E28" s="199">
        <f t="shared" si="4"/>
        <v>179610.63383858072</v>
      </c>
      <c r="F28" s="199">
        <f t="shared" si="0"/>
        <v>1077.6638030314841</v>
      </c>
      <c r="G28" s="199">
        <f t="shared" si="1"/>
        <v>2342.8374895373786</v>
      </c>
      <c r="H28" s="199">
        <f t="shared" si="2"/>
        <v>1265.1736865058945</v>
      </c>
      <c r="I28" s="199">
        <f t="shared" si="3"/>
        <v>178345.46015207484</v>
      </c>
    </row>
    <row r="29" spans="3:9" x14ac:dyDescent="0.2">
      <c r="C29" s="45">
        <v>19</v>
      </c>
      <c r="D29" s="198">
        <v>45839</v>
      </c>
      <c r="E29" s="199">
        <f t="shared" si="4"/>
        <v>178345.46015207484</v>
      </c>
      <c r="F29" s="199">
        <f t="shared" si="0"/>
        <v>1070.072760912449</v>
      </c>
      <c r="G29" s="199">
        <f t="shared" si="1"/>
        <v>2342.8374895373786</v>
      </c>
      <c r="H29" s="199">
        <f t="shared" si="2"/>
        <v>1272.7647286249296</v>
      </c>
      <c r="I29" s="199">
        <f t="shared" si="3"/>
        <v>177072.69542344991</v>
      </c>
    </row>
    <row r="30" spans="3:9" x14ac:dyDescent="0.2">
      <c r="C30" s="45">
        <v>20</v>
      </c>
      <c r="D30" s="198">
        <v>45870</v>
      </c>
      <c r="E30" s="199">
        <f t="shared" si="4"/>
        <v>177072.69542344991</v>
      </c>
      <c r="F30" s="199">
        <f t="shared" si="0"/>
        <v>1062.4361725406993</v>
      </c>
      <c r="G30" s="199">
        <f t="shared" si="1"/>
        <v>2342.8374895373786</v>
      </c>
      <c r="H30" s="199">
        <f t="shared" si="2"/>
        <v>1280.4013169966793</v>
      </c>
      <c r="I30" s="199">
        <f t="shared" si="3"/>
        <v>175792.29410645325</v>
      </c>
    </row>
    <row r="31" spans="3:9" x14ac:dyDescent="0.2">
      <c r="C31" s="45">
        <v>21</v>
      </c>
      <c r="D31" s="198">
        <v>45901</v>
      </c>
      <c r="E31" s="199">
        <f t="shared" si="4"/>
        <v>175792.29410645325</v>
      </c>
      <c r="F31" s="199">
        <f t="shared" si="0"/>
        <v>1054.7537646387193</v>
      </c>
      <c r="G31" s="199">
        <f t="shared" si="1"/>
        <v>2342.8374895373786</v>
      </c>
      <c r="H31" s="199">
        <f t="shared" si="2"/>
        <v>1288.0837248986593</v>
      </c>
      <c r="I31" s="199">
        <f t="shared" si="3"/>
        <v>174504.21038155459</v>
      </c>
    </row>
    <row r="32" spans="3:9" x14ac:dyDescent="0.2">
      <c r="C32" s="45">
        <v>22</v>
      </c>
      <c r="D32" s="198">
        <v>45931</v>
      </c>
      <c r="E32" s="199">
        <f t="shared" si="4"/>
        <v>174504.21038155459</v>
      </c>
      <c r="F32" s="199">
        <f t="shared" si="0"/>
        <v>1047.0252622893274</v>
      </c>
      <c r="G32" s="199">
        <f t="shared" si="1"/>
        <v>2342.8374895373786</v>
      </c>
      <c r="H32" s="199">
        <f t="shared" si="2"/>
        <v>1295.8122272480512</v>
      </c>
      <c r="I32" s="199">
        <f t="shared" si="3"/>
        <v>173208.39815430655</v>
      </c>
    </row>
    <row r="33" spans="3:9" x14ac:dyDescent="0.2">
      <c r="C33" s="45">
        <v>23</v>
      </c>
      <c r="D33" s="198">
        <v>45962</v>
      </c>
      <c r="E33" s="199">
        <f t="shared" si="4"/>
        <v>173208.39815430655</v>
      </c>
      <c r="F33" s="199">
        <f t="shared" si="0"/>
        <v>1039.2503889258392</v>
      </c>
      <c r="G33" s="199">
        <f t="shared" si="1"/>
        <v>2342.8374895373786</v>
      </c>
      <c r="H33" s="199">
        <f t="shared" si="2"/>
        <v>1303.5871006115394</v>
      </c>
      <c r="I33" s="199">
        <f t="shared" si="3"/>
        <v>171904.81105369501</v>
      </c>
    </row>
    <row r="34" spans="3:9" x14ac:dyDescent="0.2">
      <c r="C34" s="45">
        <v>24</v>
      </c>
      <c r="D34" s="198">
        <v>45992</v>
      </c>
      <c r="E34" s="199">
        <f t="shared" si="4"/>
        <v>171904.81105369501</v>
      </c>
      <c r="F34" s="199">
        <f t="shared" si="0"/>
        <v>1031.4288663221701</v>
      </c>
      <c r="G34" s="199">
        <f t="shared" si="1"/>
        <v>2342.8374895373786</v>
      </c>
      <c r="H34" s="199">
        <f t="shared" si="2"/>
        <v>1311.4086232152085</v>
      </c>
      <c r="I34" s="199">
        <f t="shared" si="3"/>
        <v>170593.40243047982</v>
      </c>
    </row>
    <row r="35" spans="3:9" x14ac:dyDescent="0.2">
      <c r="C35" s="45">
        <v>25</v>
      </c>
      <c r="D35" s="198">
        <v>46023</v>
      </c>
      <c r="E35" s="199">
        <f t="shared" si="4"/>
        <v>170593.40243047982</v>
      </c>
      <c r="F35" s="199">
        <f t="shared" si="0"/>
        <v>1023.5604145828788</v>
      </c>
      <c r="G35" s="199">
        <f t="shared" si="1"/>
        <v>2342.8374895373786</v>
      </c>
      <c r="H35" s="199">
        <f t="shared" si="2"/>
        <v>1319.2770749544998</v>
      </c>
      <c r="I35" s="199">
        <f t="shared" si="3"/>
        <v>169274.12535552532</v>
      </c>
    </row>
    <row r="36" spans="3:9" x14ac:dyDescent="0.2">
      <c r="C36" s="45">
        <v>26</v>
      </c>
      <c r="D36" s="198">
        <v>46054</v>
      </c>
      <c r="E36" s="199">
        <f t="shared" si="4"/>
        <v>169274.12535552532</v>
      </c>
      <c r="F36" s="199">
        <f t="shared" si="0"/>
        <v>1015.6447521331518</v>
      </c>
      <c r="G36" s="199">
        <f t="shared" si="1"/>
        <v>2342.8374895373786</v>
      </c>
      <c r="H36" s="199">
        <f t="shared" si="2"/>
        <v>1327.1927374042268</v>
      </c>
      <c r="I36" s="199">
        <f t="shared" si="3"/>
        <v>167946.93261812109</v>
      </c>
    </row>
    <row r="37" spans="3:9" x14ac:dyDescent="0.2">
      <c r="C37" s="45">
        <v>27</v>
      </c>
      <c r="D37" s="198">
        <v>46082</v>
      </c>
      <c r="E37" s="199">
        <f t="shared" si="4"/>
        <v>167946.93261812109</v>
      </c>
      <c r="F37" s="199">
        <f t="shared" si="0"/>
        <v>1007.6815957087264</v>
      </c>
      <c r="G37" s="199">
        <f t="shared" si="1"/>
        <v>2342.8374895373786</v>
      </c>
      <c r="H37" s="199">
        <f t="shared" si="2"/>
        <v>1335.1558938286521</v>
      </c>
      <c r="I37" s="199">
        <f t="shared" si="3"/>
        <v>166611.77672429246</v>
      </c>
    </row>
    <row r="38" spans="3:9" x14ac:dyDescent="0.2">
      <c r="C38" s="45">
        <v>28</v>
      </c>
      <c r="D38" s="198">
        <v>46113</v>
      </c>
      <c r="E38" s="199">
        <f t="shared" si="4"/>
        <v>166611.77672429246</v>
      </c>
      <c r="F38" s="199">
        <f t="shared" si="0"/>
        <v>999.67066034575464</v>
      </c>
      <c r="G38" s="199">
        <f t="shared" si="1"/>
        <v>2342.8374895373786</v>
      </c>
      <c r="H38" s="199">
        <f t="shared" si="2"/>
        <v>1343.1668291916239</v>
      </c>
      <c r="I38" s="199">
        <f t="shared" si="3"/>
        <v>165268.60989510085</v>
      </c>
    </row>
    <row r="39" spans="3:9" x14ac:dyDescent="0.2">
      <c r="C39" s="45">
        <v>29</v>
      </c>
      <c r="D39" s="198">
        <v>46143</v>
      </c>
      <c r="E39" s="199">
        <f t="shared" si="4"/>
        <v>165268.60989510085</v>
      </c>
      <c r="F39" s="199">
        <f t="shared" si="0"/>
        <v>991.61165937060491</v>
      </c>
      <c r="G39" s="199">
        <f t="shared" si="1"/>
        <v>2342.8374895373786</v>
      </c>
      <c r="H39" s="199">
        <f t="shared" si="2"/>
        <v>1351.2258301667737</v>
      </c>
      <c r="I39" s="199">
        <f t="shared" si="3"/>
        <v>163917.38406493407</v>
      </c>
    </row>
    <row r="40" spans="3:9" x14ac:dyDescent="0.2">
      <c r="C40" s="45">
        <v>30</v>
      </c>
      <c r="D40" s="198">
        <v>46174</v>
      </c>
      <c r="E40" s="199">
        <f t="shared" si="4"/>
        <v>163917.38406493407</v>
      </c>
      <c r="F40" s="199">
        <f t="shared" si="0"/>
        <v>983.50430438960427</v>
      </c>
      <c r="G40" s="199">
        <f t="shared" si="1"/>
        <v>2342.8374895373786</v>
      </c>
      <c r="H40" s="199">
        <f t="shared" si="2"/>
        <v>1359.3331851477742</v>
      </c>
      <c r="I40" s="199">
        <f t="shared" si="3"/>
        <v>162558.05087978631</v>
      </c>
    </row>
    <row r="41" spans="3:9" x14ac:dyDescent="0.2">
      <c r="C41" s="45">
        <v>31</v>
      </c>
      <c r="D41" s="198">
        <v>46204</v>
      </c>
      <c r="E41" s="199">
        <f t="shared" si="4"/>
        <v>162558.05087978631</v>
      </c>
      <c r="F41" s="199">
        <f t="shared" si="0"/>
        <v>975.34830527871782</v>
      </c>
      <c r="G41" s="199">
        <f t="shared" si="1"/>
        <v>2342.8374895373786</v>
      </c>
      <c r="H41" s="199">
        <f t="shared" si="2"/>
        <v>1367.4891842586608</v>
      </c>
      <c r="I41" s="199">
        <f t="shared" si="3"/>
        <v>161190.56169552766</v>
      </c>
    </row>
    <row r="42" spans="3:9" x14ac:dyDescent="0.2">
      <c r="C42" s="45">
        <v>32</v>
      </c>
      <c r="D42" s="198">
        <v>46235</v>
      </c>
      <c r="E42" s="199">
        <f t="shared" si="4"/>
        <v>161190.56169552766</v>
      </c>
      <c r="F42" s="199">
        <f t="shared" si="0"/>
        <v>967.14337017316586</v>
      </c>
      <c r="G42" s="199">
        <f t="shared" si="1"/>
        <v>2342.8374895373786</v>
      </c>
      <c r="H42" s="199">
        <f t="shared" si="2"/>
        <v>1375.6941193642128</v>
      </c>
      <c r="I42" s="199">
        <f t="shared" si="3"/>
        <v>159814.86757616347</v>
      </c>
    </row>
    <row r="43" spans="3:9" x14ac:dyDescent="0.2">
      <c r="C43" s="45">
        <v>33</v>
      </c>
      <c r="D43" s="198">
        <v>46266</v>
      </c>
      <c r="E43" s="199">
        <f t="shared" si="4"/>
        <v>159814.86757616347</v>
      </c>
      <c r="F43" s="199">
        <f t="shared" si="0"/>
        <v>958.88920545698068</v>
      </c>
      <c r="G43" s="199">
        <f t="shared" si="1"/>
        <v>2342.8374895373786</v>
      </c>
      <c r="H43" s="199">
        <f t="shared" si="2"/>
        <v>1383.948284080398</v>
      </c>
      <c r="I43" s="199">
        <f t="shared" si="3"/>
        <v>158430.91929208307</v>
      </c>
    </row>
    <row r="44" spans="3:9" x14ac:dyDescent="0.2">
      <c r="C44" s="45">
        <v>34</v>
      </c>
      <c r="D44" s="198">
        <v>46296</v>
      </c>
      <c r="E44" s="199">
        <f t="shared" si="4"/>
        <v>158430.91929208307</v>
      </c>
      <c r="F44" s="199">
        <f t="shared" si="0"/>
        <v>950.58551575249828</v>
      </c>
      <c r="G44" s="199">
        <f t="shared" si="1"/>
        <v>2342.8374895373786</v>
      </c>
      <c r="H44" s="199">
        <f t="shared" si="2"/>
        <v>1392.2519737848802</v>
      </c>
      <c r="I44" s="199">
        <f t="shared" si="3"/>
        <v>157038.66731829819</v>
      </c>
    </row>
    <row r="45" spans="3:9" x14ac:dyDescent="0.2">
      <c r="C45" s="45">
        <v>35</v>
      </c>
      <c r="D45" s="198">
        <v>46327</v>
      </c>
      <c r="E45" s="199">
        <f t="shared" si="4"/>
        <v>157038.66731829819</v>
      </c>
      <c r="F45" s="199">
        <f t="shared" si="0"/>
        <v>942.232003909789</v>
      </c>
      <c r="G45" s="199">
        <f t="shared" si="1"/>
        <v>2342.8374895373786</v>
      </c>
      <c r="H45" s="199">
        <f t="shared" si="2"/>
        <v>1400.6054856275896</v>
      </c>
      <c r="I45" s="199">
        <f t="shared" si="3"/>
        <v>155638.06183267062</v>
      </c>
    </row>
    <row r="46" spans="3:9" x14ac:dyDescent="0.2">
      <c r="C46" s="45">
        <v>36</v>
      </c>
      <c r="D46" s="198">
        <v>46357</v>
      </c>
      <c r="E46" s="199">
        <f t="shared" si="4"/>
        <v>155638.06183267062</v>
      </c>
      <c r="F46" s="199">
        <f t="shared" si="0"/>
        <v>933.82837099602364</v>
      </c>
      <c r="G46" s="199">
        <f t="shared" si="1"/>
        <v>2342.8374895373786</v>
      </c>
      <c r="H46" s="199">
        <f t="shared" si="2"/>
        <v>1409.0091185413548</v>
      </c>
      <c r="I46" s="199">
        <f t="shared" si="3"/>
        <v>154229.05271412927</v>
      </c>
    </row>
    <row r="47" spans="3:9" x14ac:dyDescent="0.2">
      <c r="C47" s="45">
        <v>37</v>
      </c>
      <c r="D47" s="198">
        <v>46388</v>
      </c>
      <c r="E47" s="199">
        <f t="shared" si="4"/>
        <v>154229.05271412927</v>
      </c>
      <c r="F47" s="199">
        <f t="shared" si="0"/>
        <v>925.37431628477555</v>
      </c>
      <c r="G47" s="199">
        <f t="shared" si="1"/>
        <v>2342.8374895373786</v>
      </c>
      <c r="H47" s="199">
        <f t="shared" si="2"/>
        <v>1417.4631732526032</v>
      </c>
      <c r="I47" s="199">
        <f t="shared" si="3"/>
        <v>152811.58954087668</v>
      </c>
    </row>
    <row r="48" spans="3:9" x14ac:dyDescent="0.2">
      <c r="C48" s="45">
        <v>38</v>
      </c>
      <c r="D48" s="198">
        <v>46419</v>
      </c>
      <c r="E48" s="199">
        <f t="shared" si="4"/>
        <v>152811.58954087668</v>
      </c>
      <c r="F48" s="199">
        <f t="shared" si="0"/>
        <v>916.86953724525995</v>
      </c>
      <c r="G48" s="199">
        <f t="shared" si="1"/>
        <v>2342.8374895373786</v>
      </c>
      <c r="H48" s="199">
        <f t="shared" si="2"/>
        <v>1425.9679522921188</v>
      </c>
      <c r="I48" s="199">
        <f t="shared" si="3"/>
        <v>151385.62158858456</v>
      </c>
    </row>
    <row r="49" spans="3:9" x14ac:dyDescent="0.2">
      <c r="C49" s="45">
        <v>39</v>
      </c>
      <c r="D49" s="198">
        <v>46447</v>
      </c>
      <c r="E49" s="199">
        <f t="shared" si="4"/>
        <v>151385.62158858456</v>
      </c>
      <c r="F49" s="199">
        <f t="shared" si="0"/>
        <v>908.31372953150719</v>
      </c>
      <c r="G49" s="199">
        <f t="shared" si="1"/>
        <v>2342.8374895373786</v>
      </c>
      <c r="H49" s="199">
        <f t="shared" si="2"/>
        <v>1434.5237600058713</v>
      </c>
      <c r="I49" s="199">
        <f t="shared" si="3"/>
        <v>149951.0978285787</v>
      </c>
    </row>
    <row r="50" spans="3:9" x14ac:dyDescent="0.2">
      <c r="C50" s="45">
        <v>40</v>
      </c>
      <c r="D50" s="198">
        <v>46478</v>
      </c>
      <c r="E50" s="199">
        <f t="shared" si="4"/>
        <v>149951.0978285787</v>
      </c>
      <c r="F50" s="199">
        <f t="shared" si="0"/>
        <v>899.70658697147212</v>
      </c>
      <c r="G50" s="199">
        <f t="shared" si="1"/>
        <v>2342.8374895373786</v>
      </c>
      <c r="H50" s="199">
        <f t="shared" si="2"/>
        <v>1443.1309025659066</v>
      </c>
      <c r="I50" s="199">
        <f t="shared" si="3"/>
        <v>148507.9669260128</v>
      </c>
    </row>
    <row r="51" spans="3:9" x14ac:dyDescent="0.2">
      <c r="C51" s="45">
        <v>41</v>
      </c>
      <c r="D51" s="198">
        <v>46508</v>
      </c>
      <c r="E51" s="199">
        <f t="shared" si="4"/>
        <v>148507.9669260128</v>
      </c>
      <c r="F51" s="199">
        <f t="shared" si="0"/>
        <v>891.04780155607671</v>
      </c>
      <c r="G51" s="199">
        <f t="shared" si="1"/>
        <v>2342.8374895373786</v>
      </c>
      <c r="H51" s="199">
        <f t="shared" si="2"/>
        <v>1451.789687981302</v>
      </c>
      <c r="I51" s="199">
        <f t="shared" si="3"/>
        <v>147056.17723803149</v>
      </c>
    </row>
    <row r="52" spans="3:9" x14ac:dyDescent="0.2">
      <c r="C52" s="45">
        <v>42</v>
      </c>
      <c r="D52" s="198">
        <v>46539</v>
      </c>
      <c r="E52" s="199">
        <f t="shared" si="4"/>
        <v>147056.17723803149</v>
      </c>
      <c r="F52" s="199">
        <f t="shared" si="0"/>
        <v>882.33706342818891</v>
      </c>
      <c r="G52" s="199">
        <f t="shared" si="1"/>
        <v>2342.8374895373786</v>
      </c>
      <c r="H52" s="199">
        <f t="shared" si="2"/>
        <v>1460.5004261091897</v>
      </c>
      <c r="I52" s="199">
        <f t="shared" si="3"/>
        <v>145595.67681192231</v>
      </c>
    </row>
    <row r="53" spans="3:9" x14ac:dyDescent="0.2">
      <c r="C53" s="45">
        <v>43</v>
      </c>
      <c r="D53" s="198">
        <v>46569</v>
      </c>
      <c r="E53" s="199">
        <f t="shared" si="4"/>
        <v>145595.67681192231</v>
      </c>
      <c r="F53" s="199">
        <f t="shared" si="0"/>
        <v>873.57406087153379</v>
      </c>
      <c r="G53" s="199">
        <f t="shared" si="1"/>
        <v>2342.8374895373786</v>
      </c>
      <c r="H53" s="199">
        <f t="shared" si="2"/>
        <v>1469.2634286658449</v>
      </c>
      <c r="I53" s="199">
        <f t="shared" si="3"/>
        <v>144126.41338325647</v>
      </c>
    </row>
    <row r="54" spans="3:9" x14ac:dyDescent="0.2">
      <c r="C54" s="45">
        <v>44</v>
      </c>
      <c r="D54" s="198">
        <v>46600</v>
      </c>
      <c r="E54" s="199">
        <f t="shared" si="4"/>
        <v>144126.41338325647</v>
      </c>
      <c r="F54" s="199">
        <f t="shared" si="0"/>
        <v>864.75848029953875</v>
      </c>
      <c r="G54" s="199">
        <f t="shared" si="1"/>
        <v>2342.8374895373786</v>
      </c>
      <c r="H54" s="199">
        <f t="shared" si="2"/>
        <v>1478.0790092378397</v>
      </c>
      <c r="I54" s="199">
        <f t="shared" si="3"/>
        <v>142648.33437401862</v>
      </c>
    </row>
    <row r="55" spans="3:9" x14ac:dyDescent="0.2">
      <c r="C55" s="45">
        <v>45</v>
      </c>
      <c r="D55" s="198">
        <v>46631</v>
      </c>
      <c r="E55" s="199">
        <f t="shared" si="4"/>
        <v>142648.33437401862</v>
      </c>
      <c r="F55" s="199">
        <f t="shared" si="0"/>
        <v>855.89000624411165</v>
      </c>
      <c r="G55" s="199">
        <f t="shared" si="1"/>
        <v>2342.8374895373786</v>
      </c>
      <c r="H55" s="199">
        <f t="shared" si="2"/>
        <v>1486.9474832932669</v>
      </c>
      <c r="I55" s="199">
        <f t="shared" si="3"/>
        <v>141161.38689072538</v>
      </c>
    </row>
    <row r="56" spans="3:9" x14ac:dyDescent="0.2">
      <c r="C56" s="45">
        <v>46</v>
      </c>
      <c r="D56" s="198">
        <v>46661</v>
      </c>
      <c r="E56" s="199">
        <f t="shared" si="4"/>
        <v>141161.38689072538</v>
      </c>
      <c r="F56" s="199">
        <f t="shared" si="0"/>
        <v>846.96832134435215</v>
      </c>
      <c r="G56" s="199">
        <f t="shared" si="1"/>
        <v>2342.8374895373786</v>
      </c>
      <c r="H56" s="199">
        <f t="shared" si="2"/>
        <v>1495.8691681930263</v>
      </c>
      <c r="I56" s="199">
        <f t="shared" si="3"/>
        <v>139665.51772253236</v>
      </c>
    </row>
    <row r="57" spans="3:9" x14ac:dyDescent="0.2">
      <c r="C57" s="45">
        <v>47</v>
      </c>
      <c r="D57" s="198">
        <v>46692</v>
      </c>
      <c r="E57" s="199">
        <f t="shared" si="4"/>
        <v>139665.51772253236</v>
      </c>
      <c r="F57" s="199">
        <f t="shared" si="0"/>
        <v>837.99310633519406</v>
      </c>
      <c r="G57" s="199">
        <f t="shared" si="1"/>
        <v>2342.8374895373786</v>
      </c>
      <c r="H57" s="199">
        <f t="shared" si="2"/>
        <v>1504.8443832021844</v>
      </c>
      <c r="I57" s="199">
        <f t="shared" si="3"/>
        <v>138160.67333933018</v>
      </c>
    </row>
    <row r="58" spans="3:9" x14ac:dyDescent="0.2">
      <c r="C58" s="45">
        <v>48</v>
      </c>
      <c r="D58" s="198">
        <v>46722</v>
      </c>
      <c r="E58" s="199">
        <f t="shared" si="4"/>
        <v>138160.67333933018</v>
      </c>
      <c r="F58" s="199">
        <f t="shared" si="0"/>
        <v>828.96404003598104</v>
      </c>
      <c r="G58" s="199">
        <f t="shared" si="1"/>
        <v>2342.8374895373786</v>
      </c>
      <c r="H58" s="199">
        <f t="shared" si="2"/>
        <v>1513.8734495013975</v>
      </c>
      <c r="I58" s="199">
        <f t="shared" si="3"/>
        <v>136646.79988982881</v>
      </c>
    </row>
    <row r="59" spans="3:9" x14ac:dyDescent="0.2">
      <c r="C59" s="45">
        <v>49</v>
      </c>
      <c r="D59" s="198">
        <v>46753</v>
      </c>
      <c r="E59" s="199">
        <f t="shared" si="4"/>
        <v>136646.79988982881</v>
      </c>
      <c r="F59" s="199">
        <f t="shared" si="0"/>
        <v>819.88079933897268</v>
      </c>
      <c r="G59" s="199">
        <f t="shared" si="1"/>
        <v>2342.8374895373786</v>
      </c>
      <c r="H59" s="199">
        <f t="shared" si="2"/>
        <v>1522.9566901984058</v>
      </c>
      <c r="I59" s="199">
        <f t="shared" si="3"/>
        <v>135123.84319963041</v>
      </c>
    </row>
    <row r="60" spans="3:9" x14ac:dyDescent="0.2">
      <c r="C60" s="45">
        <v>50</v>
      </c>
      <c r="D60" s="198">
        <v>46784</v>
      </c>
      <c r="E60" s="199">
        <f t="shared" si="4"/>
        <v>135123.84319963041</v>
      </c>
      <c r="F60" s="199">
        <f t="shared" si="0"/>
        <v>810.74305919778237</v>
      </c>
      <c r="G60" s="199">
        <f t="shared" si="1"/>
        <v>2342.8374895373786</v>
      </c>
      <c r="H60" s="199">
        <f t="shared" si="2"/>
        <v>1532.0944303395963</v>
      </c>
      <c r="I60" s="199">
        <f t="shared" si="3"/>
        <v>133591.74876929083</v>
      </c>
    </row>
    <row r="61" spans="3:9" x14ac:dyDescent="0.2">
      <c r="C61" s="45">
        <v>51</v>
      </c>
      <c r="D61" s="198">
        <v>46813</v>
      </c>
      <c r="E61" s="199">
        <f t="shared" si="4"/>
        <v>133591.74876929083</v>
      </c>
      <c r="F61" s="199">
        <f t="shared" si="0"/>
        <v>801.55049261574493</v>
      </c>
      <c r="G61" s="199">
        <f t="shared" si="1"/>
        <v>2342.8374895373786</v>
      </c>
      <c r="H61" s="199">
        <f t="shared" si="2"/>
        <v>1541.2869969216335</v>
      </c>
      <c r="I61" s="199">
        <f t="shared" si="3"/>
        <v>132050.46177236922</v>
      </c>
    </row>
    <row r="62" spans="3:9" x14ac:dyDescent="0.2">
      <c r="C62" s="45">
        <v>52</v>
      </c>
      <c r="D62" s="198">
        <v>46844</v>
      </c>
      <c r="E62" s="199">
        <f t="shared" si="4"/>
        <v>132050.46177236922</v>
      </c>
      <c r="F62" s="199">
        <f t="shared" si="0"/>
        <v>792.30277063421522</v>
      </c>
      <c r="G62" s="199">
        <f t="shared" si="1"/>
        <v>2342.8374895373786</v>
      </c>
      <c r="H62" s="199">
        <f t="shared" si="2"/>
        <v>1550.5347189031634</v>
      </c>
      <c r="I62" s="199">
        <f t="shared" si="3"/>
        <v>130499.92705346605</v>
      </c>
    </row>
    <row r="63" spans="3:9" x14ac:dyDescent="0.2">
      <c r="C63" s="45">
        <v>53</v>
      </c>
      <c r="D63" s="198">
        <v>46874</v>
      </c>
      <c r="E63" s="199">
        <f t="shared" si="4"/>
        <v>130499.92705346605</v>
      </c>
      <c r="F63" s="199">
        <f t="shared" si="0"/>
        <v>782.99956232079614</v>
      </c>
      <c r="G63" s="199">
        <f t="shared" si="1"/>
        <v>2342.8374895373786</v>
      </c>
      <c r="H63" s="199">
        <f t="shared" si="2"/>
        <v>1559.8379272165826</v>
      </c>
      <c r="I63" s="199">
        <f t="shared" si="3"/>
        <v>128940.08912624947</v>
      </c>
    </row>
    <row r="64" spans="3:9" x14ac:dyDescent="0.2">
      <c r="C64" s="45">
        <v>54</v>
      </c>
      <c r="D64" s="198">
        <v>46905</v>
      </c>
      <c r="E64" s="199">
        <f t="shared" si="4"/>
        <v>128940.08912624947</v>
      </c>
      <c r="F64" s="199">
        <f t="shared" si="0"/>
        <v>773.64053475749677</v>
      </c>
      <c r="G64" s="199">
        <f t="shared" si="1"/>
        <v>2342.8374895373786</v>
      </c>
      <c r="H64" s="199">
        <f t="shared" si="2"/>
        <v>1569.1969547798817</v>
      </c>
      <c r="I64" s="199">
        <f t="shared" si="3"/>
        <v>127370.89217146958</v>
      </c>
    </row>
    <row r="65" spans="3:9" x14ac:dyDescent="0.2">
      <c r="C65" s="45">
        <v>55</v>
      </c>
      <c r="D65" s="198">
        <v>46935</v>
      </c>
      <c r="E65" s="199">
        <f t="shared" si="4"/>
        <v>127370.89217146958</v>
      </c>
      <c r="F65" s="199">
        <f t="shared" si="0"/>
        <v>764.22535302881738</v>
      </c>
      <c r="G65" s="199">
        <f t="shared" si="1"/>
        <v>2342.8374895373786</v>
      </c>
      <c r="H65" s="199">
        <f t="shared" si="2"/>
        <v>1578.6121365085612</v>
      </c>
      <c r="I65" s="199">
        <f t="shared" si="3"/>
        <v>125792.280034961</v>
      </c>
    </row>
    <row r="66" spans="3:9" x14ac:dyDescent="0.2">
      <c r="C66" s="45">
        <v>56</v>
      </c>
      <c r="D66" s="198">
        <v>46966</v>
      </c>
      <c r="E66" s="199">
        <f t="shared" si="4"/>
        <v>125792.280034961</v>
      </c>
      <c r="F66" s="199">
        <f t="shared" si="0"/>
        <v>754.75368020976589</v>
      </c>
      <c r="G66" s="199">
        <f t="shared" si="1"/>
        <v>2342.8374895373786</v>
      </c>
      <c r="H66" s="199">
        <f t="shared" si="2"/>
        <v>1588.0838093276127</v>
      </c>
      <c r="I66" s="199">
        <f t="shared" si="3"/>
        <v>124204.19622563338</v>
      </c>
    </row>
    <row r="67" spans="3:9" x14ac:dyDescent="0.2">
      <c r="C67" s="45">
        <v>57</v>
      </c>
      <c r="D67" s="198">
        <v>46997</v>
      </c>
      <c r="E67" s="199">
        <f t="shared" si="4"/>
        <v>124204.19622563338</v>
      </c>
      <c r="F67" s="199">
        <f t="shared" si="0"/>
        <v>745.22517735380018</v>
      </c>
      <c r="G67" s="199">
        <f t="shared" si="1"/>
        <v>2342.8374895373786</v>
      </c>
      <c r="H67" s="199">
        <f t="shared" si="2"/>
        <v>1597.6123121835785</v>
      </c>
      <c r="I67" s="199">
        <f t="shared" si="3"/>
        <v>122606.58391344979</v>
      </c>
    </row>
    <row r="68" spans="3:9" x14ac:dyDescent="0.2">
      <c r="C68" s="45">
        <v>58</v>
      </c>
      <c r="D68" s="198">
        <v>47027</v>
      </c>
      <c r="E68" s="199">
        <f t="shared" si="4"/>
        <v>122606.58391344979</v>
      </c>
      <c r="F68" s="199">
        <f t="shared" si="0"/>
        <v>735.63950348069864</v>
      </c>
      <c r="G68" s="199">
        <f t="shared" si="1"/>
        <v>2342.8374895373786</v>
      </c>
      <c r="H68" s="199">
        <f t="shared" si="2"/>
        <v>1607.1979860566798</v>
      </c>
      <c r="I68" s="199">
        <f t="shared" si="3"/>
        <v>120999.3859273931</v>
      </c>
    </row>
    <row r="69" spans="3:9" x14ac:dyDescent="0.2">
      <c r="C69" s="45">
        <v>59</v>
      </c>
      <c r="D69" s="198">
        <v>47058</v>
      </c>
      <c r="E69" s="199">
        <f t="shared" si="4"/>
        <v>120999.3859273931</v>
      </c>
      <c r="F69" s="199">
        <f t="shared" si="0"/>
        <v>725.9963155643585</v>
      </c>
      <c r="G69" s="199">
        <f t="shared" si="1"/>
        <v>2342.8374895373786</v>
      </c>
      <c r="H69" s="199">
        <f t="shared" si="2"/>
        <v>1616.84117397302</v>
      </c>
      <c r="I69" s="199">
        <f t="shared" si="3"/>
        <v>119382.54475342008</v>
      </c>
    </row>
    <row r="70" spans="3:9" x14ac:dyDescent="0.2">
      <c r="C70" s="45">
        <v>60</v>
      </c>
      <c r="D70" s="198">
        <v>47088</v>
      </c>
      <c r="E70" s="199">
        <f t="shared" si="4"/>
        <v>119382.54475342008</v>
      </c>
      <c r="F70" s="199">
        <f t="shared" si="0"/>
        <v>716.29526852052038</v>
      </c>
      <c r="G70" s="199">
        <f t="shared" si="1"/>
        <v>2342.8374895373786</v>
      </c>
      <c r="H70" s="199">
        <f t="shared" si="2"/>
        <v>1626.5422210168581</v>
      </c>
      <c r="I70" s="199">
        <f t="shared" si="3"/>
        <v>117756.00253240322</v>
      </c>
    </row>
    <row r="71" spans="3:9" x14ac:dyDescent="0.2">
      <c r="C71" s="45">
        <v>61</v>
      </c>
      <c r="D71" s="198">
        <v>47119</v>
      </c>
      <c r="E71" s="199">
        <f t="shared" si="4"/>
        <v>117756.00253240322</v>
      </c>
      <c r="F71" s="199">
        <f t="shared" si="0"/>
        <v>706.53601519441918</v>
      </c>
      <c r="G71" s="199">
        <f t="shared" si="1"/>
        <v>2342.8374895373786</v>
      </c>
      <c r="H71" s="199">
        <f t="shared" si="2"/>
        <v>1636.3014743429594</v>
      </c>
      <c r="I71" s="199">
        <f t="shared" si="3"/>
        <v>116119.70105806025</v>
      </c>
    </row>
    <row r="72" spans="3:9" x14ac:dyDescent="0.2">
      <c r="C72" s="45">
        <v>62</v>
      </c>
      <c r="D72" s="198">
        <v>47150</v>
      </c>
      <c r="E72" s="199">
        <f t="shared" si="4"/>
        <v>116119.70105806025</v>
      </c>
      <c r="F72" s="199">
        <f t="shared" si="0"/>
        <v>696.71820634836138</v>
      </c>
      <c r="G72" s="199">
        <f t="shared" si="1"/>
        <v>2342.8374895373786</v>
      </c>
      <c r="H72" s="199">
        <f t="shared" si="2"/>
        <v>1646.1192831890171</v>
      </c>
      <c r="I72" s="199">
        <f t="shared" si="3"/>
        <v>114473.58177487123</v>
      </c>
    </row>
    <row r="73" spans="3:9" x14ac:dyDescent="0.2">
      <c r="C73" s="45">
        <v>63</v>
      </c>
      <c r="D73" s="198">
        <v>47178</v>
      </c>
      <c r="E73" s="199">
        <f t="shared" si="4"/>
        <v>114473.58177487123</v>
      </c>
      <c r="F73" s="199">
        <f t="shared" si="0"/>
        <v>686.84149064922724</v>
      </c>
      <c r="G73" s="199">
        <f t="shared" si="1"/>
        <v>2342.8374895373786</v>
      </c>
      <c r="H73" s="199">
        <f t="shared" si="2"/>
        <v>1655.9959988881515</v>
      </c>
      <c r="I73" s="199">
        <f t="shared" si="3"/>
        <v>112817.58577598307</v>
      </c>
    </row>
    <row r="74" spans="3:9" x14ac:dyDescent="0.2">
      <c r="C74" s="45">
        <v>64</v>
      </c>
      <c r="D74" s="198">
        <v>47209</v>
      </c>
      <c r="E74" s="199">
        <f t="shared" si="4"/>
        <v>112817.58577598307</v>
      </c>
      <c r="F74" s="199">
        <f t="shared" si="0"/>
        <v>676.90551465589829</v>
      </c>
      <c r="G74" s="199">
        <f t="shared" si="1"/>
        <v>2342.8374895373786</v>
      </c>
      <c r="H74" s="199">
        <f t="shared" si="2"/>
        <v>1665.9319748814803</v>
      </c>
      <c r="I74" s="199">
        <f t="shared" si="3"/>
        <v>111151.65380110158</v>
      </c>
    </row>
    <row r="75" spans="3:9" x14ac:dyDescent="0.2">
      <c r="C75" s="45">
        <v>65</v>
      </c>
      <c r="D75" s="198">
        <v>47239</v>
      </c>
      <c r="E75" s="199">
        <f t="shared" si="4"/>
        <v>111151.65380110158</v>
      </c>
      <c r="F75" s="199">
        <f t="shared" si="0"/>
        <v>666.90992280660942</v>
      </c>
      <c r="G75" s="199">
        <f t="shared" si="1"/>
        <v>2342.8374895373786</v>
      </c>
      <c r="H75" s="199">
        <f t="shared" si="2"/>
        <v>1675.9275667307693</v>
      </c>
      <c r="I75" s="199">
        <f t="shared" si="3"/>
        <v>109475.7262343708</v>
      </c>
    </row>
    <row r="76" spans="3:9" x14ac:dyDescent="0.2">
      <c r="C76" s="45">
        <v>66</v>
      </c>
      <c r="D76" s="198">
        <v>47270</v>
      </c>
      <c r="E76" s="199">
        <f t="shared" si="4"/>
        <v>109475.7262343708</v>
      </c>
      <c r="F76" s="199">
        <f t="shared" ref="F76:F130" si="5">$E$5*E76</f>
        <v>656.85435740622472</v>
      </c>
      <c r="G76" s="199">
        <f t="shared" ref="G76:G130" si="6">$E$6</f>
        <v>2342.8374895373786</v>
      </c>
      <c r="H76" s="199">
        <f t="shared" ref="H76:H127" si="7">G76-F76</f>
        <v>1685.983132131154</v>
      </c>
      <c r="I76" s="199">
        <f t="shared" ref="I76:I127" si="8">E76+F76-G76</f>
        <v>107789.74310223963</v>
      </c>
    </row>
    <row r="77" spans="3:9" x14ac:dyDescent="0.2">
      <c r="C77" s="45">
        <v>67</v>
      </c>
      <c r="D77" s="198">
        <v>47300</v>
      </c>
      <c r="E77" s="199">
        <f t="shared" ref="E77:E127" si="9">I76</f>
        <v>107789.74310223963</v>
      </c>
      <c r="F77" s="199">
        <f t="shared" si="5"/>
        <v>646.73845861343773</v>
      </c>
      <c r="G77" s="199">
        <f t="shared" si="6"/>
        <v>2342.8374895373786</v>
      </c>
      <c r="H77" s="199">
        <f t="shared" si="7"/>
        <v>1696.099030923941</v>
      </c>
      <c r="I77" s="199">
        <f t="shared" si="8"/>
        <v>106093.64407131569</v>
      </c>
    </row>
    <row r="78" spans="3:9" x14ac:dyDescent="0.2">
      <c r="C78" s="45">
        <v>68</v>
      </c>
      <c r="D78" s="198">
        <v>47331</v>
      </c>
      <c r="E78" s="199">
        <f t="shared" si="9"/>
        <v>106093.64407131569</v>
      </c>
      <c r="F78" s="199">
        <f t="shared" si="5"/>
        <v>636.56186442789408</v>
      </c>
      <c r="G78" s="199">
        <f t="shared" si="6"/>
        <v>2342.8374895373786</v>
      </c>
      <c r="H78" s="199">
        <f t="shared" si="7"/>
        <v>1706.2756251094845</v>
      </c>
      <c r="I78" s="199">
        <f t="shared" si="8"/>
        <v>104387.36844620619</v>
      </c>
    </row>
    <row r="79" spans="3:9" x14ac:dyDescent="0.2">
      <c r="C79" s="45">
        <v>69</v>
      </c>
      <c r="D79" s="198">
        <v>47362</v>
      </c>
      <c r="E79" s="199">
        <f t="shared" si="9"/>
        <v>104387.36844620619</v>
      </c>
      <c r="F79" s="199">
        <f t="shared" si="5"/>
        <v>626.32421067723703</v>
      </c>
      <c r="G79" s="199">
        <f t="shared" si="6"/>
        <v>2342.8374895373786</v>
      </c>
      <c r="H79" s="199">
        <f t="shared" si="7"/>
        <v>1716.5132788601416</v>
      </c>
      <c r="I79" s="199">
        <f t="shared" si="8"/>
        <v>102670.85516734605</v>
      </c>
    </row>
    <row r="80" spans="3:9" x14ac:dyDescent="0.2">
      <c r="C80" s="45">
        <v>70</v>
      </c>
      <c r="D80" s="198">
        <v>47392</v>
      </c>
      <c r="E80" s="200">
        <f t="shared" si="9"/>
        <v>102670.85516734605</v>
      </c>
      <c r="F80" s="200">
        <f t="shared" si="5"/>
        <v>616.02513100407623</v>
      </c>
      <c r="G80" s="200">
        <f t="shared" si="6"/>
        <v>2342.8374895373786</v>
      </c>
      <c r="H80" s="200">
        <f t="shared" si="7"/>
        <v>1726.8123585333024</v>
      </c>
      <c r="I80" s="200">
        <f t="shared" si="8"/>
        <v>100944.04280881274</v>
      </c>
    </row>
    <row r="81" spans="3:9" x14ac:dyDescent="0.2">
      <c r="C81" s="45">
        <v>71</v>
      </c>
      <c r="D81" s="198">
        <v>47423</v>
      </c>
      <c r="E81" s="200">
        <f t="shared" si="9"/>
        <v>100944.04280881274</v>
      </c>
      <c r="F81" s="200">
        <f t="shared" si="5"/>
        <v>605.66425685287641</v>
      </c>
      <c r="G81" s="200">
        <f t="shared" si="6"/>
        <v>2342.8374895373786</v>
      </c>
      <c r="H81" s="200">
        <f t="shared" si="7"/>
        <v>1737.1732326845022</v>
      </c>
      <c r="I81" s="200">
        <f t="shared" si="8"/>
        <v>99206.869576128229</v>
      </c>
    </row>
    <row r="82" spans="3:9" x14ac:dyDescent="0.2">
      <c r="C82" s="45">
        <v>72</v>
      </c>
      <c r="D82" s="198">
        <v>47453</v>
      </c>
      <c r="E82" s="199">
        <f t="shared" si="9"/>
        <v>99206.869576128229</v>
      </c>
      <c r="F82" s="199">
        <f t="shared" si="5"/>
        <v>595.24121745676928</v>
      </c>
      <c r="G82" s="199">
        <f t="shared" si="6"/>
        <v>2342.8374895373786</v>
      </c>
      <c r="H82" s="199">
        <f t="shared" si="7"/>
        <v>1747.5962720806092</v>
      </c>
      <c r="I82" s="199">
        <f t="shared" si="8"/>
        <v>97459.273304047616</v>
      </c>
    </row>
    <row r="83" spans="3:9" x14ac:dyDescent="0.2">
      <c r="C83" s="45">
        <v>73</v>
      </c>
      <c r="D83" s="198">
        <v>47484</v>
      </c>
      <c r="E83" s="199">
        <f t="shared" si="9"/>
        <v>97459.273304047616</v>
      </c>
      <c r="F83" s="199">
        <f t="shared" si="5"/>
        <v>584.75563982428559</v>
      </c>
      <c r="G83" s="199">
        <f t="shared" si="6"/>
        <v>2342.8374895373786</v>
      </c>
      <c r="H83" s="199">
        <f t="shared" si="7"/>
        <v>1758.0818497130931</v>
      </c>
      <c r="I83" s="199">
        <f t="shared" si="8"/>
        <v>95701.191454334519</v>
      </c>
    </row>
    <row r="84" spans="3:9" x14ac:dyDescent="0.2">
      <c r="C84" s="45">
        <v>74</v>
      </c>
      <c r="D84" s="198">
        <v>47515</v>
      </c>
      <c r="E84" s="199">
        <f t="shared" si="9"/>
        <v>95701.191454334519</v>
      </c>
      <c r="F84" s="199">
        <f t="shared" si="5"/>
        <v>574.20714872600706</v>
      </c>
      <c r="G84" s="199">
        <f t="shared" si="6"/>
        <v>2342.8374895373786</v>
      </c>
      <c r="H84" s="199">
        <f t="shared" si="7"/>
        <v>1768.6303408113715</v>
      </c>
      <c r="I84" s="199">
        <f t="shared" si="8"/>
        <v>93932.561113523145</v>
      </c>
    </row>
    <row r="85" spans="3:9" x14ac:dyDescent="0.2">
      <c r="C85" s="45">
        <v>75</v>
      </c>
      <c r="D85" s="198">
        <v>47543</v>
      </c>
      <c r="E85" s="199">
        <f t="shared" si="9"/>
        <v>93932.561113523145</v>
      </c>
      <c r="F85" s="199">
        <f t="shared" si="5"/>
        <v>563.59536668113878</v>
      </c>
      <c r="G85" s="199">
        <f t="shared" si="6"/>
        <v>2342.8374895373786</v>
      </c>
      <c r="H85" s="199">
        <f t="shared" si="7"/>
        <v>1779.2421228562398</v>
      </c>
      <c r="I85" s="199">
        <f t="shared" si="8"/>
        <v>92153.318990666899</v>
      </c>
    </row>
    <row r="86" spans="3:9" x14ac:dyDescent="0.2">
      <c r="C86" s="45">
        <v>76</v>
      </c>
      <c r="D86" s="198">
        <v>47574</v>
      </c>
      <c r="E86" s="199">
        <f t="shared" si="9"/>
        <v>92153.318990666899</v>
      </c>
      <c r="F86" s="199">
        <f t="shared" si="5"/>
        <v>552.91991394400134</v>
      </c>
      <c r="G86" s="199">
        <f t="shared" si="6"/>
        <v>2342.8374895373786</v>
      </c>
      <c r="H86" s="199">
        <f t="shared" si="7"/>
        <v>1789.9175755933773</v>
      </c>
      <c r="I86" s="199">
        <f t="shared" si="8"/>
        <v>90363.401415073517</v>
      </c>
    </row>
    <row r="87" spans="3:9" x14ac:dyDescent="0.2">
      <c r="C87" s="45">
        <v>77</v>
      </c>
      <c r="D87" s="198">
        <v>47604</v>
      </c>
      <c r="E87" s="199">
        <f t="shared" si="9"/>
        <v>90363.401415073517</v>
      </c>
      <c r="F87" s="199">
        <f t="shared" si="5"/>
        <v>542.18040849044098</v>
      </c>
      <c r="G87" s="199">
        <f t="shared" si="6"/>
        <v>2342.8374895373786</v>
      </c>
      <c r="H87" s="199">
        <f t="shared" si="7"/>
        <v>1800.6570810469375</v>
      </c>
      <c r="I87" s="199">
        <f t="shared" si="8"/>
        <v>88562.744334026575</v>
      </c>
    </row>
    <row r="88" spans="3:9" x14ac:dyDescent="0.2">
      <c r="C88" s="45">
        <v>78</v>
      </c>
      <c r="D88" s="198">
        <v>47635</v>
      </c>
      <c r="E88" s="199">
        <f t="shared" si="9"/>
        <v>88562.744334026575</v>
      </c>
      <c r="F88" s="199">
        <f t="shared" si="5"/>
        <v>531.3764660041594</v>
      </c>
      <c r="G88" s="199">
        <f t="shared" si="6"/>
        <v>2342.8374895373786</v>
      </c>
      <c r="H88" s="199">
        <f t="shared" si="7"/>
        <v>1811.4610235332193</v>
      </c>
      <c r="I88" s="199">
        <f t="shared" si="8"/>
        <v>86751.283310493352</v>
      </c>
    </row>
    <row r="89" spans="3:9" x14ac:dyDescent="0.2">
      <c r="C89" s="45">
        <v>79</v>
      </c>
      <c r="D89" s="198">
        <v>47665</v>
      </c>
      <c r="E89" s="199">
        <f t="shared" si="9"/>
        <v>86751.283310493352</v>
      </c>
      <c r="F89" s="199">
        <f t="shared" si="5"/>
        <v>520.50769986296007</v>
      </c>
      <c r="G89" s="199">
        <f t="shared" si="6"/>
        <v>2342.8374895373786</v>
      </c>
      <c r="H89" s="199">
        <f t="shared" si="7"/>
        <v>1822.3297896744184</v>
      </c>
      <c r="I89" s="199">
        <f t="shared" si="8"/>
        <v>84928.953520818934</v>
      </c>
    </row>
    <row r="90" spans="3:9" x14ac:dyDescent="0.2">
      <c r="C90" s="45">
        <v>80</v>
      </c>
      <c r="D90" s="198">
        <v>47696</v>
      </c>
      <c r="E90" s="199">
        <f t="shared" si="9"/>
        <v>84928.953520818934</v>
      </c>
      <c r="F90" s="199">
        <f t="shared" si="5"/>
        <v>509.57372112491356</v>
      </c>
      <c r="G90" s="199">
        <f t="shared" si="6"/>
        <v>2342.8374895373786</v>
      </c>
      <c r="H90" s="199">
        <f t="shared" si="7"/>
        <v>1833.263768412465</v>
      </c>
      <c r="I90" s="199">
        <f t="shared" si="8"/>
        <v>83095.689752406455</v>
      </c>
    </row>
    <row r="91" spans="3:9" x14ac:dyDescent="0.2">
      <c r="C91" s="45">
        <v>81</v>
      </c>
      <c r="D91" s="198">
        <v>47727</v>
      </c>
      <c r="E91" s="199">
        <f t="shared" si="9"/>
        <v>83095.689752406455</v>
      </c>
      <c r="F91" s="199">
        <f t="shared" si="5"/>
        <v>498.57413851443869</v>
      </c>
      <c r="G91" s="199">
        <f t="shared" si="6"/>
        <v>2342.8374895373786</v>
      </c>
      <c r="H91" s="199">
        <f t="shared" si="7"/>
        <v>1844.2633510229398</v>
      </c>
      <c r="I91" s="199">
        <f t="shared" si="8"/>
        <v>81251.426401383505</v>
      </c>
    </row>
    <row r="92" spans="3:9" x14ac:dyDescent="0.2">
      <c r="C92" s="45">
        <v>82</v>
      </c>
      <c r="D92" s="198">
        <v>47757</v>
      </c>
      <c r="E92" s="199">
        <f t="shared" si="9"/>
        <v>81251.426401383505</v>
      </c>
      <c r="F92" s="199">
        <f t="shared" si="5"/>
        <v>487.50855840830098</v>
      </c>
      <c r="G92" s="199">
        <f t="shared" si="6"/>
        <v>2342.8374895373786</v>
      </c>
      <c r="H92" s="199">
        <f t="shared" si="7"/>
        <v>1855.3289311290775</v>
      </c>
      <c r="I92" s="199">
        <f t="shared" si="8"/>
        <v>79396.097470254419</v>
      </c>
    </row>
    <row r="93" spans="3:9" x14ac:dyDescent="0.2">
      <c r="C93" s="45">
        <v>83</v>
      </c>
      <c r="D93" s="198">
        <v>47788</v>
      </c>
      <c r="E93" s="199">
        <f t="shared" si="9"/>
        <v>79396.097470254419</v>
      </c>
      <c r="F93" s="199">
        <f t="shared" si="5"/>
        <v>476.37658482152648</v>
      </c>
      <c r="G93" s="199">
        <f t="shared" si="6"/>
        <v>2342.8374895373786</v>
      </c>
      <c r="H93" s="199">
        <f t="shared" si="7"/>
        <v>1866.4609047158522</v>
      </c>
      <c r="I93" s="199">
        <f t="shared" si="8"/>
        <v>77529.63656553856</v>
      </c>
    </row>
    <row r="94" spans="3:9" x14ac:dyDescent="0.2">
      <c r="C94" s="45">
        <v>84</v>
      </c>
      <c r="D94" s="198">
        <v>47818</v>
      </c>
      <c r="E94" s="199">
        <f t="shared" si="9"/>
        <v>77529.63656553856</v>
      </c>
      <c r="F94" s="199">
        <f t="shared" si="5"/>
        <v>465.17781939323129</v>
      </c>
      <c r="G94" s="199">
        <f t="shared" si="6"/>
        <v>2342.8374895373786</v>
      </c>
      <c r="H94" s="199">
        <f t="shared" si="7"/>
        <v>1877.6596701441472</v>
      </c>
      <c r="I94" s="199">
        <f t="shared" si="8"/>
        <v>75651.9768953944</v>
      </c>
    </row>
    <row r="95" spans="3:9" x14ac:dyDescent="0.2">
      <c r="C95" s="45">
        <v>85</v>
      </c>
      <c r="D95" s="198">
        <v>47849</v>
      </c>
      <c r="E95" s="199">
        <f t="shared" si="9"/>
        <v>75651.9768953944</v>
      </c>
      <c r="F95" s="199">
        <f t="shared" si="5"/>
        <v>453.91186137236633</v>
      </c>
      <c r="G95" s="199">
        <f t="shared" si="6"/>
        <v>2342.8374895373786</v>
      </c>
      <c r="H95" s="199">
        <f t="shared" si="7"/>
        <v>1888.9256281650123</v>
      </c>
      <c r="I95" s="199">
        <f t="shared" si="8"/>
        <v>73763.051267229384</v>
      </c>
    </row>
    <row r="96" spans="3:9" x14ac:dyDescent="0.2">
      <c r="C96" s="45">
        <v>86</v>
      </c>
      <c r="D96" s="198">
        <v>47880</v>
      </c>
      <c r="E96" s="199">
        <f t="shared" si="9"/>
        <v>73763.051267229384</v>
      </c>
      <c r="F96" s="199">
        <f t="shared" si="5"/>
        <v>442.57830760337623</v>
      </c>
      <c r="G96" s="199">
        <f t="shared" si="6"/>
        <v>2342.8374895373786</v>
      </c>
      <c r="H96" s="199">
        <f t="shared" si="7"/>
        <v>1900.2591819340023</v>
      </c>
      <c r="I96" s="199">
        <f t="shared" si="8"/>
        <v>71862.792085295368</v>
      </c>
    </row>
    <row r="97" spans="3:9" x14ac:dyDescent="0.2">
      <c r="C97" s="45">
        <v>87</v>
      </c>
      <c r="D97" s="198">
        <v>47908</v>
      </c>
      <c r="E97" s="199">
        <f t="shared" si="9"/>
        <v>71862.792085295368</v>
      </c>
      <c r="F97" s="199">
        <f t="shared" si="5"/>
        <v>431.17675251177218</v>
      </c>
      <c r="G97" s="199">
        <f t="shared" si="6"/>
        <v>2342.8374895373786</v>
      </c>
      <c r="H97" s="199">
        <f t="shared" si="7"/>
        <v>1911.6607370256065</v>
      </c>
      <c r="I97" s="199">
        <f t="shared" si="8"/>
        <v>69951.131348269759</v>
      </c>
    </row>
    <row r="98" spans="3:9" x14ac:dyDescent="0.2">
      <c r="C98" s="45">
        <v>88</v>
      </c>
      <c r="D98" s="198">
        <v>47939</v>
      </c>
      <c r="E98" s="199">
        <f t="shared" si="9"/>
        <v>69951.131348269759</v>
      </c>
      <c r="F98" s="199">
        <f t="shared" si="5"/>
        <v>419.7067880896185</v>
      </c>
      <c r="G98" s="199">
        <f t="shared" si="6"/>
        <v>2342.8374895373786</v>
      </c>
      <c r="H98" s="199">
        <f t="shared" si="7"/>
        <v>1923.1307014477602</v>
      </c>
      <c r="I98" s="199">
        <f t="shared" si="8"/>
        <v>68028.000646821994</v>
      </c>
    </row>
    <row r="99" spans="3:9" x14ac:dyDescent="0.2">
      <c r="C99" s="45">
        <v>89</v>
      </c>
      <c r="D99" s="198">
        <v>47969</v>
      </c>
      <c r="E99" s="199">
        <f t="shared" si="9"/>
        <v>68028.000646821994</v>
      </c>
      <c r="F99" s="199">
        <f t="shared" si="5"/>
        <v>408.16800388093191</v>
      </c>
      <c r="G99" s="199">
        <f t="shared" si="6"/>
        <v>2342.8374895373786</v>
      </c>
      <c r="H99" s="199">
        <f t="shared" si="7"/>
        <v>1934.6694856564468</v>
      </c>
      <c r="I99" s="199">
        <f t="shared" si="8"/>
        <v>66093.331161165537</v>
      </c>
    </row>
    <row r="100" spans="3:9" x14ac:dyDescent="0.2">
      <c r="C100" s="45">
        <v>90</v>
      </c>
      <c r="D100" s="198">
        <v>48000</v>
      </c>
      <c r="E100" s="199">
        <f t="shared" si="9"/>
        <v>66093.331161165537</v>
      </c>
      <c r="F100" s="199">
        <f t="shared" si="5"/>
        <v>396.55998696699316</v>
      </c>
      <c r="G100" s="199">
        <f t="shared" si="6"/>
        <v>2342.8374895373786</v>
      </c>
      <c r="H100" s="199">
        <f t="shared" si="7"/>
        <v>1946.2775025703854</v>
      </c>
      <c r="I100" s="199">
        <f t="shared" si="8"/>
        <v>64147.053658595156</v>
      </c>
    </row>
    <row r="101" spans="3:9" x14ac:dyDescent="0.2">
      <c r="C101" s="45">
        <v>91</v>
      </c>
      <c r="D101" s="198">
        <v>48030</v>
      </c>
      <c r="E101" s="199">
        <f t="shared" si="9"/>
        <v>64147.053658595156</v>
      </c>
      <c r="F101" s="199">
        <f t="shared" si="5"/>
        <v>384.88232195157087</v>
      </c>
      <c r="G101" s="199">
        <f t="shared" si="6"/>
        <v>2342.8374895373786</v>
      </c>
      <c r="H101" s="199">
        <f t="shared" si="7"/>
        <v>1957.9551675858077</v>
      </c>
      <c r="I101" s="199">
        <f t="shared" si="8"/>
        <v>62189.098491009347</v>
      </c>
    </row>
    <row r="102" spans="3:9" x14ac:dyDescent="0.2">
      <c r="C102" s="45">
        <v>92</v>
      </c>
      <c r="D102" s="198">
        <v>48061</v>
      </c>
      <c r="E102" s="199">
        <f t="shared" si="9"/>
        <v>62189.098491009347</v>
      </c>
      <c r="F102" s="199">
        <f t="shared" si="5"/>
        <v>373.13459094605605</v>
      </c>
      <c r="G102" s="199">
        <f t="shared" si="6"/>
        <v>2342.8374895373786</v>
      </c>
      <c r="H102" s="199">
        <f t="shared" si="7"/>
        <v>1969.7028985913225</v>
      </c>
      <c r="I102" s="199">
        <f t="shared" si="8"/>
        <v>60219.395592418026</v>
      </c>
    </row>
    <row r="103" spans="3:9" x14ac:dyDescent="0.2">
      <c r="C103" s="45">
        <v>93</v>
      </c>
      <c r="D103" s="198">
        <v>48092</v>
      </c>
      <c r="E103" s="199">
        <f t="shared" si="9"/>
        <v>60219.395592418026</v>
      </c>
      <c r="F103" s="199">
        <f t="shared" si="5"/>
        <v>361.31637355450812</v>
      </c>
      <c r="G103" s="199">
        <f t="shared" si="6"/>
        <v>2342.8374895373786</v>
      </c>
      <c r="H103" s="199">
        <f t="shared" si="7"/>
        <v>1981.5211159828705</v>
      </c>
      <c r="I103" s="199">
        <f t="shared" si="8"/>
        <v>58237.874476435158</v>
      </c>
    </row>
    <row r="104" spans="3:9" x14ac:dyDescent="0.2">
      <c r="C104" s="45">
        <v>94</v>
      </c>
      <c r="D104" s="198">
        <v>48122</v>
      </c>
      <c r="E104" s="199">
        <f t="shared" si="9"/>
        <v>58237.874476435158</v>
      </c>
      <c r="F104" s="199">
        <f t="shared" si="5"/>
        <v>349.42724685861089</v>
      </c>
      <c r="G104" s="199">
        <f t="shared" si="6"/>
        <v>2342.8374895373786</v>
      </c>
      <c r="H104" s="199">
        <f t="shared" si="7"/>
        <v>1993.4102426787676</v>
      </c>
      <c r="I104" s="199">
        <f t="shared" si="8"/>
        <v>56244.464233756393</v>
      </c>
    </row>
    <row r="105" spans="3:9" x14ac:dyDescent="0.2">
      <c r="C105" s="45">
        <v>95</v>
      </c>
      <c r="D105" s="198">
        <v>48153</v>
      </c>
      <c r="E105" s="199">
        <f t="shared" si="9"/>
        <v>56244.464233756393</v>
      </c>
      <c r="F105" s="199">
        <f t="shared" si="5"/>
        <v>337.46678540253833</v>
      </c>
      <c r="G105" s="199">
        <f t="shared" si="6"/>
        <v>2342.8374895373786</v>
      </c>
      <c r="H105" s="199">
        <f t="shared" si="7"/>
        <v>2005.3707041348403</v>
      </c>
      <c r="I105" s="199">
        <f t="shared" si="8"/>
        <v>54239.093529621554</v>
      </c>
    </row>
    <row r="106" spans="3:9" x14ac:dyDescent="0.2">
      <c r="C106" s="45">
        <v>96</v>
      </c>
      <c r="D106" s="198">
        <v>48183</v>
      </c>
      <c r="E106" s="199">
        <f t="shared" si="9"/>
        <v>54239.093529621554</v>
      </c>
      <c r="F106" s="199">
        <f t="shared" si="5"/>
        <v>325.43456117772928</v>
      </c>
      <c r="G106" s="199">
        <f t="shared" si="6"/>
        <v>2342.8374895373786</v>
      </c>
      <c r="H106" s="199">
        <f t="shared" si="7"/>
        <v>2017.4029283596492</v>
      </c>
      <c r="I106" s="199">
        <f t="shared" si="8"/>
        <v>52221.690601261907</v>
      </c>
    </row>
    <row r="107" spans="3:9" x14ac:dyDescent="0.2">
      <c r="C107" s="45">
        <v>97</v>
      </c>
      <c r="D107" s="198">
        <v>48214</v>
      </c>
      <c r="E107" s="199">
        <f t="shared" si="9"/>
        <v>52221.690601261907</v>
      </c>
      <c r="F107" s="199">
        <f t="shared" si="5"/>
        <v>313.33014360757142</v>
      </c>
      <c r="G107" s="199">
        <f t="shared" si="6"/>
        <v>2342.8374895373786</v>
      </c>
      <c r="H107" s="199">
        <f t="shared" si="7"/>
        <v>2029.5073459298071</v>
      </c>
      <c r="I107" s="199">
        <f t="shared" si="8"/>
        <v>50192.1832553321</v>
      </c>
    </row>
    <row r="108" spans="3:9" x14ac:dyDescent="0.2">
      <c r="C108" s="45">
        <v>98</v>
      </c>
      <c r="D108" s="198">
        <v>48245</v>
      </c>
      <c r="E108" s="199">
        <f t="shared" si="9"/>
        <v>50192.1832553321</v>
      </c>
      <c r="F108" s="199">
        <f t="shared" si="5"/>
        <v>301.15309953199255</v>
      </c>
      <c r="G108" s="199">
        <f t="shared" si="6"/>
        <v>2342.8374895373786</v>
      </c>
      <c r="H108" s="199">
        <f t="shared" si="7"/>
        <v>2041.6843900053859</v>
      </c>
      <c r="I108" s="199">
        <f t="shared" si="8"/>
        <v>48150.498865326714</v>
      </c>
    </row>
    <row r="109" spans="3:9" x14ac:dyDescent="0.2">
      <c r="C109" s="45">
        <v>99</v>
      </c>
      <c r="D109" s="198">
        <v>48274</v>
      </c>
      <c r="E109" s="199">
        <f t="shared" si="9"/>
        <v>48150.498865326714</v>
      </c>
      <c r="F109" s="199">
        <f t="shared" si="5"/>
        <v>288.90299319196026</v>
      </c>
      <c r="G109" s="199">
        <f t="shared" si="6"/>
        <v>2342.8374895373786</v>
      </c>
      <c r="H109" s="199">
        <f t="shared" si="7"/>
        <v>2053.9344963454182</v>
      </c>
      <c r="I109" s="199">
        <f t="shared" si="8"/>
        <v>46096.564368981293</v>
      </c>
    </row>
    <row r="110" spans="3:9" x14ac:dyDescent="0.2">
      <c r="C110" s="45">
        <v>100</v>
      </c>
      <c r="D110" s="198">
        <v>48305</v>
      </c>
      <c r="E110" s="199">
        <f t="shared" si="9"/>
        <v>46096.564368981293</v>
      </c>
      <c r="F110" s="199">
        <f t="shared" si="5"/>
        <v>276.57938621388774</v>
      </c>
      <c r="G110" s="199">
        <f t="shared" si="6"/>
        <v>2342.8374895373786</v>
      </c>
      <c r="H110" s="199">
        <f t="shared" si="7"/>
        <v>2066.258103323491</v>
      </c>
      <c r="I110" s="199">
        <f t="shared" si="8"/>
        <v>44030.306265657804</v>
      </c>
    </row>
    <row r="111" spans="3:9" x14ac:dyDescent="0.2">
      <c r="C111" s="45">
        <v>101</v>
      </c>
      <c r="D111" s="198">
        <v>48335</v>
      </c>
      <c r="E111" s="199">
        <f t="shared" si="9"/>
        <v>44030.306265657804</v>
      </c>
      <c r="F111" s="199">
        <f t="shared" si="5"/>
        <v>264.1818375939468</v>
      </c>
      <c r="G111" s="199">
        <f t="shared" si="6"/>
        <v>2342.8374895373786</v>
      </c>
      <c r="H111" s="199">
        <f t="shared" si="7"/>
        <v>2078.6556519434316</v>
      </c>
      <c r="I111" s="199">
        <f t="shared" si="8"/>
        <v>41951.650613714373</v>
      </c>
    </row>
    <row r="112" spans="3:9" x14ac:dyDescent="0.2">
      <c r="C112" s="45">
        <v>102</v>
      </c>
      <c r="D112" s="198">
        <v>48366</v>
      </c>
      <c r="E112" s="199">
        <f t="shared" si="9"/>
        <v>41951.650613714373</v>
      </c>
      <c r="F112" s="199">
        <f t="shared" si="5"/>
        <v>251.70990368228621</v>
      </c>
      <c r="G112" s="199">
        <f t="shared" si="6"/>
        <v>2342.8374895373786</v>
      </c>
      <c r="H112" s="199">
        <f t="shared" si="7"/>
        <v>2091.1275858550925</v>
      </c>
      <c r="I112" s="199">
        <f t="shared" si="8"/>
        <v>39860.523027859279</v>
      </c>
    </row>
    <row r="113" spans="3:9" x14ac:dyDescent="0.2">
      <c r="C113" s="45">
        <v>103</v>
      </c>
      <c r="D113" s="198">
        <v>48396</v>
      </c>
      <c r="E113" s="199">
        <f t="shared" si="9"/>
        <v>39860.523027859279</v>
      </c>
      <c r="F113" s="199">
        <f t="shared" si="5"/>
        <v>239.16313816715564</v>
      </c>
      <c r="G113" s="199">
        <f t="shared" si="6"/>
        <v>2342.8374895373786</v>
      </c>
      <c r="H113" s="199">
        <f t="shared" si="7"/>
        <v>2103.6743513702231</v>
      </c>
      <c r="I113" s="199">
        <f t="shared" si="8"/>
        <v>37756.848676489055</v>
      </c>
    </row>
    <row r="114" spans="3:9" x14ac:dyDescent="0.2">
      <c r="C114" s="45">
        <v>104</v>
      </c>
      <c r="D114" s="198">
        <v>48427</v>
      </c>
      <c r="E114" s="199">
        <f t="shared" si="9"/>
        <v>37756.848676489055</v>
      </c>
      <c r="F114" s="199">
        <f t="shared" si="5"/>
        <v>226.54109205893431</v>
      </c>
      <c r="G114" s="199">
        <f t="shared" si="6"/>
        <v>2342.8374895373786</v>
      </c>
      <c r="H114" s="199">
        <f t="shared" si="7"/>
        <v>2116.2963974784443</v>
      </c>
      <c r="I114" s="199">
        <f t="shared" si="8"/>
        <v>35640.552279010612</v>
      </c>
    </row>
    <row r="115" spans="3:9" x14ac:dyDescent="0.2">
      <c r="C115" s="45">
        <v>105</v>
      </c>
      <c r="D115" s="198">
        <v>48458</v>
      </c>
      <c r="E115" s="199">
        <f t="shared" si="9"/>
        <v>35640.552279010612</v>
      </c>
      <c r="F115" s="199">
        <f t="shared" si="5"/>
        <v>213.84331367406364</v>
      </c>
      <c r="G115" s="199">
        <f t="shared" si="6"/>
        <v>2342.8374895373786</v>
      </c>
      <c r="H115" s="199">
        <f t="shared" si="7"/>
        <v>2128.9941758633149</v>
      </c>
      <c r="I115" s="199">
        <f t="shared" si="8"/>
        <v>33511.558103147298</v>
      </c>
    </row>
    <row r="116" spans="3:9" x14ac:dyDescent="0.2">
      <c r="C116" s="45">
        <v>106</v>
      </c>
      <c r="D116" s="198">
        <v>48488</v>
      </c>
      <c r="E116" s="199">
        <f t="shared" si="9"/>
        <v>33511.558103147298</v>
      </c>
      <c r="F116" s="199">
        <f t="shared" si="5"/>
        <v>201.06934861888377</v>
      </c>
      <c r="G116" s="199">
        <f t="shared" si="6"/>
        <v>2342.8374895373786</v>
      </c>
      <c r="H116" s="199">
        <f t="shared" si="7"/>
        <v>2141.7681409184947</v>
      </c>
      <c r="I116" s="199">
        <f t="shared" si="8"/>
        <v>31369.789962228802</v>
      </c>
    </row>
    <row r="117" spans="3:9" x14ac:dyDescent="0.2">
      <c r="C117" s="45">
        <v>107</v>
      </c>
      <c r="D117" s="198">
        <v>48519</v>
      </c>
      <c r="E117" s="199">
        <f t="shared" si="9"/>
        <v>31369.789962228802</v>
      </c>
      <c r="F117" s="199">
        <f t="shared" si="5"/>
        <v>188.21873977337279</v>
      </c>
      <c r="G117" s="199">
        <f t="shared" si="6"/>
        <v>2342.8374895373786</v>
      </c>
      <c r="H117" s="199">
        <f t="shared" si="7"/>
        <v>2154.6187497640058</v>
      </c>
      <c r="I117" s="199">
        <f t="shared" si="8"/>
        <v>29215.171212464797</v>
      </c>
    </row>
    <row r="118" spans="3:9" x14ac:dyDescent="0.2">
      <c r="C118" s="45">
        <v>108</v>
      </c>
      <c r="D118" s="198">
        <v>48549</v>
      </c>
      <c r="E118" s="199">
        <f t="shared" si="9"/>
        <v>29215.171212464797</v>
      </c>
      <c r="F118" s="199">
        <f t="shared" si="5"/>
        <v>175.29102727478875</v>
      </c>
      <c r="G118" s="199">
        <f t="shared" si="6"/>
        <v>2342.8374895373786</v>
      </c>
      <c r="H118" s="199">
        <f t="shared" si="7"/>
        <v>2167.54646226259</v>
      </c>
      <c r="I118" s="199">
        <f t="shared" si="8"/>
        <v>27047.624750202209</v>
      </c>
    </row>
    <row r="119" spans="3:9" x14ac:dyDescent="0.2">
      <c r="C119" s="45">
        <v>109</v>
      </c>
      <c r="D119" s="198">
        <v>48580</v>
      </c>
      <c r="E119" s="199">
        <f t="shared" si="9"/>
        <v>27047.624750202209</v>
      </c>
      <c r="F119" s="199">
        <f t="shared" si="5"/>
        <v>162.28574850121322</v>
      </c>
      <c r="G119" s="199">
        <f t="shared" si="6"/>
        <v>2342.8374895373786</v>
      </c>
      <c r="H119" s="199">
        <f t="shared" si="7"/>
        <v>2180.5517410361654</v>
      </c>
      <c r="I119" s="199">
        <f t="shared" si="8"/>
        <v>24867.073009166044</v>
      </c>
    </row>
    <row r="120" spans="3:9" x14ac:dyDescent="0.2">
      <c r="C120" s="45">
        <v>110</v>
      </c>
      <c r="D120" s="198">
        <v>48611</v>
      </c>
      <c r="E120" s="199">
        <f t="shared" si="9"/>
        <v>24867.073009166044</v>
      </c>
      <c r="F120" s="199">
        <f t="shared" si="5"/>
        <v>149.20243805499624</v>
      </c>
      <c r="G120" s="199">
        <f t="shared" si="6"/>
        <v>2342.8374895373786</v>
      </c>
      <c r="H120" s="199">
        <f t="shared" si="7"/>
        <v>2193.6350514823826</v>
      </c>
      <c r="I120" s="199">
        <f t="shared" si="8"/>
        <v>22673.437957683662</v>
      </c>
    </row>
    <row r="121" spans="3:9" x14ac:dyDescent="0.2">
      <c r="C121" s="45">
        <v>111</v>
      </c>
      <c r="D121" s="198">
        <v>48639</v>
      </c>
      <c r="E121" s="199">
        <f t="shared" si="9"/>
        <v>22673.437957683662</v>
      </c>
      <c r="F121" s="199">
        <f t="shared" si="5"/>
        <v>136.04062774610196</v>
      </c>
      <c r="G121" s="199">
        <f t="shared" si="6"/>
        <v>2342.8374895373786</v>
      </c>
      <c r="H121" s="199">
        <f t="shared" si="7"/>
        <v>2206.7968617912766</v>
      </c>
      <c r="I121" s="199">
        <f t="shared" si="8"/>
        <v>20466.641095892384</v>
      </c>
    </row>
    <row r="122" spans="3:9" x14ac:dyDescent="0.2">
      <c r="C122" s="45">
        <v>112</v>
      </c>
      <c r="D122" s="198">
        <v>48670</v>
      </c>
      <c r="E122" s="199">
        <f t="shared" si="9"/>
        <v>20466.641095892384</v>
      </c>
      <c r="F122" s="199">
        <f t="shared" si="5"/>
        <v>122.79984657535429</v>
      </c>
      <c r="G122" s="199">
        <f t="shared" si="6"/>
        <v>2342.8374895373786</v>
      </c>
      <c r="H122" s="199">
        <f t="shared" si="7"/>
        <v>2220.0376429620242</v>
      </c>
      <c r="I122" s="199">
        <f t="shared" si="8"/>
        <v>18246.603452930362</v>
      </c>
    </row>
    <row r="123" spans="3:9" x14ac:dyDescent="0.2">
      <c r="C123" s="45">
        <v>113</v>
      </c>
      <c r="D123" s="198">
        <v>48700</v>
      </c>
      <c r="E123" s="199">
        <f t="shared" si="9"/>
        <v>18246.603452930362</v>
      </c>
      <c r="F123" s="199">
        <f t="shared" si="5"/>
        <v>109.47962071758215</v>
      </c>
      <c r="G123" s="199">
        <f t="shared" si="6"/>
        <v>2342.8374895373786</v>
      </c>
      <c r="H123" s="199">
        <f t="shared" si="7"/>
        <v>2233.3578688197963</v>
      </c>
      <c r="I123" s="199">
        <f t="shared" si="8"/>
        <v>16013.245584110566</v>
      </c>
    </row>
    <row r="124" spans="3:9" x14ac:dyDescent="0.2">
      <c r="C124" s="45">
        <v>114</v>
      </c>
      <c r="D124" s="198">
        <v>48731</v>
      </c>
      <c r="E124" s="199">
        <f t="shared" si="9"/>
        <v>16013.245584110566</v>
      </c>
      <c r="F124" s="199">
        <f t="shared" si="5"/>
        <v>96.079473504663383</v>
      </c>
      <c r="G124" s="199">
        <f t="shared" si="6"/>
        <v>2342.8374895373786</v>
      </c>
      <c r="H124" s="199">
        <f t="shared" si="7"/>
        <v>2246.7580160327152</v>
      </c>
      <c r="I124" s="199">
        <f t="shared" si="8"/>
        <v>13766.487568077851</v>
      </c>
    </row>
    <row r="125" spans="3:9" x14ac:dyDescent="0.2">
      <c r="C125" s="45">
        <v>115</v>
      </c>
      <c r="D125" s="198">
        <v>48761</v>
      </c>
      <c r="E125" s="199">
        <f t="shared" si="9"/>
        <v>13766.487568077851</v>
      </c>
      <c r="F125" s="199">
        <f t="shared" si="5"/>
        <v>82.598925408467096</v>
      </c>
      <c r="G125" s="199">
        <f t="shared" si="6"/>
        <v>2342.8374895373786</v>
      </c>
      <c r="H125" s="199">
        <f t="shared" si="7"/>
        <v>2260.2385641289115</v>
      </c>
      <c r="I125" s="199">
        <f t="shared" si="8"/>
        <v>11506.24900394894</v>
      </c>
    </row>
    <row r="126" spans="3:9" x14ac:dyDescent="0.2">
      <c r="C126" s="45">
        <v>116</v>
      </c>
      <c r="D126" s="198">
        <v>48792</v>
      </c>
      <c r="E126" s="199">
        <f t="shared" si="9"/>
        <v>11506.24900394894</v>
      </c>
      <c r="F126" s="199">
        <f t="shared" si="5"/>
        <v>69.03749402369364</v>
      </c>
      <c r="G126" s="199">
        <f t="shared" si="6"/>
        <v>2342.8374895373786</v>
      </c>
      <c r="H126" s="199">
        <f t="shared" si="7"/>
        <v>2273.7999955136847</v>
      </c>
      <c r="I126" s="199">
        <f t="shared" si="8"/>
        <v>9232.4490084352565</v>
      </c>
    </row>
    <row r="127" spans="3:9" x14ac:dyDescent="0.2">
      <c r="C127" s="45">
        <v>117</v>
      </c>
      <c r="D127" s="198">
        <v>48823</v>
      </c>
      <c r="E127" s="199">
        <f t="shared" si="9"/>
        <v>9232.4490084352565</v>
      </c>
      <c r="F127" s="199">
        <f t="shared" si="5"/>
        <v>55.394694050611534</v>
      </c>
      <c r="G127" s="199">
        <f t="shared" si="6"/>
        <v>2342.8374895373786</v>
      </c>
      <c r="H127" s="199">
        <f t="shared" si="7"/>
        <v>2287.442795486767</v>
      </c>
      <c r="I127" s="199">
        <f t="shared" si="8"/>
        <v>6945.0062129484904</v>
      </c>
    </row>
    <row r="128" spans="3:9" x14ac:dyDescent="0.2">
      <c r="C128" s="45">
        <v>118</v>
      </c>
      <c r="D128" s="198">
        <v>48853</v>
      </c>
      <c r="E128" s="199">
        <f t="shared" ref="E128:E130" si="10">I127</f>
        <v>6945.0062129484904</v>
      </c>
      <c r="F128" s="199">
        <f t="shared" si="5"/>
        <v>41.670037277690938</v>
      </c>
      <c r="G128" s="199">
        <f t="shared" si="6"/>
        <v>2342.8374895373786</v>
      </c>
      <c r="H128" s="199">
        <f t="shared" ref="H128:H130" si="11">G128-F128</f>
        <v>2301.1674522596877</v>
      </c>
      <c r="I128" s="199">
        <f t="shared" ref="I128:I130" si="12">E128+F128-G128</f>
        <v>4643.8387606888027</v>
      </c>
    </row>
    <row r="129" spans="3:9" x14ac:dyDescent="0.2">
      <c r="C129" s="45">
        <v>119</v>
      </c>
      <c r="D129" s="198">
        <v>48884</v>
      </c>
      <c r="E129" s="199">
        <f t="shared" si="10"/>
        <v>4643.8387606888027</v>
      </c>
      <c r="F129" s="199">
        <f t="shared" si="5"/>
        <v>27.863032564132812</v>
      </c>
      <c r="G129" s="199">
        <f t="shared" si="6"/>
        <v>2342.8374895373786</v>
      </c>
      <c r="H129" s="199">
        <f t="shared" si="11"/>
        <v>2314.9744569732457</v>
      </c>
      <c r="I129" s="199">
        <f t="shared" si="12"/>
        <v>2328.8643037155566</v>
      </c>
    </row>
    <row r="130" spans="3:9" x14ac:dyDescent="0.2">
      <c r="C130" s="45">
        <v>120</v>
      </c>
      <c r="D130" s="198">
        <v>48914</v>
      </c>
      <c r="E130" s="199">
        <f t="shared" si="10"/>
        <v>2328.8643037155566</v>
      </c>
      <c r="F130" s="199">
        <f t="shared" si="5"/>
        <v>13.973185822293338</v>
      </c>
      <c r="G130" s="199">
        <f t="shared" si="6"/>
        <v>2342.8374895373786</v>
      </c>
      <c r="H130" s="199">
        <f t="shared" si="11"/>
        <v>2328.864303715085</v>
      </c>
      <c r="I130" s="199">
        <f t="shared" si="12"/>
        <v>4.7157300286926329E-10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28"/>
  <sheetViews>
    <sheetView tabSelected="1" zoomScale="150" zoomScaleNormal="150" zoomScalePageLayoutView="150" workbookViewId="0">
      <selection activeCell="J36" sqref="J36"/>
    </sheetView>
  </sheetViews>
  <sheetFormatPr baseColWidth="10" defaultColWidth="8.83203125" defaultRowHeight="15" x14ac:dyDescent="0.2"/>
  <cols>
    <col min="2" max="2" width="11.33203125" customWidth="1"/>
    <col min="3" max="3" width="15.1640625" style="73" customWidth="1"/>
    <col min="4" max="4" width="21.5" style="22" customWidth="1"/>
    <col min="5" max="5" width="25.1640625" style="34" customWidth="1"/>
    <col min="6" max="6" width="27.5" style="34" customWidth="1"/>
    <col min="7" max="7" width="10.5" bestFit="1" customWidth="1"/>
  </cols>
  <sheetData>
    <row r="1" spans="2:7" ht="16" thickBot="1" x14ac:dyDescent="0.25"/>
    <row r="2" spans="2:7" x14ac:dyDescent="0.2">
      <c r="B2" s="32" t="s">
        <v>98</v>
      </c>
      <c r="C2" s="118" t="s">
        <v>44</v>
      </c>
      <c r="D2" s="63" t="s">
        <v>5</v>
      </c>
      <c r="E2" s="62">
        <f>'HW 2 Ans'!C210</f>
        <v>3.4653936702981679E-3</v>
      </c>
      <c r="F2" s="35"/>
      <c r="G2" s="23"/>
    </row>
    <row r="3" spans="2:7" x14ac:dyDescent="0.2">
      <c r="B3" s="24"/>
      <c r="D3" s="31" t="s">
        <v>3</v>
      </c>
      <c r="E3" s="48">
        <v>10200</v>
      </c>
      <c r="F3" s="38" t="s">
        <v>4</v>
      </c>
      <c r="G3" s="49">
        <f>E3*12</f>
        <v>122400</v>
      </c>
    </row>
    <row r="4" spans="2:7" ht="29" customHeight="1" thickBot="1" x14ac:dyDescent="0.25">
      <c r="B4" s="40" t="s">
        <v>19</v>
      </c>
      <c r="C4" s="109" t="s">
        <v>1</v>
      </c>
      <c r="D4" s="41" t="s">
        <v>50</v>
      </c>
      <c r="E4" s="42" t="s">
        <v>2</v>
      </c>
      <c r="F4" s="42" t="s">
        <v>0</v>
      </c>
      <c r="G4" s="25"/>
    </row>
    <row r="5" spans="2:7" x14ac:dyDescent="0.2">
      <c r="B5" s="26">
        <v>1</v>
      </c>
      <c r="C5" s="110">
        <f>$E$3</f>
        <v>10200</v>
      </c>
      <c r="D5" s="110">
        <f>C5*1/(1+$E$2)^B5</f>
        <v>10164.775052871773</v>
      </c>
      <c r="E5" s="36">
        <f t="shared" ref="E5:E36" si="0">D5/$D$127</f>
        <v>1.016477505287245E-2</v>
      </c>
      <c r="F5" s="36">
        <f>E5*B5</f>
        <v>1.016477505287245E-2</v>
      </c>
      <c r="G5" s="25"/>
    </row>
    <row r="6" spans="2:7" x14ac:dyDescent="0.2">
      <c r="B6" s="26">
        <v>2</v>
      </c>
      <c r="C6" s="110">
        <f t="shared" ref="C6:C69" si="1">$E$3</f>
        <v>10200</v>
      </c>
      <c r="D6" s="110">
        <f t="shared" ref="D6:D69" si="2">C6*1/(1+$E$2)^B6</f>
        <v>10129.671752498465</v>
      </c>
      <c r="E6" s="36">
        <f t="shared" si="0"/>
        <v>1.0129671752499139E-2</v>
      </c>
      <c r="F6" s="36">
        <f t="shared" ref="F6:F69" si="3">E6*B6</f>
        <v>2.0259343504998278E-2</v>
      </c>
      <c r="G6" s="25"/>
    </row>
    <row r="7" spans="2:7" x14ac:dyDescent="0.2">
      <c r="B7" s="26">
        <v>3</v>
      </c>
      <c r="C7" s="110">
        <f t="shared" si="1"/>
        <v>10200</v>
      </c>
      <c r="D7" s="110">
        <f t="shared" si="2"/>
        <v>10094.68967878199</v>
      </c>
      <c r="E7" s="36">
        <f t="shared" si="0"/>
        <v>1.0094689678782662E-2</v>
      </c>
      <c r="F7" s="36">
        <f t="shared" si="3"/>
        <v>3.0284069036347987E-2</v>
      </c>
      <c r="G7" s="25"/>
    </row>
    <row r="8" spans="2:7" x14ac:dyDescent="0.2">
      <c r="B8" s="26">
        <v>4</v>
      </c>
      <c r="C8" s="110">
        <f t="shared" si="1"/>
        <v>10200</v>
      </c>
      <c r="D8" s="110">
        <f t="shared" si="2"/>
        <v>10059.828413075033</v>
      </c>
      <c r="E8" s="36">
        <f t="shared" si="0"/>
        <v>1.0059828413075702E-2</v>
      </c>
      <c r="F8" s="36">
        <f t="shared" si="3"/>
        <v>4.0239313652302808E-2</v>
      </c>
      <c r="G8" s="25"/>
    </row>
    <row r="9" spans="2:7" x14ac:dyDescent="0.2">
      <c r="B9" s="26">
        <v>5</v>
      </c>
      <c r="C9" s="110">
        <f t="shared" si="1"/>
        <v>10200</v>
      </c>
      <c r="D9" s="110">
        <f t="shared" si="2"/>
        <v>10025.087538176052</v>
      </c>
      <c r="E9" s="36">
        <f t="shared" si="0"/>
        <v>1.002508753817672E-2</v>
      </c>
      <c r="F9" s="36">
        <f t="shared" si="3"/>
        <v>5.0125437690883602E-2</v>
      </c>
      <c r="G9" s="25"/>
    </row>
    <row r="10" spans="2:7" x14ac:dyDescent="0.2">
      <c r="B10" s="26">
        <v>6</v>
      </c>
      <c r="C10" s="110">
        <f t="shared" si="1"/>
        <v>10200</v>
      </c>
      <c r="D10" s="110">
        <f t="shared" si="2"/>
        <v>9990.4666383242766</v>
      </c>
      <c r="E10" s="36">
        <f t="shared" si="0"/>
        <v>9.9904666383249414E-3</v>
      </c>
      <c r="F10" s="36">
        <f t="shared" si="3"/>
        <v>5.9942799829949649E-2</v>
      </c>
      <c r="G10" s="25"/>
    </row>
    <row r="11" spans="2:7" x14ac:dyDescent="0.2">
      <c r="B11" s="26">
        <v>7</v>
      </c>
      <c r="C11" s="110">
        <f t="shared" si="1"/>
        <v>10200</v>
      </c>
      <c r="D11" s="110">
        <f t="shared" si="2"/>
        <v>9955.9652991947369</v>
      </c>
      <c r="E11" s="36">
        <f t="shared" si="0"/>
        <v>9.9559652991954E-3</v>
      </c>
      <c r="F11" s="36">
        <f t="shared" si="3"/>
        <v>6.9691757094367798E-2</v>
      </c>
      <c r="G11" s="25"/>
    </row>
    <row r="12" spans="2:7" x14ac:dyDescent="0.2">
      <c r="B12" s="26">
        <v>8</v>
      </c>
      <c r="C12" s="110">
        <f t="shared" si="1"/>
        <v>10200</v>
      </c>
      <c r="D12" s="110">
        <f t="shared" si="2"/>
        <v>9921.5831078933061</v>
      </c>
      <c r="E12" s="36">
        <f t="shared" si="0"/>
        <v>9.9215831078939675E-3</v>
      </c>
      <c r="F12" s="36">
        <f t="shared" si="3"/>
        <v>7.937266486315174E-2</v>
      </c>
      <c r="G12" s="25"/>
    </row>
    <row r="13" spans="2:7" x14ac:dyDescent="0.2">
      <c r="B13" s="26">
        <v>9</v>
      </c>
      <c r="C13" s="110">
        <f t="shared" si="1"/>
        <v>10200</v>
      </c>
      <c r="D13" s="110">
        <f t="shared" si="2"/>
        <v>9887.3196529517518</v>
      </c>
      <c r="E13" s="36">
        <f t="shared" si="0"/>
        <v>9.8873196529524095E-3</v>
      </c>
      <c r="F13" s="36">
        <f t="shared" si="3"/>
        <v>8.8985876876571682E-2</v>
      </c>
      <c r="G13" s="25"/>
    </row>
    <row r="14" spans="2:7" x14ac:dyDescent="0.2">
      <c r="B14" s="26">
        <v>10</v>
      </c>
      <c r="C14" s="110">
        <f t="shared" si="1"/>
        <v>10200</v>
      </c>
      <c r="D14" s="110">
        <f t="shared" si="2"/>
        <v>9853.1745243228197</v>
      </c>
      <c r="E14" s="36">
        <f t="shared" si="0"/>
        <v>9.8531745243234763E-3</v>
      </c>
      <c r="F14" s="36">
        <f t="shared" si="3"/>
        <v>9.853174524323477E-2</v>
      </c>
      <c r="G14" s="25"/>
    </row>
    <row r="15" spans="2:7" x14ac:dyDescent="0.2">
      <c r="B15" s="26">
        <v>11</v>
      </c>
      <c r="C15" s="110">
        <f t="shared" si="1"/>
        <v>10200</v>
      </c>
      <c r="D15" s="110">
        <f t="shared" si="2"/>
        <v>9819.1473133753225</v>
      </c>
      <c r="E15" s="36">
        <f t="shared" si="0"/>
        <v>9.8191473133759765E-3</v>
      </c>
      <c r="F15" s="36">
        <f t="shared" si="3"/>
        <v>0.10801062044713575</v>
      </c>
      <c r="G15" s="25"/>
    </row>
    <row r="16" spans="2:7" x14ac:dyDescent="0.2">
      <c r="B16" s="26">
        <v>12</v>
      </c>
      <c r="C16" s="110">
        <f t="shared" si="1"/>
        <v>10200</v>
      </c>
      <c r="D16" s="110">
        <f t="shared" si="2"/>
        <v>9785.237612889252</v>
      </c>
      <c r="E16" s="36">
        <f t="shared" si="0"/>
        <v>9.7852376128899042E-3</v>
      </c>
      <c r="F16" s="36">
        <f t="shared" si="3"/>
        <v>0.11742285135467885</v>
      </c>
      <c r="G16" s="25"/>
    </row>
    <row r="17" spans="2:7" x14ac:dyDescent="0.2">
      <c r="B17" s="26">
        <v>13</v>
      </c>
      <c r="C17" s="110">
        <f t="shared" si="1"/>
        <v>10200</v>
      </c>
      <c r="D17" s="110">
        <f t="shared" si="2"/>
        <v>9751.4450170509026</v>
      </c>
      <c r="E17" s="36">
        <f t="shared" si="0"/>
        <v>9.7514450170515521E-3</v>
      </c>
      <c r="F17" s="36">
        <f t="shared" si="3"/>
        <v>0.12676878522167018</v>
      </c>
      <c r="G17" s="25"/>
    </row>
    <row r="18" spans="2:7" x14ac:dyDescent="0.2">
      <c r="B18" s="26">
        <v>14</v>
      </c>
      <c r="C18" s="110">
        <f t="shared" si="1"/>
        <v>10200</v>
      </c>
      <c r="D18" s="110">
        <f t="shared" si="2"/>
        <v>9717.7691214480146</v>
      </c>
      <c r="E18" s="36">
        <f t="shared" si="0"/>
        <v>9.7177691214486613E-3</v>
      </c>
      <c r="F18" s="36">
        <f t="shared" si="3"/>
        <v>0.13604876770028126</v>
      </c>
      <c r="G18" s="25"/>
    </row>
    <row r="19" spans="2:7" x14ac:dyDescent="0.2">
      <c r="B19" s="26">
        <v>15</v>
      </c>
      <c r="C19" s="110">
        <f t="shared" si="1"/>
        <v>10200</v>
      </c>
      <c r="D19" s="110">
        <f t="shared" si="2"/>
        <v>9684.2095230649429</v>
      </c>
      <c r="E19" s="36">
        <f t="shared" si="0"/>
        <v>9.6842095230655883E-3</v>
      </c>
      <c r="F19" s="36">
        <f t="shared" si="3"/>
        <v>0.14526314284598382</v>
      </c>
      <c r="G19" s="25"/>
    </row>
    <row r="20" spans="2:7" x14ac:dyDescent="0.2">
      <c r="B20" s="26">
        <v>16</v>
      </c>
      <c r="C20" s="110">
        <f t="shared" si="1"/>
        <v>10200</v>
      </c>
      <c r="D20" s="110">
        <f t="shared" si="2"/>
        <v>9650.7658202778221</v>
      </c>
      <c r="E20" s="36">
        <f t="shared" si="0"/>
        <v>9.6507658202784653E-3</v>
      </c>
      <c r="F20" s="36">
        <f t="shared" si="3"/>
        <v>0.15441225312445545</v>
      </c>
      <c r="G20" s="25"/>
    </row>
    <row r="21" spans="2:7" x14ac:dyDescent="0.2">
      <c r="B21" s="26">
        <v>17</v>
      </c>
      <c r="C21" s="110">
        <f t="shared" si="1"/>
        <v>10200</v>
      </c>
      <c r="D21" s="110">
        <f t="shared" si="2"/>
        <v>9617.4376128497661</v>
      </c>
      <c r="E21" s="36">
        <f t="shared" si="0"/>
        <v>9.6174376128504071E-3</v>
      </c>
      <c r="F21" s="36">
        <f t="shared" si="3"/>
        <v>0.16349643941845693</v>
      </c>
      <c r="G21" s="25"/>
    </row>
    <row r="22" spans="2:7" x14ac:dyDescent="0.2">
      <c r="B22" s="26">
        <v>18</v>
      </c>
      <c r="C22" s="110">
        <f t="shared" si="1"/>
        <v>10200</v>
      </c>
      <c r="D22" s="110">
        <f t="shared" si="2"/>
        <v>9584.2245019260718</v>
      </c>
      <c r="E22" s="36">
        <f t="shared" si="0"/>
        <v>9.5842245019267108E-3</v>
      </c>
      <c r="F22" s="36">
        <f t="shared" si="3"/>
        <v>0.17251604103468079</v>
      </c>
      <c r="G22" s="25"/>
    </row>
    <row r="23" spans="2:7" x14ac:dyDescent="0.2">
      <c r="B23" s="26">
        <v>19</v>
      </c>
      <c r="C23" s="110">
        <f t="shared" si="1"/>
        <v>10200</v>
      </c>
      <c r="D23" s="110">
        <f t="shared" si="2"/>
        <v>9551.1260900294637</v>
      </c>
      <c r="E23" s="36">
        <f t="shared" si="0"/>
        <v>9.5511260900300998E-3</v>
      </c>
      <c r="F23" s="36">
        <f t="shared" si="3"/>
        <v>0.18147139571057189</v>
      </c>
      <c r="G23" s="25"/>
    </row>
    <row r="24" spans="2:7" x14ac:dyDescent="0.2">
      <c r="B24" s="26">
        <v>20</v>
      </c>
      <c r="C24" s="110">
        <f t="shared" si="1"/>
        <v>10200</v>
      </c>
      <c r="D24" s="110">
        <f t="shared" si="2"/>
        <v>9518.1419810553143</v>
      </c>
      <c r="E24" s="36">
        <f t="shared" si="0"/>
        <v>9.5181419810559473E-3</v>
      </c>
      <c r="F24" s="36">
        <f t="shared" si="3"/>
        <v>0.19036283962111894</v>
      </c>
      <c r="G24" s="25"/>
    </row>
    <row r="25" spans="2:7" x14ac:dyDescent="0.2">
      <c r="B25" s="26">
        <v>21</v>
      </c>
      <c r="C25" s="110">
        <f t="shared" si="1"/>
        <v>10200</v>
      </c>
      <c r="D25" s="110">
        <f t="shared" si="2"/>
        <v>9485.2717802669213</v>
      </c>
      <c r="E25" s="36">
        <f t="shared" si="0"/>
        <v>9.4852717802675537E-3</v>
      </c>
      <c r="F25" s="36">
        <f t="shared" si="3"/>
        <v>0.19919070738561861</v>
      </c>
      <c r="G25" s="25"/>
    </row>
    <row r="26" spans="2:7" x14ac:dyDescent="0.2">
      <c r="B26" s="26">
        <v>22</v>
      </c>
      <c r="C26" s="110">
        <f t="shared" si="1"/>
        <v>10200</v>
      </c>
      <c r="D26" s="110">
        <f t="shared" si="2"/>
        <v>9452.5150942907658</v>
      </c>
      <c r="E26" s="36">
        <f t="shared" si="0"/>
        <v>9.4525150942913957E-3</v>
      </c>
      <c r="F26" s="36">
        <f t="shared" si="3"/>
        <v>0.20795533207441069</v>
      </c>
      <c r="G26" s="25"/>
    </row>
    <row r="27" spans="2:7" x14ac:dyDescent="0.2">
      <c r="B27" s="26">
        <v>23</v>
      </c>
      <c r="C27" s="110">
        <f t="shared" si="1"/>
        <v>10200</v>
      </c>
      <c r="D27" s="110">
        <f t="shared" si="2"/>
        <v>9419.8715311118267</v>
      </c>
      <c r="E27" s="36">
        <f t="shared" si="0"/>
        <v>9.4198715311124542E-3</v>
      </c>
      <c r="F27" s="36">
        <f t="shared" si="3"/>
        <v>0.21665704521558646</v>
      </c>
      <c r="G27" s="25"/>
    </row>
    <row r="28" spans="2:7" x14ac:dyDescent="0.2">
      <c r="B28" s="26">
        <v>24</v>
      </c>
      <c r="C28" s="110">
        <f t="shared" si="1"/>
        <v>10200</v>
      </c>
      <c r="D28" s="110">
        <f t="shared" si="2"/>
        <v>9387.3407000688749</v>
      </c>
      <c r="E28" s="36">
        <f t="shared" si="0"/>
        <v>9.3873407000694999E-3</v>
      </c>
      <c r="F28" s="36">
        <f t="shared" si="3"/>
        <v>0.225296176801668</v>
      </c>
      <c r="G28" s="25"/>
    </row>
    <row r="29" spans="2:7" x14ac:dyDescent="0.2">
      <c r="B29" s="26">
        <v>25</v>
      </c>
      <c r="C29" s="110">
        <f t="shared" si="1"/>
        <v>10200</v>
      </c>
      <c r="D29" s="110">
        <f t="shared" si="2"/>
        <v>9354.9222118497983</v>
      </c>
      <c r="E29" s="36">
        <f t="shared" si="0"/>
        <v>9.3549222118504208E-3</v>
      </c>
      <c r="F29" s="36">
        <f t="shared" si="3"/>
        <v>0.23387305529626051</v>
      </c>
      <c r="G29" s="25"/>
    </row>
    <row r="30" spans="2:7" x14ac:dyDescent="0.2">
      <c r="B30" s="26">
        <v>26</v>
      </c>
      <c r="C30" s="110">
        <f t="shared" si="1"/>
        <v>10200</v>
      </c>
      <c r="D30" s="110">
        <f t="shared" si="2"/>
        <v>9322.6156784869472</v>
      </c>
      <c r="E30" s="36">
        <f t="shared" si="0"/>
        <v>9.3226156784875676E-3</v>
      </c>
      <c r="F30" s="36">
        <f t="shared" si="3"/>
        <v>0.24238800764067675</v>
      </c>
      <c r="G30" s="25"/>
    </row>
    <row r="31" spans="2:7" x14ac:dyDescent="0.2">
      <c r="B31" s="26">
        <v>27</v>
      </c>
      <c r="C31" s="110">
        <f t="shared" si="1"/>
        <v>10200</v>
      </c>
      <c r="D31" s="110">
        <f t="shared" si="2"/>
        <v>9290.4207133524869</v>
      </c>
      <c r="E31" s="36">
        <f t="shared" si="0"/>
        <v>9.2904207133531064E-3</v>
      </c>
      <c r="F31" s="36">
        <f t="shared" si="3"/>
        <v>0.25084135926053386</v>
      </c>
      <c r="G31" s="25"/>
    </row>
    <row r="32" spans="2:7" x14ac:dyDescent="0.2">
      <c r="B32" s="26">
        <v>28</v>
      </c>
      <c r="C32" s="110">
        <f t="shared" si="1"/>
        <v>10200</v>
      </c>
      <c r="D32" s="110">
        <f t="shared" si="2"/>
        <v>9258.336931153779</v>
      </c>
      <c r="E32" s="36">
        <f t="shared" si="0"/>
        <v>9.2583369311543956E-3</v>
      </c>
      <c r="F32" s="36">
        <f t="shared" si="3"/>
        <v>0.25923343407232308</v>
      </c>
      <c r="G32" s="25"/>
    </row>
    <row r="33" spans="2:7" x14ac:dyDescent="0.2">
      <c r="B33" s="26">
        <v>29</v>
      </c>
      <c r="C33" s="110">
        <f t="shared" si="1"/>
        <v>10200</v>
      </c>
      <c r="D33" s="110">
        <f t="shared" si="2"/>
        <v>9226.3639479287576</v>
      </c>
      <c r="E33" s="36">
        <f t="shared" si="0"/>
        <v>9.2263639479293717E-3</v>
      </c>
      <c r="F33" s="36">
        <f t="shared" si="3"/>
        <v>0.26756455448995176</v>
      </c>
      <c r="G33" s="25"/>
    </row>
    <row r="34" spans="2:7" x14ac:dyDescent="0.2">
      <c r="B34" s="26">
        <v>30</v>
      </c>
      <c r="C34" s="110">
        <f t="shared" si="1"/>
        <v>10200</v>
      </c>
      <c r="D34" s="110">
        <f t="shared" si="2"/>
        <v>9194.5013810413493</v>
      </c>
      <c r="E34" s="36">
        <f t="shared" si="0"/>
        <v>9.1945013810419609E-3</v>
      </c>
      <c r="F34" s="36">
        <f t="shared" si="3"/>
        <v>0.27583504143125881</v>
      </c>
      <c r="G34" s="25"/>
    </row>
    <row r="35" spans="2:7" x14ac:dyDescent="0.2">
      <c r="B35" s="26">
        <v>31</v>
      </c>
      <c r="C35" s="110">
        <f t="shared" si="1"/>
        <v>10200</v>
      </c>
      <c r="D35" s="110">
        <f t="shared" si="2"/>
        <v>9162.7488491768781</v>
      </c>
      <c r="E35" s="36">
        <f t="shared" si="0"/>
        <v>9.1627488491774888E-3</v>
      </c>
      <c r="F35" s="36">
        <f t="shared" si="3"/>
        <v>0.28404521432450214</v>
      </c>
      <c r="G35" s="25"/>
    </row>
    <row r="36" spans="2:7" x14ac:dyDescent="0.2">
      <c r="B36" s="26">
        <v>32</v>
      </c>
      <c r="C36" s="110">
        <f t="shared" si="1"/>
        <v>10200</v>
      </c>
      <c r="D36" s="110">
        <f t="shared" si="2"/>
        <v>9131.1059723375165</v>
      </c>
      <c r="E36" s="36">
        <f t="shared" si="0"/>
        <v>9.1311059723381237E-3</v>
      </c>
      <c r="F36" s="36">
        <f t="shared" si="3"/>
        <v>0.29219539111481996</v>
      </c>
      <c r="G36" s="25"/>
    </row>
    <row r="37" spans="2:7" x14ac:dyDescent="0.2">
      <c r="B37" s="26">
        <v>33</v>
      </c>
      <c r="C37" s="110">
        <f t="shared" si="1"/>
        <v>10200</v>
      </c>
      <c r="D37" s="110">
        <f t="shared" si="2"/>
        <v>9099.5723718377285</v>
      </c>
      <c r="E37" s="36">
        <f t="shared" ref="E37:E68" si="4">D37/$D$127</f>
        <v>9.0995723718383346E-3</v>
      </c>
      <c r="F37" s="36">
        <f t="shared" si="3"/>
        <v>0.30028588827066505</v>
      </c>
      <c r="G37" s="25"/>
    </row>
    <row r="38" spans="2:7" x14ac:dyDescent="0.2">
      <c r="B38" s="26">
        <v>34</v>
      </c>
      <c r="C38" s="110">
        <f t="shared" si="1"/>
        <v>10200</v>
      </c>
      <c r="D38" s="110">
        <f t="shared" si="2"/>
        <v>9068.1476702997425</v>
      </c>
      <c r="E38" s="36">
        <f t="shared" si="4"/>
        <v>9.0681476703003468E-3</v>
      </c>
      <c r="F38" s="36">
        <f t="shared" si="3"/>
        <v>0.30831702079021178</v>
      </c>
      <c r="G38" s="25"/>
    </row>
    <row r="39" spans="2:7" x14ac:dyDescent="0.2">
      <c r="B39" s="26">
        <v>35</v>
      </c>
      <c r="C39" s="110">
        <f t="shared" si="1"/>
        <v>10200</v>
      </c>
      <c r="D39" s="110">
        <f t="shared" si="2"/>
        <v>9036.8314916490308</v>
      </c>
      <c r="E39" s="36">
        <f t="shared" si="4"/>
        <v>9.0368314916496328E-3</v>
      </c>
      <c r="F39" s="36">
        <f t="shared" si="3"/>
        <v>0.31628910220773715</v>
      </c>
      <c r="G39" s="25"/>
    </row>
    <row r="40" spans="2:7" x14ac:dyDescent="0.2">
      <c r="B40" s="26">
        <v>36</v>
      </c>
      <c r="C40" s="110">
        <f t="shared" si="1"/>
        <v>10200</v>
      </c>
      <c r="D40" s="110">
        <f t="shared" si="2"/>
        <v>9005.6234611098098</v>
      </c>
      <c r="E40" s="36">
        <f t="shared" si="4"/>
        <v>9.0056234611104093E-3</v>
      </c>
      <c r="F40" s="36">
        <f t="shared" si="3"/>
        <v>0.32420244459997472</v>
      </c>
      <c r="G40" s="25"/>
    </row>
    <row r="41" spans="2:7" x14ac:dyDescent="0.2">
      <c r="B41" s="26">
        <v>37</v>
      </c>
      <c r="C41" s="110">
        <f t="shared" si="1"/>
        <v>10200</v>
      </c>
      <c r="D41" s="110">
        <f t="shared" si="2"/>
        <v>8974.5232052005649</v>
      </c>
      <c r="E41" s="36">
        <f t="shared" si="4"/>
        <v>8.9745232052011632E-3</v>
      </c>
      <c r="F41" s="36">
        <f t="shared" si="3"/>
        <v>0.33205735859244306</v>
      </c>
      <c r="G41" s="25"/>
    </row>
    <row r="42" spans="2:7" x14ac:dyDescent="0.2">
      <c r="B42" s="26">
        <v>38</v>
      </c>
      <c r="C42" s="110">
        <f t="shared" si="1"/>
        <v>10200</v>
      </c>
      <c r="D42" s="110">
        <f t="shared" si="2"/>
        <v>8943.5303517295615</v>
      </c>
      <c r="E42" s="36">
        <f t="shared" si="4"/>
        <v>8.943530351730157E-3</v>
      </c>
      <c r="F42" s="36">
        <f t="shared" si="3"/>
        <v>0.33985415336574598</v>
      </c>
      <c r="G42" s="25"/>
    </row>
    <row r="43" spans="2:7" x14ac:dyDescent="0.2">
      <c r="B43" s="26">
        <v>39</v>
      </c>
      <c r="C43" s="110">
        <f t="shared" si="1"/>
        <v>10200</v>
      </c>
      <c r="D43" s="110">
        <f t="shared" si="2"/>
        <v>8912.6445297904065</v>
      </c>
      <c r="E43" s="36">
        <f t="shared" si="4"/>
        <v>8.9126445297910001E-3</v>
      </c>
      <c r="F43" s="36">
        <f t="shared" si="3"/>
        <v>0.34759313666184899</v>
      </c>
      <c r="G43" s="25"/>
    </row>
    <row r="44" spans="2:7" x14ac:dyDescent="0.2">
      <c r="B44" s="26">
        <v>40</v>
      </c>
      <c r="C44" s="110">
        <f t="shared" si="1"/>
        <v>10200</v>
      </c>
      <c r="D44" s="110">
        <f t="shared" si="2"/>
        <v>8881.8653697576065</v>
      </c>
      <c r="E44" s="36">
        <f t="shared" si="4"/>
        <v>8.8818653697581972E-3</v>
      </c>
      <c r="F44" s="36">
        <f t="shared" si="3"/>
        <v>0.3552746147903279</v>
      </c>
      <c r="G44" s="25"/>
    </row>
    <row r="45" spans="2:7" x14ac:dyDescent="0.2">
      <c r="B45" s="26">
        <v>41</v>
      </c>
      <c r="C45" s="110">
        <f t="shared" si="1"/>
        <v>10200</v>
      </c>
      <c r="D45" s="110">
        <f t="shared" si="2"/>
        <v>8851.1925032821418</v>
      </c>
      <c r="E45" s="36">
        <f t="shared" si="4"/>
        <v>8.8511925032827305E-3</v>
      </c>
      <c r="F45" s="36">
        <f t="shared" si="3"/>
        <v>0.36289889263459196</v>
      </c>
      <c r="G45" s="25"/>
    </row>
    <row r="46" spans="2:7" x14ac:dyDescent="0.2">
      <c r="B46" s="26">
        <v>42</v>
      </c>
      <c r="C46" s="110">
        <f t="shared" si="1"/>
        <v>10200</v>
      </c>
      <c r="D46" s="110">
        <f t="shared" si="2"/>
        <v>8820.6255632870561</v>
      </c>
      <c r="E46" s="36">
        <f t="shared" si="4"/>
        <v>8.8206255632876443E-3</v>
      </c>
      <c r="F46" s="36">
        <f t="shared" si="3"/>
        <v>0.37046627365808105</v>
      </c>
      <c r="G46" s="25"/>
    </row>
    <row r="47" spans="2:7" x14ac:dyDescent="0.2">
      <c r="B47" s="26">
        <v>43</v>
      </c>
      <c r="C47" s="110">
        <f t="shared" si="1"/>
        <v>10200</v>
      </c>
      <c r="D47" s="110">
        <f t="shared" si="2"/>
        <v>8790.1641839630665</v>
      </c>
      <c r="E47" s="36">
        <f t="shared" si="4"/>
        <v>8.7901641839636512E-3</v>
      </c>
      <c r="F47" s="36">
        <f t="shared" si="3"/>
        <v>0.37797705991043701</v>
      </c>
      <c r="G47" s="25"/>
    </row>
    <row r="48" spans="2:7" x14ac:dyDescent="0.2">
      <c r="B48" s="26">
        <v>44</v>
      </c>
      <c r="C48" s="110">
        <f t="shared" si="1"/>
        <v>10200</v>
      </c>
      <c r="D48" s="110">
        <f t="shared" si="2"/>
        <v>8759.8080007641911</v>
      </c>
      <c r="E48" s="36">
        <f t="shared" si="4"/>
        <v>8.7598080007647745E-3</v>
      </c>
      <c r="F48" s="36">
        <f t="shared" si="3"/>
        <v>0.38543155203365009</v>
      </c>
      <c r="G48" s="25"/>
    </row>
    <row r="49" spans="2:7" x14ac:dyDescent="0.2">
      <c r="B49" s="26">
        <v>45</v>
      </c>
      <c r="C49" s="110">
        <f t="shared" si="1"/>
        <v>10200</v>
      </c>
      <c r="D49" s="110">
        <f t="shared" si="2"/>
        <v>8729.5566504033741</v>
      </c>
      <c r="E49" s="36">
        <f t="shared" si="4"/>
        <v>8.7295566504039558E-3</v>
      </c>
      <c r="F49" s="36">
        <f t="shared" si="3"/>
        <v>0.39283004926817799</v>
      </c>
      <c r="G49" s="25"/>
    </row>
    <row r="50" spans="2:7" x14ac:dyDescent="0.2">
      <c r="B50" s="26">
        <v>46</v>
      </c>
      <c r="C50" s="110">
        <f t="shared" si="1"/>
        <v>10200</v>
      </c>
      <c r="D50" s="110">
        <f t="shared" si="2"/>
        <v>8699.409770848144</v>
      </c>
      <c r="E50" s="36">
        <f t="shared" si="4"/>
        <v>8.6994097708487234E-3</v>
      </c>
      <c r="F50" s="36">
        <f t="shared" si="3"/>
        <v>0.4001728494590413</v>
      </c>
      <c r="G50" s="25"/>
    </row>
    <row r="51" spans="2:7" x14ac:dyDescent="0.2">
      <c r="B51" s="26">
        <v>47</v>
      </c>
      <c r="C51" s="110">
        <f t="shared" si="1"/>
        <v>10200</v>
      </c>
      <c r="D51" s="110">
        <f t="shared" si="2"/>
        <v>8669.36700131629</v>
      </c>
      <c r="E51" s="36">
        <f t="shared" si="4"/>
        <v>8.6693670013168675E-3</v>
      </c>
      <c r="F51" s="36">
        <f t="shared" si="3"/>
        <v>0.40746024906189277</v>
      </c>
      <c r="G51" s="25"/>
    </row>
    <row r="52" spans="2:7" x14ac:dyDescent="0.2">
      <c r="B52" s="26">
        <v>48</v>
      </c>
      <c r="C52" s="110">
        <f t="shared" si="1"/>
        <v>10200</v>
      </c>
      <c r="D52" s="110">
        <f t="shared" si="2"/>
        <v>8639.4279822715289</v>
      </c>
      <c r="E52" s="36">
        <f t="shared" si="4"/>
        <v>8.6394279822721038E-3</v>
      </c>
      <c r="F52" s="36">
        <f t="shared" si="3"/>
        <v>0.41469254314906101</v>
      </c>
      <c r="G52" s="25"/>
    </row>
    <row r="53" spans="2:7" x14ac:dyDescent="0.2">
      <c r="B53" s="26">
        <v>49</v>
      </c>
      <c r="C53" s="110">
        <f t="shared" si="1"/>
        <v>10200</v>
      </c>
      <c r="D53" s="110">
        <f t="shared" si="2"/>
        <v>8609.5923554192123</v>
      </c>
      <c r="E53" s="36">
        <f t="shared" si="4"/>
        <v>8.6095923554197849E-3</v>
      </c>
      <c r="F53" s="36">
        <f t="shared" si="3"/>
        <v>0.42187002541556945</v>
      </c>
      <c r="G53" s="25"/>
    </row>
    <row r="54" spans="2:7" x14ac:dyDescent="0.2">
      <c r="B54" s="26">
        <v>50</v>
      </c>
      <c r="C54" s="110">
        <f t="shared" si="1"/>
        <v>10200</v>
      </c>
      <c r="D54" s="110">
        <f t="shared" si="2"/>
        <v>8579.8597637020321</v>
      </c>
      <c r="E54" s="36">
        <f t="shared" si="4"/>
        <v>8.5798597637026033E-3</v>
      </c>
      <c r="F54" s="36">
        <f t="shared" si="3"/>
        <v>0.42899298818513015</v>
      </c>
      <c r="G54" s="25"/>
    </row>
    <row r="55" spans="2:7" x14ac:dyDescent="0.2">
      <c r="B55" s="26">
        <v>51</v>
      </c>
      <c r="C55" s="110">
        <f t="shared" si="1"/>
        <v>10200</v>
      </c>
      <c r="D55" s="110">
        <f t="shared" si="2"/>
        <v>8550.2298512957568</v>
      </c>
      <c r="E55" s="36">
        <f t="shared" si="4"/>
        <v>8.5502298512963263E-3</v>
      </c>
      <c r="F55" s="36">
        <f t="shared" si="3"/>
        <v>0.43606172241611263</v>
      </c>
      <c r="G55" s="25"/>
    </row>
    <row r="56" spans="2:7" x14ac:dyDescent="0.2">
      <c r="B56" s="26">
        <v>52</v>
      </c>
      <c r="C56" s="110">
        <f t="shared" si="1"/>
        <v>10200</v>
      </c>
      <c r="D56" s="110">
        <f t="shared" si="2"/>
        <v>8520.7022636049624</v>
      </c>
      <c r="E56" s="36">
        <f t="shared" si="4"/>
        <v>8.5207022636055296E-3</v>
      </c>
      <c r="F56" s="36">
        <f t="shared" si="3"/>
        <v>0.44307651770748752</v>
      </c>
      <c r="G56" s="25"/>
    </row>
    <row r="57" spans="2:7" x14ac:dyDescent="0.2">
      <c r="B57" s="26">
        <v>53</v>
      </c>
      <c r="C57" s="110">
        <f t="shared" si="1"/>
        <v>10200</v>
      </c>
      <c r="D57" s="110">
        <f t="shared" si="2"/>
        <v>8491.2766472588028</v>
      </c>
      <c r="E57" s="36">
        <f t="shared" si="4"/>
        <v>8.4912766472593684E-3</v>
      </c>
      <c r="F57" s="36">
        <f t="shared" si="3"/>
        <v>0.45003766230474651</v>
      </c>
      <c r="G57" s="25"/>
    </row>
    <row r="58" spans="2:7" x14ac:dyDescent="0.2">
      <c r="B58" s="26">
        <v>54</v>
      </c>
      <c r="C58" s="110">
        <f t="shared" si="1"/>
        <v>10200</v>
      </c>
      <c r="D58" s="110">
        <f t="shared" si="2"/>
        <v>8461.9526501067576</v>
      </c>
      <c r="E58" s="36">
        <f t="shared" si="4"/>
        <v>8.4619526501073204E-3</v>
      </c>
      <c r="F58" s="36">
        <f t="shared" si="3"/>
        <v>0.45694544310579532</v>
      </c>
      <c r="G58" s="25"/>
    </row>
    <row r="59" spans="2:7" x14ac:dyDescent="0.2">
      <c r="B59" s="26">
        <v>55</v>
      </c>
      <c r="C59" s="110">
        <f t="shared" si="1"/>
        <v>10200</v>
      </c>
      <c r="D59" s="110">
        <f t="shared" si="2"/>
        <v>8432.7299212144462</v>
      </c>
      <c r="E59" s="36">
        <f t="shared" si="4"/>
        <v>8.432729921215007E-3</v>
      </c>
      <c r="F59" s="36">
        <f t="shared" si="3"/>
        <v>0.46380014566682537</v>
      </c>
      <c r="G59" s="25"/>
    </row>
    <row r="60" spans="2:7" x14ac:dyDescent="0.2">
      <c r="B60" s="26">
        <v>56</v>
      </c>
      <c r="C60" s="110">
        <f t="shared" si="1"/>
        <v>10200</v>
      </c>
      <c r="D60" s="110">
        <f t="shared" si="2"/>
        <v>8403.6081108594062</v>
      </c>
      <c r="E60" s="36">
        <f t="shared" si="4"/>
        <v>8.4036081108599652E-3</v>
      </c>
      <c r="F60" s="36">
        <f t="shared" si="3"/>
        <v>0.47060205420815804</v>
      </c>
      <c r="G60" s="25"/>
    </row>
    <row r="61" spans="2:7" x14ac:dyDescent="0.2">
      <c r="B61" s="26">
        <v>57</v>
      </c>
      <c r="C61" s="110">
        <f t="shared" si="1"/>
        <v>10200</v>
      </c>
      <c r="D61" s="110">
        <f t="shared" si="2"/>
        <v>8374.5868705269186</v>
      </c>
      <c r="E61" s="36">
        <f t="shared" si="4"/>
        <v>8.3745868705274763E-3</v>
      </c>
      <c r="F61" s="36">
        <f t="shared" si="3"/>
        <v>0.47735145162006615</v>
      </c>
      <c r="G61" s="25"/>
    </row>
    <row r="62" spans="2:7" x14ac:dyDescent="0.2">
      <c r="B62" s="26">
        <v>58</v>
      </c>
      <c r="C62" s="110">
        <f t="shared" si="1"/>
        <v>10200</v>
      </c>
      <c r="D62" s="110">
        <f t="shared" si="2"/>
        <v>8345.665852905835</v>
      </c>
      <c r="E62" s="36">
        <f t="shared" si="4"/>
        <v>8.34566585290639E-3</v>
      </c>
      <c r="F62" s="36">
        <f t="shared" si="3"/>
        <v>0.48404861946857064</v>
      </c>
      <c r="G62" s="25"/>
    </row>
    <row r="63" spans="2:7" x14ac:dyDescent="0.2">
      <c r="B63" s="26">
        <v>59</v>
      </c>
      <c r="C63" s="110">
        <f t="shared" si="1"/>
        <v>10200</v>
      </c>
      <c r="D63" s="110">
        <f t="shared" si="2"/>
        <v>8316.8447118844178</v>
      </c>
      <c r="E63" s="36">
        <f t="shared" si="4"/>
        <v>8.3168447118849714E-3</v>
      </c>
      <c r="F63" s="36">
        <f t="shared" si="3"/>
        <v>0.4906938380012133</v>
      </c>
      <c r="G63" s="25"/>
    </row>
    <row r="64" spans="2:7" x14ac:dyDescent="0.2">
      <c r="B64" s="26">
        <v>60</v>
      </c>
      <c r="C64" s="110">
        <f t="shared" si="1"/>
        <v>10200</v>
      </c>
      <c r="D64" s="110">
        <f t="shared" si="2"/>
        <v>8288.1231025462021</v>
      </c>
      <c r="E64" s="36">
        <f t="shared" si="4"/>
        <v>8.2881231025467537E-3</v>
      </c>
      <c r="F64" s="36">
        <f t="shared" si="3"/>
        <v>0.49728738615280521</v>
      </c>
      <c r="G64" s="25"/>
    </row>
    <row r="65" spans="2:7" x14ac:dyDescent="0.2">
      <c r="B65" s="26">
        <v>61</v>
      </c>
      <c r="C65" s="110">
        <f t="shared" si="1"/>
        <v>10200</v>
      </c>
      <c r="D65" s="110">
        <f t="shared" si="2"/>
        <v>8259.5006811658659</v>
      </c>
      <c r="E65" s="36">
        <f t="shared" si="4"/>
        <v>8.2595006811664162E-3</v>
      </c>
      <c r="F65" s="36">
        <f t="shared" si="3"/>
        <v>0.50382954155115134</v>
      </c>
      <c r="G65" s="25"/>
    </row>
    <row r="66" spans="2:7" x14ac:dyDescent="0.2">
      <c r="B66" s="26">
        <v>62</v>
      </c>
      <c r="C66" s="110">
        <f t="shared" si="1"/>
        <v>10200</v>
      </c>
      <c r="D66" s="110">
        <f t="shared" si="2"/>
        <v>8230.9771052051183</v>
      </c>
      <c r="E66" s="36">
        <f t="shared" si="4"/>
        <v>8.2309771052056658E-3</v>
      </c>
      <c r="F66" s="36">
        <f t="shared" si="3"/>
        <v>0.51032058052275131</v>
      </c>
      <c r="G66" s="25"/>
    </row>
    <row r="67" spans="2:7" x14ac:dyDescent="0.2">
      <c r="B67" s="26">
        <v>63</v>
      </c>
      <c r="C67" s="110">
        <f t="shared" si="1"/>
        <v>10200</v>
      </c>
      <c r="D67" s="110">
        <f t="shared" si="2"/>
        <v>8202.5520333085988</v>
      </c>
      <c r="E67" s="36">
        <f t="shared" si="4"/>
        <v>8.2025520333091455E-3</v>
      </c>
      <c r="F67" s="36">
        <f t="shared" si="3"/>
        <v>0.5167607780984762</v>
      </c>
      <c r="G67" s="25"/>
    </row>
    <row r="68" spans="2:7" x14ac:dyDescent="0.2">
      <c r="B68" s="26">
        <v>64</v>
      </c>
      <c r="C68" s="110">
        <f t="shared" si="1"/>
        <v>10200</v>
      </c>
      <c r="D68" s="110">
        <f t="shared" si="2"/>
        <v>8174.2251252997903</v>
      </c>
      <c r="E68" s="36">
        <f t="shared" si="4"/>
        <v>8.1742251253003346E-3</v>
      </c>
      <c r="F68" s="36">
        <f t="shared" si="3"/>
        <v>0.52315040801922141</v>
      </c>
      <c r="G68" s="25"/>
    </row>
    <row r="69" spans="2:7" x14ac:dyDescent="0.2">
      <c r="B69" s="26">
        <v>65</v>
      </c>
      <c r="C69" s="110">
        <f t="shared" si="1"/>
        <v>10200</v>
      </c>
      <c r="D69" s="110">
        <f t="shared" si="2"/>
        <v>8145.9960421769556</v>
      </c>
      <c r="E69" s="36">
        <f t="shared" ref="E69:E100" si="5">D69/$D$127</f>
        <v>8.1459960421774984E-3</v>
      </c>
      <c r="F69" s="36">
        <f t="shared" si="3"/>
        <v>0.52948974274153737</v>
      </c>
      <c r="G69" s="25"/>
    </row>
    <row r="70" spans="2:7" x14ac:dyDescent="0.2">
      <c r="B70" s="26">
        <v>66</v>
      </c>
      <c r="C70" s="110">
        <f t="shared" ref="C70:C124" si="6">$E$3</f>
        <v>10200</v>
      </c>
      <c r="D70" s="110">
        <f t="shared" ref="D70:D124" si="7">C70*1/(1+$E$2)^B70</f>
        <v>8117.8644461090698</v>
      </c>
      <c r="E70" s="36">
        <f t="shared" si="5"/>
        <v>8.11786444610961E-3</v>
      </c>
      <c r="F70" s="36">
        <f t="shared" ref="F70:F124" si="8">E70*B70</f>
        <v>0.53577905344323429</v>
      </c>
      <c r="G70" s="25"/>
    </row>
    <row r="71" spans="2:7" x14ac:dyDescent="0.2">
      <c r="B71" s="26">
        <v>67</v>
      </c>
      <c r="C71" s="110">
        <f t="shared" si="6"/>
        <v>10200</v>
      </c>
      <c r="D71" s="110">
        <f t="shared" si="7"/>
        <v>8089.8300004317844</v>
      </c>
      <c r="E71" s="36">
        <f t="shared" si="5"/>
        <v>8.0898300004323236E-3</v>
      </c>
      <c r="F71" s="36">
        <f t="shared" si="8"/>
        <v>0.54201861002896567</v>
      </c>
      <c r="G71" s="25"/>
    </row>
    <row r="72" spans="2:7" x14ac:dyDescent="0.2">
      <c r="B72" s="26">
        <v>68</v>
      </c>
      <c r="C72" s="110">
        <f t="shared" si="6"/>
        <v>10200</v>
      </c>
      <c r="D72" s="110">
        <f t="shared" si="7"/>
        <v>8061.8923696433967</v>
      </c>
      <c r="E72" s="36">
        <f t="shared" si="5"/>
        <v>8.0618923696439328E-3</v>
      </c>
      <c r="F72" s="36">
        <f t="shared" si="8"/>
        <v>0.54820868113578747</v>
      </c>
      <c r="G72" s="25"/>
    </row>
    <row r="73" spans="2:7" x14ac:dyDescent="0.2">
      <c r="B73" s="26">
        <v>69</v>
      </c>
      <c r="C73" s="110">
        <f t="shared" si="6"/>
        <v>10200</v>
      </c>
      <c r="D73" s="110">
        <f t="shared" si="7"/>
        <v>8034.0512194008352</v>
      </c>
      <c r="E73" s="36">
        <f t="shared" si="5"/>
        <v>8.0340512194013707E-3</v>
      </c>
      <c r="F73" s="36">
        <f t="shared" si="8"/>
        <v>0.55434953413869459</v>
      </c>
      <c r="G73" s="25"/>
    </row>
    <row r="74" spans="2:7" x14ac:dyDescent="0.2">
      <c r="B74" s="26">
        <v>70</v>
      </c>
      <c r="C74" s="110">
        <f t="shared" si="6"/>
        <v>10200</v>
      </c>
      <c r="D74" s="110">
        <f t="shared" si="7"/>
        <v>8006.3062165156498</v>
      </c>
      <c r="E74" s="36">
        <f t="shared" si="5"/>
        <v>8.0063062165161829E-3</v>
      </c>
      <c r="F74" s="36">
        <f t="shared" si="8"/>
        <v>0.56044143515613276</v>
      </c>
      <c r="G74" s="25"/>
    </row>
    <row r="75" spans="2:7" x14ac:dyDescent="0.2">
      <c r="B75" s="26">
        <v>71</v>
      </c>
      <c r="C75" s="110">
        <f t="shared" si="6"/>
        <v>10200</v>
      </c>
      <c r="D75" s="110">
        <f t="shared" si="7"/>
        <v>7978.6570289500451</v>
      </c>
      <c r="E75" s="36">
        <f t="shared" si="5"/>
        <v>7.9786570289505764E-3</v>
      </c>
      <c r="F75" s="36">
        <f t="shared" si="8"/>
        <v>0.5664846490554909</v>
      </c>
      <c r="G75" s="25"/>
    </row>
    <row r="76" spans="2:7" x14ac:dyDescent="0.2">
      <c r="B76" s="26">
        <v>72</v>
      </c>
      <c r="C76" s="110">
        <f t="shared" si="6"/>
        <v>10200</v>
      </c>
      <c r="D76" s="110">
        <f t="shared" si="7"/>
        <v>7951.1033258128873</v>
      </c>
      <c r="E76" s="36">
        <f t="shared" si="5"/>
        <v>7.9511033258134172E-3</v>
      </c>
      <c r="F76" s="36">
        <f t="shared" si="8"/>
        <v>0.57247943945856605</v>
      </c>
      <c r="G76" s="25"/>
    </row>
    <row r="77" spans="2:7" x14ac:dyDescent="0.2">
      <c r="B77" s="26">
        <v>73</v>
      </c>
      <c r="C77" s="110">
        <f t="shared" si="6"/>
        <v>10200</v>
      </c>
      <c r="D77" s="110">
        <f t="shared" si="7"/>
        <v>7923.6447773557456</v>
      </c>
      <c r="E77" s="36">
        <f t="shared" si="5"/>
        <v>7.9236447773562736E-3</v>
      </c>
      <c r="F77" s="36">
        <f t="shared" si="8"/>
        <v>0.57842606874700797</v>
      </c>
      <c r="G77" s="25"/>
    </row>
    <row r="78" spans="2:7" x14ac:dyDescent="0.2">
      <c r="B78" s="26">
        <v>74</v>
      </c>
      <c r="C78" s="110">
        <f t="shared" si="6"/>
        <v>10200</v>
      </c>
      <c r="D78" s="110">
        <f t="shared" si="7"/>
        <v>7896.2810549689611</v>
      </c>
      <c r="E78" s="36">
        <f t="shared" si="5"/>
        <v>7.8962810549694871E-3</v>
      </c>
      <c r="F78" s="36">
        <f t="shared" si="8"/>
        <v>0.58432479806774207</v>
      </c>
      <c r="G78" s="25"/>
    </row>
    <row r="79" spans="2:7" x14ac:dyDescent="0.2">
      <c r="B79" s="26">
        <v>75</v>
      </c>
      <c r="C79" s="110">
        <f t="shared" si="6"/>
        <v>10200</v>
      </c>
      <c r="D79" s="110">
        <f t="shared" si="7"/>
        <v>7869.0118311776951</v>
      </c>
      <c r="E79" s="36">
        <f t="shared" si="5"/>
        <v>7.8690118311782187E-3</v>
      </c>
      <c r="F79" s="36">
        <f t="shared" si="8"/>
        <v>0.59017588733836646</v>
      </c>
      <c r="G79" s="25"/>
    </row>
    <row r="80" spans="2:7" x14ac:dyDescent="0.2">
      <c r="B80" s="26">
        <v>76</v>
      </c>
      <c r="C80" s="110">
        <f t="shared" si="6"/>
        <v>10200</v>
      </c>
      <c r="D80" s="110">
        <f t="shared" si="7"/>
        <v>7841.8367796380262</v>
      </c>
      <c r="E80" s="36">
        <f t="shared" si="5"/>
        <v>7.8418367796385478E-3</v>
      </c>
      <c r="F80" s="36">
        <f t="shared" si="8"/>
        <v>0.59597959525252964</v>
      </c>
      <c r="G80" s="25"/>
    </row>
    <row r="81" spans="2:7" x14ac:dyDescent="0.2">
      <c r="B81" s="26">
        <v>77</v>
      </c>
      <c r="C81" s="110">
        <f t="shared" si="6"/>
        <v>10200</v>
      </c>
      <c r="D81" s="110">
        <f t="shared" si="7"/>
        <v>7814.7555751330319</v>
      </c>
      <c r="E81" s="36">
        <f t="shared" si="5"/>
        <v>7.8147555751335515E-3</v>
      </c>
      <c r="F81" s="36">
        <f t="shared" si="8"/>
        <v>0.60173617928528345</v>
      </c>
      <c r="G81" s="25"/>
    </row>
    <row r="82" spans="2:7" x14ac:dyDescent="0.2">
      <c r="B82" s="26">
        <v>78</v>
      </c>
      <c r="C82" s="110">
        <f t="shared" si="6"/>
        <v>10200</v>
      </c>
      <c r="D82" s="110">
        <f t="shared" si="7"/>
        <v>7787.7678935689055</v>
      </c>
      <c r="E82" s="36">
        <f t="shared" si="5"/>
        <v>7.7877678935694243E-3</v>
      </c>
      <c r="F82" s="36">
        <f t="shared" si="8"/>
        <v>0.60744589569841512</v>
      </c>
      <c r="G82" s="25"/>
    </row>
    <row r="83" spans="2:7" x14ac:dyDescent="0.2">
      <c r="B83" s="26">
        <v>79</v>
      </c>
      <c r="C83" s="110">
        <f t="shared" si="6"/>
        <v>10200</v>
      </c>
      <c r="D83" s="110">
        <f t="shared" si="7"/>
        <v>7760.8734119710753</v>
      </c>
      <c r="E83" s="36">
        <f t="shared" si="5"/>
        <v>7.760873411971592E-3</v>
      </c>
      <c r="F83" s="36">
        <f t="shared" si="8"/>
        <v>0.61310899954575582</v>
      </c>
      <c r="G83" s="25"/>
    </row>
    <row r="84" spans="2:7" x14ac:dyDescent="0.2">
      <c r="B84" s="26">
        <v>80</v>
      </c>
      <c r="C84" s="110">
        <f t="shared" si="6"/>
        <v>10200</v>
      </c>
      <c r="D84" s="110">
        <f t="shared" si="7"/>
        <v>7734.0718084803357</v>
      </c>
      <c r="E84" s="36">
        <f t="shared" si="5"/>
        <v>7.7340718084808503E-3</v>
      </c>
      <c r="F84" s="36">
        <f t="shared" si="8"/>
        <v>0.61872574467846797</v>
      </c>
      <c r="G84" s="25"/>
    </row>
    <row r="85" spans="2:7" x14ac:dyDescent="0.2">
      <c r="B85" s="26">
        <v>81</v>
      </c>
      <c r="C85" s="110">
        <f t="shared" si="6"/>
        <v>10200</v>
      </c>
      <c r="D85" s="110">
        <f t="shared" si="7"/>
        <v>7707.3627623489992</v>
      </c>
      <c r="E85" s="36">
        <f t="shared" si="5"/>
        <v>7.7073627623495122E-3</v>
      </c>
      <c r="F85" s="36">
        <f t="shared" si="8"/>
        <v>0.62429638375031049</v>
      </c>
      <c r="G85" s="25"/>
    </row>
    <row r="86" spans="2:7" x14ac:dyDescent="0.2">
      <c r="B86" s="26">
        <v>82</v>
      </c>
      <c r="C86" s="110">
        <f t="shared" si="6"/>
        <v>10200</v>
      </c>
      <c r="D86" s="110">
        <f t="shared" si="7"/>
        <v>7680.7459539370557</v>
      </c>
      <c r="E86" s="36">
        <f t="shared" si="5"/>
        <v>7.6807459539375671E-3</v>
      </c>
      <c r="F86" s="36">
        <f t="shared" si="8"/>
        <v>0.62982116822288048</v>
      </c>
      <c r="G86" s="25"/>
    </row>
    <row r="87" spans="2:7" x14ac:dyDescent="0.2">
      <c r="B87" s="26">
        <v>83</v>
      </c>
      <c r="C87" s="110">
        <f t="shared" si="6"/>
        <v>10200</v>
      </c>
      <c r="D87" s="110">
        <f t="shared" si="7"/>
        <v>7654.2210647083521</v>
      </c>
      <c r="E87" s="36">
        <f t="shared" si="5"/>
        <v>7.6542210647088616E-3</v>
      </c>
      <c r="F87" s="36">
        <f t="shared" si="8"/>
        <v>0.63530034837083549</v>
      </c>
      <c r="G87" s="25"/>
    </row>
    <row r="88" spans="2:7" x14ac:dyDescent="0.2">
      <c r="B88" s="26">
        <v>84</v>
      </c>
      <c r="C88" s="110">
        <f t="shared" si="6"/>
        <v>10200</v>
      </c>
      <c r="D88" s="110">
        <f t="shared" si="7"/>
        <v>7627.7877772267711</v>
      </c>
      <c r="E88" s="36">
        <f t="shared" si="5"/>
        <v>7.6277877772272787E-3</v>
      </c>
      <c r="F88" s="36">
        <f t="shared" si="8"/>
        <v>0.64073417328709137</v>
      </c>
      <c r="G88" s="25"/>
    </row>
    <row r="89" spans="2:7" x14ac:dyDescent="0.2">
      <c r="B89" s="26">
        <v>85</v>
      </c>
      <c r="C89" s="110">
        <f t="shared" si="6"/>
        <v>10200</v>
      </c>
      <c r="D89" s="110">
        <f t="shared" si="7"/>
        <v>7601.4457751524451</v>
      </c>
      <c r="E89" s="36">
        <f t="shared" si="5"/>
        <v>7.6014457751529515E-3</v>
      </c>
      <c r="F89" s="36">
        <f t="shared" si="8"/>
        <v>0.6461228908880009</v>
      </c>
      <c r="G89" s="25"/>
    </row>
    <row r="90" spans="2:7" x14ac:dyDescent="0.2">
      <c r="B90" s="26">
        <v>86</v>
      </c>
      <c r="C90" s="110">
        <f t="shared" si="6"/>
        <v>10200</v>
      </c>
      <c r="D90" s="110">
        <f t="shared" si="7"/>
        <v>7575.1947432379502</v>
      </c>
      <c r="E90" s="36">
        <f t="shared" si="5"/>
        <v>7.5751947432384547E-3</v>
      </c>
      <c r="F90" s="36">
        <f t="shared" si="8"/>
        <v>0.65146674791850712</v>
      </c>
      <c r="G90" s="25"/>
    </row>
    <row r="91" spans="2:7" x14ac:dyDescent="0.2">
      <c r="B91" s="26">
        <v>87</v>
      </c>
      <c r="C91" s="110">
        <f t="shared" si="6"/>
        <v>10200</v>
      </c>
      <c r="D91" s="110">
        <f t="shared" si="7"/>
        <v>7549.0343673245588</v>
      </c>
      <c r="E91" s="36">
        <f t="shared" si="5"/>
        <v>7.5490343673250615E-3</v>
      </c>
      <c r="F91" s="36">
        <f t="shared" si="8"/>
        <v>0.65676598995728031</v>
      </c>
      <c r="G91" s="25"/>
    </row>
    <row r="92" spans="2:7" x14ac:dyDescent="0.2">
      <c r="B92" s="26">
        <v>88</v>
      </c>
      <c r="C92" s="110">
        <f t="shared" si="6"/>
        <v>10200</v>
      </c>
      <c r="D92" s="110">
        <f t="shared" si="7"/>
        <v>7522.9643343384623</v>
      </c>
      <c r="E92" s="36">
        <f t="shared" si="5"/>
        <v>7.5229643343389637E-3</v>
      </c>
      <c r="F92" s="36">
        <f t="shared" si="8"/>
        <v>0.66202086142182881</v>
      </c>
      <c r="G92" s="25"/>
    </row>
    <row r="93" spans="2:7" x14ac:dyDescent="0.2">
      <c r="B93" s="26">
        <v>89</v>
      </c>
      <c r="C93" s="110">
        <f t="shared" si="6"/>
        <v>10200</v>
      </c>
      <c r="D93" s="110">
        <f t="shared" si="7"/>
        <v>7496.9843322870302</v>
      </c>
      <c r="E93" s="36">
        <f t="shared" si="5"/>
        <v>7.496984332287529E-3</v>
      </c>
      <c r="F93" s="36">
        <f t="shared" si="8"/>
        <v>0.66723160557359007</v>
      </c>
      <c r="G93" s="25"/>
    </row>
    <row r="94" spans="2:7" x14ac:dyDescent="0.2">
      <c r="B94" s="26">
        <v>90</v>
      </c>
      <c r="C94" s="110">
        <f t="shared" si="6"/>
        <v>10200</v>
      </c>
      <c r="D94" s="110">
        <f t="shared" si="7"/>
        <v>7471.0940502550739</v>
      </c>
      <c r="E94" s="36">
        <f t="shared" si="5"/>
        <v>7.4710940502555716E-3</v>
      </c>
      <c r="F94" s="36">
        <f t="shared" si="8"/>
        <v>0.67239846452300145</v>
      </c>
      <c r="G94" s="25"/>
    </row>
    <row r="95" spans="2:7" x14ac:dyDescent="0.2">
      <c r="B95" s="26">
        <v>91</v>
      </c>
      <c r="C95" s="110">
        <f t="shared" si="6"/>
        <v>10200</v>
      </c>
      <c r="D95" s="110">
        <f t="shared" si="7"/>
        <v>7445.293178401128</v>
      </c>
      <c r="E95" s="36">
        <f t="shared" si="5"/>
        <v>7.4452931784016237E-3</v>
      </c>
      <c r="F95" s="36">
        <f t="shared" si="8"/>
        <v>0.67752167923454776</v>
      </c>
      <c r="G95" s="25"/>
    </row>
    <row r="96" spans="2:7" x14ac:dyDescent="0.2">
      <c r="B96" s="26">
        <v>92</v>
      </c>
      <c r="C96" s="110">
        <f t="shared" si="6"/>
        <v>10200</v>
      </c>
      <c r="D96" s="110">
        <f t="shared" si="7"/>
        <v>7419.5814079537422</v>
      </c>
      <c r="E96" s="36">
        <f t="shared" si="5"/>
        <v>7.4195814079542361E-3</v>
      </c>
      <c r="F96" s="36">
        <f t="shared" si="8"/>
        <v>0.68260148953178967</v>
      </c>
      <c r="G96" s="25"/>
    </row>
    <row r="97" spans="2:7" x14ac:dyDescent="0.2">
      <c r="B97" s="26">
        <v>93</v>
      </c>
      <c r="C97" s="110">
        <f t="shared" si="6"/>
        <v>10200</v>
      </c>
      <c r="D97" s="110">
        <f t="shared" si="7"/>
        <v>7393.9584312077859</v>
      </c>
      <c r="E97" s="36">
        <f t="shared" si="5"/>
        <v>7.3939584312082782E-3</v>
      </c>
      <c r="F97" s="36">
        <f t="shared" si="8"/>
        <v>0.68763813410236985</v>
      </c>
      <c r="G97" s="25"/>
    </row>
    <row r="98" spans="2:7" x14ac:dyDescent="0.2">
      <c r="B98" s="26">
        <v>94</v>
      </c>
      <c r="C98" s="110">
        <f t="shared" si="6"/>
        <v>10200</v>
      </c>
      <c r="D98" s="110">
        <f t="shared" si="7"/>
        <v>7368.4239415207667</v>
      </c>
      <c r="E98" s="36">
        <f t="shared" si="5"/>
        <v>7.3684239415212575E-3</v>
      </c>
      <c r="F98" s="36">
        <f t="shared" si="8"/>
        <v>0.69263185050299825</v>
      </c>
      <c r="G98" s="25"/>
    </row>
    <row r="99" spans="2:7" x14ac:dyDescent="0.2">
      <c r="B99" s="26">
        <v>95</v>
      </c>
      <c r="C99" s="110">
        <f t="shared" si="6"/>
        <v>10200</v>
      </c>
      <c r="D99" s="110">
        <f t="shared" si="7"/>
        <v>7342.977633309154</v>
      </c>
      <c r="E99" s="36">
        <f t="shared" si="5"/>
        <v>7.3429776333096431E-3</v>
      </c>
      <c r="F99" s="36">
        <f t="shared" si="8"/>
        <v>0.69758287516441608</v>
      </c>
      <c r="G99" s="25"/>
    </row>
    <row r="100" spans="2:7" x14ac:dyDescent="0.2">
      <c r="B100" s="26">
        <v>96</v>
      </c>
      <c r="C100" s="110">
        <f t="shared" si="6"/>
        <v>10200</v>
      </c>
      <c r="D100" s="110">
        <f t="shared" si="7"/>
        <v>7317.6192020447352</v>
      </c>
      <c r="E100" s="36">
        <f t="shared" si="5"/>
        <v>7.3176192020452226E-3</v>
      </c>
      <c r="F100" s="36">
        <f t="shared" si="8"/>
        <v>0.7024914433963414</v>
      </c>
      <c r="G100" s="25"/>
    </row>
    <row r="101" spans="2:7" x14ac:dyDescent="0.2">
      <c r="B101" s="26">
        <v>97</v>
      </c>
      <c r="C101" s="110">
        <f t="shared" si="6"/>
        <v>10200</v>
      </c>
      <c r="D101" s="110">
        <f t="shared" si="7"/>
        <v>7292.3483442509587</v>
      </c>
      <c r="E101" s="36">
        <f t="shared" ref="E101:E124" si="9">D101/$D$127</f>
        <v>7.2923483442514439E-3</v>
      </c>
      <c r="F101" s="36">
        <f t="shared" si="8"/>
        <v>0.70735778939239002</v>
      </c>
      <c r="G101" s="25"/>
    </row>
    <row r="102" spans="2:7" x14ac:dyDescent="0.2">
      <c r="B102" s="26">
        <v>98</v>
      </c>
      <c r="C102" s="110">
        <f t="shared" si="6"/>
        <v>10200</v>
      </c>
      <c r="D102" s="110">
        <f t="shared" si="7"/>
        <v>7267.1647574993049</v>
      </c>
      <c r="E102" s="36">
        <f t="shared" si="9"/>
        <v>7.267164757499789E-3</v>
      </c>
      <c r="F102" s="36">
        <f t="shared" si="8"/>
        <v>0.71218214623497933</v>
      </c>
      <c r="G102" s="25"/>
    </row>
    <row r="103" spans="2:7" x14ac:dyDescent="0.2">
      <c r="B103" s="26">
        <v>99</v>
      </c>
      <c r="C103" s="110">
        <f t="shared" si="6"/>
        <v>10200</v>
      </c>
      <c r="D103" s="110">
        <f t="shared" si="7"/>
        <v>7242.068140405675</v>
      </c>
      <c r="E103" s="36">
        <f t="shared" si="9"/>
        <v>7.2420681404061571E-3</v>
      </c>
      <c r="F103" s="36">
        <f t="shared" si="8"/>
        <v>0.71696474590020953</v>
      </c>
      <c r="G103" s="25"/>
    </row>
    <row r="104" spans="2:7" x14ac:dyDescent="0.2">
      <c r="B104" s="26">
        <v>100</v>
      </c>
      <c r="C104" s="110">
        <f t="shared" si="6"/>
        <v>10200</v>
      </c>
      <c r="D104" s="110">
        <f t="shared" si="7"/>
        <v>7217.0581926267723</v>
      </c>
      <c r="E104" s="36">
        <f t="shared" si="9"/>
        <v>7.2170581926272528E-3</v>
      </c>
      <c r="F104" s="36">
        <f t="shared" si="8"/>
        <v>0.72170581926272526</v>
      </c>
      <c r="G104" s="25"/>
    </row>
    <row r="105" spans="2:7" x14ac:dyDescent="0.2">
      <c r="B105" s="26">
        <v>101</v>
      </c>
      <c r="C105" s="110">
        <f t="shared" si="6"/>
        <v>10200</v>
      </c>
      <c r="D105" s="110">
        <f t="shared" si="7"/>
        <v>7192.1346148565162</v>
      </c>
      <c r="E105" s="36">
        <f t="shared" si="9"/>
        <v>7.1921346148569954E-3</v>
      </c>
      <c r="F105" s="36">
        <f t="shared" si="8"/>
        <v>0.72640559610055655</v>
      </c>
      <c r="G105" s="25"/>
    </row>
    <row r="106" spans="2:7" x14ac:dyDescent="0.2">
      <c r="B106" s="26">
        <v>102</v>
      </c>
      <c r="C106" s="110">
        <f t="shared" si="6"/>
        <v>10200</v>
      </c>
      <c r="D106" s="110">
        <f t="shared" si="7"/>
        <v>7167.2971088224549</v>
      </c>
      <c r="E106" s="36">
        <f t="shared" si="9"/>
        <v>7.167297108822932E-3</v>
      </c>
      <c r="F106" s="36">
        <f t="shared" si="8"/>
        <v>0.73106430509993903</v>
      </c>
      <c r="G106" s="25"/>
    </row>
    <row r="107" spans="2:7" x14ac:dyDescent="0.2">
      <c r="B107" s="26">
        <v>103</v>
      </c>
      <c r="C107" s="110">
        <f t="shared" si="6"/>
        <v>10200</v>
      </c>
      <c r="D107" s="110">
        <f t="shared" si="7"/>
        <v>7142.5453772822038</v>
      </c>
      <c r="E107" s="36">
        <f t="shared" si="9"/>
        <v>7.1425453772826792E-3</v>
      </c>
      <c r="F107" s="36">
        <f t="shared" si="8"/>
        <v>0.73568217386011592</v>
      </c>
      <c r="G107" s="25"/>
    </row>
    <row r="108" spans="2:7" x14ac:dyDescent="0.2">
      <c r="B108" s="26">
        <v>104</v>
      </c>
      <c r="C108" s="110">
        <f t="shared" si="6"/>
        <v>10200</v>
      </c>
      <c r="D108" s="110">
        <f t="shared" si="7"/>
        <v>7117.8791240198761</v>
      </c>
      <c r="E108" s="36">
        <f t="shared" si="9"/>
        <v>7.1178791240203501E-3</v>
      </c>
      <c r="F108" s="36">
        <f t="shared" si="8"/>
        <v>0.74025942889811636</v>
      </c>
      <c r="G108" s="25"/>
    </row>
    <row r="109" spans="2:7" x14ac:dyDescent="0.2">
      <c r="B109" s="26">
        <v>105</v>
      </c>
      <c r="C109" s="110">
        <f t="shared" si="6"/>
        <v>10200</v>
      </c>
      <c r="D109" s="110">
        <f t="shared" si="7"/>
        <v>7093.2980538425518</v>
      </c>
      <c r="E109" s="36">
        <f t="shared" si="9"/>
        <v>7.0932980538430243E-3</v>
      </c>
      <c r="F109" s="36">
        <f t="shared" si="8"/>
        <v>0.74479629565351757</v>
      </c>
      <c r="G109" s="25"/>
    </row>
    <row r="110" spans="2:7" x14ac:dyDescent="0.2">
      <c r="B110" s="26">
        <v>106</v>
      </c>
      <c r="C110" s="110">
        <f t="shared" si="6"/>
        <v>10200</v>
      </c>
      <c r="D110" s="110">
        <f t="shared" si="7"/>
        <v>7068.8018725767315</v>
      </c>
      <c r="E110" s="36">
        <f t="shared" si="9"/>
        <v>7.0688018725772019E-3</v>
      </c>
      <c r="F110" s="36">
        <f t="shared" si="8"/>
        <v>0.74929299849318343</v>
      </c>
      <c r="G110" s="25"/>
    </row>
    <row r="111" spans="2:7" x14ac:dyDescent="0.2">
      <c r="B111" s="26">
        <v>107</v>
      </c>
      <c r="C111" s="110">
        <f t="shared" si="6"/>
        <v>10200</v>
      </c>
      <c r="D111" s="110">
        <f t="shared" si="7"/>
        <v>7044.3902870648271</v>
      </c>
      <c r="E111" s="36">
        <f t="shared" si="9"/>
        <v>7.0443902870652962E-3</v>
      </c>
      <c r="F111" s="36">
        <f t="shared" si="8"/>
        <v>0.75374976071598665</v>
      </c>
      <c r="G111" s="25"/>
    </row>
    <row r="112" spans="2:7" x14ac:dyDescent="0.2">
      <c r="B112" s="26">
        <v>108</v>
      </c>
      <c r="C112" s="110">
        <f t="shared" si="6"/>
        <v>10200</v>
      </c>
      <c r="D112" s="110">
        <f t="shared" si="7"/>
        <v>7020.0630051616445</v>
      </c>
      <c r="E112" s="36">
        <f t="shared" si="9"/>
        <v>7.0200630051621121E-3</v>
      </c>
      <c r="F112" s="36">
        <f t="shared" si="8"/>
        <v>0.75816680455750807</v>
      </c>
      <c r="G112" s="25"/>
    </row>
    <row r="113" spans="2:7" x14ac:dyDescent="0.2">
      <c r="B113" s="26">
        <v>109</v>
      </c>
      <c r="C113" s="110">
        <f t="shared" si="6"/>
        <v>10200</v>
      </c>
      <c r="D113" s="110">
        <f t="shared" si="7"/>
        <v>6995.8197357308954</v>
      </c>
      <c r="E113" s="36">
        <f t="shared" si="9"/>
        <v>6.9958197357313616E-3</v>
      </c>
      <c r="F113" s="36">
        <f t="shared" si="8"/>
        <v>0.76254435119471842</v>
      </c>
      <c r="G113" s="25"/>
    </row>
    <row r="114" spans="2:7" x14ac:dyDescent="0.2">
      <c r="B114" s="26">
        <v>110</v>
      </c>
      <c r="C114" s="110">
        <f t="shared" si="6"/>
        <v>10200</v>
      </c>
      <c r="D114" s="110">
        <f t="shared" si="7"/>
        <v>6971.6601886417047</v>
      </c>
      <c r="E114" s="36">
        <f t="shared" si="9"/>
        <v>6.9716601886421689E-3</v>
      </c>
      <c r="F114" s="36">
        <f t="shared" si="8"/>
        <v>0.76688262075063862</v>
      </c>
      <c r="G114" s="25"/>
    </row>
    <row r="115" spans="2:7" x14ac:dyDescent="0.2">
      <c r="B115" s="26">
        <v>111</v>
      </c>
      <c r="C115" s="110">
        <f t="shared" si="6"/>
        <v>10200</v>
      </c>
      <c r="D115" s="110">
        <f t="shared" si="7"/>
        <v>6947.5840747651491</v>
      </c>
      <c r="E115" s="36">
        <f t="shared" si="9"/>
        <v>6.9475840747656118E-3</v>
      </c>
      <c r="F115" s="36">
        <f t="shared" si="8"/>
        <v>0.77118183229898296</v>
      </c>
      <c r="G115" s="25"/>
    </row>
    <row r="116" spans="2:7" x14ac:dyDescent="0.2">
      <c r="B116" s="26">
        <v>112</v>
      </c>
      <c r="C116" s="110">
        <f t="shared" si="6"/>
        <v>10200</v>
      </c>
      <c r="D116" s="110">
        <f t="shared" si="7"/>
        <v>6923.5911059707851</v>
      </c>
      <c r="E116" s="36">
        <f t="shared" si="9"/>
        <v>6.9235911059712463E-3</v>
      </c>
      <c r="F116" s="36">
        <f t="shared" si="8"/>
        <v>0.7754422038687796</v>
      </c>
      <c r="G116" s="25"/>
    </row>
    <row r="117" spans="2:7" x14ac:dyDescent="0.2">
      <c r="B117" s="26">
        <v>113</v>
      </c>
      <c r="C117" s="110">
        <f t="shared" si="6"/>
        <v>10200</v>
      </c>
      <c r="D117" s="110">
        <f t="shared" si="7"/>
        <v>6899.680995123208</v>
      </c>
      <c r="E117" s="36">
        <f t="shared" si="9"/>
        <v>6.8996809951236675E-3</v>
      </c>
      <c r="F117" s="36">
        <f t="shared" si="8"/>
        <v>0.77966395244897446</v>
      </c>
      <c r="G117" s="25"/>
    </row>
    <row r="118" spans="2:7" x14ac:dyDescent="0.2">
      <c r="B118" s="26">
        <v>114</v>
      </c>
      <c r="C118" s="110">
        <f t="shared" si="6"/>
        <v>10200</v>
      </c>
      <c r="D118" s="110">
        <f t="shared" si="7"/>
        <v>6875.8534560786147</v>
      </c>
      <c r="E118" s="36">
        <f t="shared" si="9"/>
        <v>6.8758534560790724E-3</v>
      </c>
      <c r="F118" s="36">
        <f t="shared" si="8"/>
        <v>0.78384729399301423</v>
      </c>
      <c r="G118" s="25"/>
    </row>
    <row r="119" spans="2:7" x14ac:dyDescent="0.2">
      <c r="B119" s="26">
        <v>115</v>
      </c>
      <c r="C119" s="110">
        <f t="shared" si="6"/>
        <v>10200</v>
      </c>
      <c r="D119" s="110">
        <f t="shared" si="7"/>
        <v>6852.1082036813777</v>
      </c>
      <c r="E119" s="36">
        <f t="shared" si="9"/>
        <v>6.8521082036818344E-3</v>
      </c>
      <c r="F119" s="36">
        <f t="shared" si="8"/>
        <v>0.7879924434234109</v>
      </c>
      <c r="G119" s="25"/>
    </row>
    <row r="120" spans="2:7" x14ac:dyDescent="0.2">
      <c r="B120" s="26">
        <v>116</v>
      </c>
      <c r="C120" s="110">
        <f t="shared" si="6"/>
        <v>10200</v>
      </c>
      <c r="D120" s="110">
        <f t="shared" si="7"/>
        <v>6828.4449537606351</v>
      </c>
      <c r="E120" s="36">
        <f t="shared" si="9"/>
        <v>6.8284449537610896E-3</v>
      </c>
      <c r="F120" s="36">
        <f t="shared" si="8"/>
        <v>0.79209961463628642</v>
      </c>
      <c r="G120" s="25"/>
    </row>
    <row r="121" spans="2:7" x14ac:dyDescent="0.2">
      <c r="B121" s="26">
        <v>117</v>
      </c>
      <c r="C121" s="110">
        <f t="shared" si="6"/>
        <v>10200</v>
      </c>
      <c r="D121" s="110">
        <f t="shared" si="7"/>
        <v>6804.8634231268888</v>
      </c>
      <c r="E121" s="36">
        <f t="shared" si="9"/>
        <v>6.8048634231273417E-3</v>
      </c>
      <c r="F121" s="36">
        <f t="shared" si="8"/>
        <v>0.79616902050589899</v>
      </c>
      <c r="G121" s="25"/>
    </row>
    <row r="122" spans="2:7" x14ac:dyDescent="0.2">
      <c r="B122" s="26">
        <v>118</v>
      </c>
      <c r="C122" s="110">
        <f t="shared" si="6"/>
        <v>10200</v>
      </c>
      <c r="D122" s="110">
        <f t="shared" si="7"/>
        <v>6781.3633295686095</v>
      </c>
      <c r="E122" s="36">
        <f t="shared" si="9"/>
        <v>6.7813633295690607E-3</v>
      </c>
      <c r="F122" s="36">
        <f t="shared" si="8"/>
        <v>0.80020087288914921</v>
      </c>
      <c r="G122" s="25"/>
    </row>
    <row r="123" spans="2:7" x14ac:dyDescent="0.2">
      <c r="B123" s="26">
        <v>119</v>
      </c>
      <c r="C123" s="110">
        <f t="shared" si="6"/>
        <v>10200</v>
      </c>
      <c r="D123" s="110">
        <f t="shared" si="7"/>
        <v>6757.9443918488669</v>
      </c>
      <c r="E123" s="36">
        <f t="shared" si="9"/>
        <v>6.757944391849317E-3</v>
      </c>
      <c r="F123" s="36">
        <f t="shared" si="8"/>
        <v>0.80419538263006873</v>
      </c>
      <c r="G123" s="25"/>
    </row>
    <row r="124" spans="2:7" x14ac:dyDescent="0.2">
      <c r="B124" s="26">
        <v>120</v>
      </c>
      <c r="C124" s="110">
        <f t="shared" si="6"/>
        <v>10200</v>
      </c>
      <c r="D124" s="110">
        <f t="shared" si="7"/>
        <v>6734.6063297019673</v>
      </c>
      <c r="E124" s="36">
        <f t="shared" si="9"/>
        <v>6.7346063297024162E-3</v>
      </c>
      <c r="F124" s="36">
        <f t="shared" si="8"/>
        <v>0.80815275956428989</v>
      </c>
      <c r="G124" s="25"/>
    </row>
    <row r="125" spans="2:7" ht="16" thickBot="1" x14ac:dyDescent="0.25">
      <c r="B125" s="27"/>
      <c r="C125" s="111"/>
      <c r="D125" s="33"/>
      <c r="E125" s="37"/>
      <c r="F125" s="37"/>
      <c r="G125" s="25"/>
    </row>
    <row r="126" spans="2:7" ht="16" thickTop="1" x14ac:dyDescent="0.2">
      <c r="B126" s="51"/>
      <c r="C126" s="112"/>
      <c r="D126" s="52"/>
      <c r="E126" s="53"/>
      <c r="F126" s="38"/>
      <c r="G126" s="30"/>
    </row>
    <row r="127" spans="2:7" x14ac:dyDescent="0.2">
      <c r="B127" s="51" t="s">
        <v>26</v>
      </c>
      <c r="C127" s="113">
        <f>SUM(C5:C125)</f>
        <v>1224000</v>
      </c>
      <c r="D127" s="61">
        <f>SUM(D5:D125)</f>
        <v>999999.99999993341</v>
      </c>
      <c r="E127" s="60">
        <f>SUM(E5:E125)</f>
        <v>1.0000000000000007</v>
      </c>
      <c r="F127" s="31">
        <f>SUM(F5:F124)</f>
        <v>56.360879221320467</v>
      </c>
      <c r="G127" s="30" t="s">
        <v>6</v>
      </c>
    </row>
    <row r="128" spans="2:7" ht="16" thickBot="1" x14ac:dyDescent="0.25">
      <c r="B128" s="28"/>
      <c r="C128" s="74"/>
      <c r="D128" s="29"/>
      <c r="E128" s="39"/>
      <c r="F128" s="55">
        <f>F127/12</f>
        <v>4.6967399351100392</v>
      </c>
      <c r="G128" s="56" t="s">
        <v>27</v>
      </c>
    </row>
  </sheetData>
  <phoneticPr fontId="18" type="noConversion"/>
  <pageMargins left="0.7" right="0.7" top="0.75" bottom="0.75" header="0.3" footer="0.3"/>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HW 2 Ans</vt:lpstr>
      <vt:lpstr>Q# 2</vt:lpstr>
      <vt:lpstr>Q# 3</vt:lpstr>
      <vt:lpstr>Q# 5</vt:lpstr>
      <vt:lpstr>Q# 9</vt:lpstr>
    </vt:vector>
  </TitlesOfParts>
  <Company>FORDHAM LAW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jcolon</dc:creator>
  <cp:lastModifiedBy>Colon, Jeffrey M.</cp:lastModifiedBy>
  <cp:lastPrinted>2014-10-02T16:06:56Z</cp:lastPrinted>
  <dcterms:created xsi:type="dcterms:W3CDTF">2011-02-16T22:04:21Z</dcterms:created>
  <dcterms:modified xsi:type="dcterms:W3CDTF">2024-09-16T01:50:50Z</dcterms:modified>
</cp:coreProperties>
</file>