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ordhamit-my.sharepoint.com/personal/jcolon_fordham_edu/Documents/Corporate Finance/Problems/Problems Fall 2024/"/>
    </mc:Choice>
  </mc:AlternateContent>
  <xr:revisionPtr revIDLastSave="129" documentId="8_{B4E4D17E-52E0-1A41-9D33-4FD4D84BDAB0}" xr6:coauthVersionLast="47" xr6:coauthVersionMax="47" xr10:uidLastSave="{90366CE8-9F7C-6C46-AC76-DCE5E88F3C1D}"/>
  <bookViews>
    <workbookView xWindow="1120" yWindow="500" windowWidth="25560" windowHeight="25980" xr2:uid="{94BA6622-874D-4C4C-9275-99AF5B5CA140}"/>
  </bookViews>
  <sheets>
    <sheet name="HW 3 Ans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1" l="1"/>
  <c r="C48" i="1" l="1"/>
  <c r="F96" i="2"/>
  <c r="D97" i="2"/>
  <c r="D52" i="2"/>
  <c r="D54" i="2" s="1"/>
  <c r="C140" i="1"/>
  <c r="C122" i="1"/>
  <c r="C102" i="1"/>
  <c r="C90" i="1"/>
  <c r="C86" i="1" s="1"/>
  <c r="C88" i="1"/>
  <c r="C84" i="1"/>
  <c r="C104" i="1" s="1"/>
  <c r="C64" i="1"/>
  <c r="C54" i="1"/>
  <c r="C42" i="1"/>
  <c r="C52" i="1" s="1"/>
  <c r="C36" i="1"/>
  <c r="C63" i="1" s="1"/>
  <c r="D96" i="2"/>
  <c r="C57" i="2"/>
  <c r="E17" i="2"/>
  <c r="E18" i="2" s="1"/>
  <c r="I6" i="2"/>
  <c r="K6" i="2" s="1"/>
  <c r="H7" i="2" s="1"/>
  <c r="I7" i="2" s="1"/>
  <c r="E6" i="2"/>
  <c r="F6" i="2" s="1"/>
  <c r="C7" i="2" s="1"/>
  <c r="D7" i="2" s="1"/>
  <c r="C25" i="1"/>
  <c r="C11" i="1"/>
  <c r="C16" i="1" s="1"/>
  <c r="C17" i="1" s="1"/>
  <c r="D98" i="2" l="1"/>
  <c r="C102" i="2" s="1"/>
  <c r="D100" i="2"/>
  <c r="D103" i="2" s="1"/>
  <c r="C71" i="1"/>
  <c r="E69" i="2"/>
  <c r="E60" i="2"/>
  <c r="E76" i="2"/>
  <c r="C101" i="1"/>
  <c r="C103" i="1" s="1"/>
  <c r="C105" i="1" s="1"/>
  <c r="C107" i="1" s="1"/>
  <c r="C91" i="1"/>
  <c r="C116" i="1"/>
  <c r="C53" i="1"/>
  <c r="C56" i="1" s="1"/>
  <c r="C39" i="1"/>
  <c r="C43" i="1"/>
  <c r="E91" i="2"/>
  <c r="E82" i="2"/>
  <c r="E75" i="2"/>
  <c r="E66" i="2"/>
  <c r="E59" i="2"/>
  <c r="E77" i="2"/>
  <c r="E68" i="2"/>
  <c r="E61" i="2"/>
  <c r="E88" i="2"/>
  <c r="E81" i="2"/>
  <c r="E72" i="2"/>
  <c r="E65" i="2"/>
  <c r="E84" i="2"/>
  <c r="E90" i="2"/>
  <c r="E83" i="2"/>
  <c r="E58" i="2"/>
  <c r="E85" i="2"/>
  <c r="E87" i="2"/>
  <c r="E78" i="2"/>
  <c r="E71" i="2"/>
  <c r="E62" i="2"/>
  <c r="E74" i="2"/>
  <c r="E67" i="2"/>
  <c r="E92" i="2"/>
  <c r="E89" i="2"/>
  <c r="E80" i="2"/>
  <c r="E73" i="2"/>
  <c r="E64" i="2"/>
  <c r="E57" i="2"/>
  <c r="E86" i="2"/>
  <c r="E79" i="2"/>
  <c r="E70" i="2"/>
  <c r="E63" i="2"/>
  <c r="C132" i="2"/>
  <c r="C124" i="2"/>
  <c r="C116" i="2"/>
  <c r="C108" i="2"/>
  <c r="C131" i="2"/>
  <c r="C123" i="2"/>
  <c r="C115" i="2"/>
  <c r="C107" i="2"/>
  <c r="C130" i="2"/>
  <c r="C122" i="2"/>
  <c r="C114" i="2"/>
  <c r="C106" i="2"/>
  <c r="C137" i="2"/>
  <c r="C129" i="2"/>
  <c r="C121" i="2"/>
  <c r="C113" i="2"/>
  <c r="C105" i="2"/>
  <c r="C134" i="2"/>
  <c r="C136" i="2"/>
  <c r="C119" i="2"/>
  <c r="C128" i="2"/>
  <c r="C112" i="2"/>
  <c r="C104" i="2"/>
  <c r="C135" i="2"/>
  <c r="C118" i="2"/>
  <c r="C127" i="2"/>
  <c r="C133" i="2"/>
  <c r="C117" i="2"/>
  <c r="C103" i="2"/>
  <c r="C111" i="2"/>
  <c r="C109" i="2"/>
  <c r="C126" i="2"/>
  <c r="C110" i="2"/>
  <c r="C125" i="2"/>
  <c r="C120" i="2"/>
  <c r="D57" i="2"/>
  <c r="F57" i="2" s="1"/>
  <c r="C58" i="2" s="1"/>
  <c r="K7" i="2"/>
  <c r="H8" i="2" s="1"/>
  <c r="E19" i="2"/>
  <c r="E7" i="2"/>
  <c r="E103" i="2"/>
  <c r="C138" i="2" s="1"/>
  <c r="C140" i="2" l="1"/>
  <c r="C141" i="2" s="1"/>
  <c r="C93" i="1"/>
  <c r="C92" i="1"/>
  <c r="C123" i="1"/>
  <c r="C117" i="1"/>
  <c r="C121" i="1" s="1"/>
  <c r="C137" i="1" s="1"/>
  <c r="C127" i="1"/>
  <c r="C128" i="1" s="1"/>
  <c r="C139" i="1" s="1"/>
  <c r="C46" i="1"/>
  <c r="C47" i="1" s="1"/>
  <c r="C66" i="1"/>
  <c r="D58" i="2"/>
  <c r="F58" i="2"/>
  <c r="C59" i="2" s="1"/>
  <c r="E8" i="2"/>
  <c r="F7" i="2"/>
  <c r="C8" i="2" s="1"/>
  <c r="D8" i="2" s="1"/>
  <c r="I8" i="2"/>
  <c r="K8" i="2" s="1"/>
  <c r="H9" i="2" s="1"/>
  <c r="E20" i="2"/>
  <c r="C142" i="2" l="1"/>
  <c r="C124" i="1"/>
  <c r="C141" i="1"/>
  <c r="C76" i="1"/>
  <c r="C62" i="1"/>
  <c r="C70" i="1" s="1"/>
  <c r="I9" i="2"/>
  <c r="K9" i="2" s="1"/>
  <c r="H10" i="2" s="1"/>
  <c r="E21" i="2"/>
  <c r="F8" i="2"/>
  <c r="C9" i="2" s="1"/>
  <c r="D9" i="2" s="1"/>
  <c r="E9" i="2"/>
  <c r="D59" i="2"/>
  <c r="F59" i="2" s="1"/>
  <c r="C60" i="2" s="1"/>
  <c r="C143" i="1" l="1"/>
  <c r="C142" i="1"/>
  <c r="C72" i="1"/>
  <c r="C73" i="1" s="1"/>
  <c r="D60" i="2"/>
  <c r="F60" i="2" s="1"/>
  <c r="C61" i="2" s="1"/>
  <c r="I10" i="2"/>
  <c r="K10" i="2" s="1"/>
  <c r="H11" i="2" s="1"/>
  <c r="E10" i="2"/>
  <c r="F9" i="2"/>
  <c r="C10" i="2" s="1"/>
  <c r="D10" i="2" s="1"/>
  <c r="E22" i="2"/>
  <c r="E23" i="2" l="1"/>
  <c r="F10" i="2"/>
  <c r="C11" i="2" s="1"/>
  <c r="D11" i="2" s="1"/>
  <c r="E11" i="2"/>
  <c r="I11" i="2"/>
  <c r="K11" i="2" s="1"/>
  <c r="H12" i="2" s="1"/>
  <c r="D61" i="2"/>
  <c r="F61" i="2" s="1"/>
  <c r="C62" i="2" s="1"/>
  <c r="D62" i="2" l="1"/>
  <c r="F62" i="2"/>
  <c r="C63" i="2" s="1"/>
  <c r="I12" i="2"/>
  <c r="K12" i="2" s="1"/>
  <c r="H13" i="2" s="1"/>
  <c r="F11" i="2"/>
  <c r="C12" i="2" s="1"/>
  <c r="D12" i="2" s="1"/>
  <c r="E12" i="2"/>
  <c r="E24" i="2"/>
  <c r="I13" i="2" l="1"/>
  <c r="K13" i="2"/>
  <c r="H14" i="2" s="1"/>
  <c r="E25" i="2"/>
  <c r="E13" i="2"/>
  <c r="F12" i="2"/>
  <c r="C13" i="2" s="1"/>
  <c r="D13" i="2" s="1"/>
  <c r="D63" i="2"/>
  <c r="F63" i="2" s="1"/>
  <c r="C64" i="2" s="1"/>
  <c r="D64" i="2" l="1"/>
  <c r="F64" i="2" s="1"/>
  <c r="C65" i="2" s="1"/>
  <c r="F13" i="2"/>
  <c r="C14" i="2" s="1"/>
  <c r="D14" i="2" s="1"/>
  <c r="E14" i="2"/>
  <c r="E26" i="2"/>
  <c r="I14" i="2"/>
  <c r="K14" i="2" s="1"/>
  <c r="H15" i="2" s="1"/>
  <c r="I15" i="2" l="1"/>
  <c r="K15" i="2" s="1"/>
  <c r="H16" i="2" s="1"/>
  <c r="E27" i="2"/>
  <c r="F14" i="2"/>
  <c r="C15" i="2" s="1"/>
  <c r="D15" i="2" s="1"/>
  <c r="E15" i="2"/>
  <c r="F15" i="2" s="1"/>
  <c r="C16" i="2" s="1"/>
  <c r="D16" i="2" s="1"/>
  <c r="F16" i="2" s="1"/>
  <c r="C17" i="2" s="1"/>
  <c r="D17" i="2" s="1"/>
  <c r="F17" i="2" s="1"/>
  <c r="C18" i="2" s="1"/>
  <c r="D18" i="2" s="1"/>
  <c r="F18" i="2" s="1"/>
  <c r="C19" i="2" s="1"/>
  <c r="D19" i="2" s="1"/>
  <c r="F19" i="2" s="1"/>
  <c r="C20" i="2" s="1"/>
  <c r="D20" i="2" s="1"/>
  <c r="F20" i="2" s="1"/>
  <c r="C21" i="2" s="1"/>
  <c r="D21" i="2" s="1"/>
  <c r="F21" i="2" s="1"/>
  <c r="C22" i="2" s="1"/>
  <c r="D22" i="2" s="1"/>
  <c r="F22" i="2" s="1"/>
  <c r="C23" i="2" s="1"/>
  <c r="D23" i="2" s="1"/>
  <c r="F23" i="2" s="1"/>
  <c r="C24" i="2" s="1"/>
  <c r="D24" i="2" s="1"/>
  <c r="F24" i="2" s="1"/>
  <c r="C25" i="2" s="1"/>
  <c r="D25" i="2" s="1"/>
  <c r="F25" i="2" s="1"/>
  <c r="C26" i="2" s="1"/>
  <c r="D26" i="2" s="1"/>
  <c r="F26" i="2" s="1"/>
  <c r="C27" i="2" s="1"/>
  <c r="D27" i="2" s="1"/>
  <c r="D65" i="2"/>
  <c r="F65" i="2" s="1"/>
  <c r="C66" i="2" s="1"/>
  <c r="D66" i="2" l="1"/>
  <c r="F66" i="2"/>
  <c r="C67" i="2" s="1"/>
  <c r="E28" i="2"/>
  <c r="F27" i="2"/>
  <c r="C28" i="2" s="1"/>
  <c r="D28" i="2" s="1"/>
  <c r="I16" i="2"/>
  <c r="K16" i="2" s="1"/>
  <c r="H17" i="2" s="1"/>
  <c r="I17" i="2" l="1"/>
  <c r="K17" i="2" s="1"/>
  <c r="H18" i="2" s="1"/>
  <c r="F28" i="2"/>
  <c r="C29" i="2" s="1"/>
  <c r="D29" i="2" s="1"/>
  <c r="E29" i="2"/>
  <c r="D67" i="2"/>
  <c r="F67" i="2" s="1"/>
  <c r="C68" i="2" s="1"/>
  <c r="D68" i="2" l="1"/>
  <c r="F68" i="2"/>
  <c r="C69" i="2" s="1"/>
  <c r="I18" i="2"/>
  <c r="K18" i="2"/>
  <c r="H19" i="2" s="1"/>
  <c r="F29" i="2"/>
  <c r="C30" i="2" s="1"/>
  <c r="D30" i="2" s="1"/>
  <c r="E30" i="2"/>
  <c r="E31" i="2" l="1"/>
  <c r="F30" i="2"/>
  <c r="C31" i="2" s="1"/>
  <c r="D31" i="2" s="1"/>
  <c r="I19" i="2"/>
  <c r="K19" i="2" s="1"/>
  <c r="H20" i="2" s="1"/>
  <c r="D69" i="2"/>
  <c r="F69" i="2" s="1"/>
  <c r="C70" i="2" s="1"/>
  <c r="D70" i="2" l="1"/>
  <c r="F70" i="2" s="1"/>
  <c r="C71" i="2" s="1"/>
  <c r="I20" i="2"/>
  <c r="K20" i="2"/>
  <c r="H21" i="2" s="1"/>
  <c r="F31" i="2"/>
  <c r="C32" i="2" s="1"/>
  <c r="D32" i="2" s="1"/>
  <c r="E32" i="2"/>
  <c r="E33" i="2" l="1"/>
  <c r="F32" i="2"/>
  <c r="C33" i="2" s="1"/>
  <c r="D33" i="2" s="1"/>
  <c r="I21" i="2"/>
  <c r="K21" i="2" s="1"/>
  <c r="H22" i="2" s="1"/>
  <c r="D71" i="2"/>
  <c r="F71" i="2" s="1"/>
  <c r="C72" i="2" s="1"/>
  <c r="D72" i="2" l="1"/>
  <c r="F72" i="2"/>
  <c r="C73" i="2" s="1"/>
  <c r="I22" i="2"/>
  <c r="K22" i="2"/>
  <c r="H23" i="2" s="1"/>
  <c r="E34" i="2"/>
  <c r="F33" i="2"/>
  <c r="C34" i="2" s="1"/>
  <c r="D34" i="2" s="1"/>
  <c r="F34" i="2" l="1"/>
  <c r="C35" i="2" s="1"/>
  <c r="D35" i="2" s="1"/>
  <c r="E35" i="2"/>
  <c r="I23" i="2"/>
  <c r="K23" i="2" s="1"/>
  <c r="H24" i="2" s="1"/>
  <c r="D73" i="2"/>
  <c r="F73" i="2" s="1"/>
  <c r="C74" i="2" s="1"/>
  <c r="D74" i="2" l="1"/>
  <c r="F74" i="2"/>
  <c r="C75" i="2" s="1"/>
  <c r="I24" i="2"/>
  <c r="K24" i="2"/>
  <c r="H25" i="2" s="1"/>
  <c r="F35" i="2"/>
  <c r="C36" i="2" s="1"/>
  <c r="D36" i="2" s="1"/>
  <c r="E36" i="2"/>
  <c r="F36" i="2" l="1"/>
  <c r="C37" i="2" s="1"/>
  <c r="D37" i="2" s="1"/>
  <c r="E37" i="2"/>
  <c r="I25" i="2"/>
  <c r="K25" i="2" s="1"/>
  <c r="H26" i="2" s="1"/>
  <c r="D75" i="2"/>
  <c r="F75" i="2" s="1"/>
  <c r="C76" i="2" s="1"/>
  <c r="D76" i="2" l="1"/>
  <c r="F76" i="2"/>
  <c r="C77" i="2" s="1"/>
  <c r="I26" i="2"/>
  <c r="K26" i="2" s="1"/>
  <c r="H27" i="2" s="1"/>
  <c r="F37" i="2"/>
  <c r="C38" i="2" s="1"/>
  <c r="D38" i="2" s="1"/>
  <c r="E38" i="2"/>
  <c r="I27" i="2" l="1"/>
  <c r="K27" i="2" s="1"/>
  <c r="H28" i="2" s="1"/>
  <c r="E39" i="2"/>
  <c r="F38" i="2"/>
  <c r="C39" i="2" s="1"/>
  <c r="D39" i="2" s="1"/>
  <c r="D77" i="2"/>
  <c r="F77" i="2" s="1"/>
  <c r="C78" i="2" s="1"/>
  <c r="D78" i="2" l="1"/>
  <c r="F78" i="2"/>
  <c r="C79" i="2" s="1"/>
  <c r="I28" i="2"/>
  <c r="K28" i="2"/>
  <c r="H29" i="2" s="1"/>
  <c r="E40" i="2"/>
  <c r="F39" i="2"/>
  <c r="C40" i="2" s="1"/>
  <c r="D40" i="2" s="1"/>
  <c r="E41" i="2" l="1"/>
  <c r="F40" i="2"/>
  <c r="C41" i="2" s="1"/>
  <c r="D41" i="2" s="1"/>
  <c r="I29" i="2"/>
  <c r="K29" i="2" s="1"/>
  <c r="H30" i="2" s="1"/>
  <c r="D79" i="2"/>
  <c r="F79" i="2" s="1"/>
  <c r="C80" i="2" s="1"/>
  <c r="D80" i="2" l="1"/>
  <c r="F80" i="2"/>
  <c r="C81" i="2" s="1"/>
  <c r="I30" i="2"/>
  <c r="K30" i="2"/>
  <c r="H31" i="2" s="1"/>
  <c r="E42" i="2"/>
  <c r="F41" i="2"/>
  <c r="C42" i="2" s="1"/>
  <c r="D42" i="2" s="1"/>
  <c r="F42" i="2" l="1"/>
  <c r="C43" i="2" s="1"/>
  <c r="D43" i="2" s="1"/>
  <c r="E43" i="2"/>
  <c r="I31" i="2"/>
  <c r="K31" i="2" s="1"/>
  <c r="H32" i="2" s="1"/>
  <c r="D81" i="2"/>
  <c r="F81" i="2" s="1"/>
  <c r="C82" i="2" s="1"/>
  <c r="D82" i="2" l="1"/>
  <c r="F82" i="2"/>
  <c r="C83" i="2" s="1"/>
  <c r="I32" i="2"/>
  <c r="K32" i="2" s="1"/>
  <c r="H33" i="2" s="1"/>
  <c r="F43" i="2"/>
  <c r="C44" i="2" s="1"/>
  <c r="D44" i="2" s="1"/>
  <c r="E44" i="2"/>
  <c r="I33" i="2" l="1"/>
  <c r="K33" i="2" s="1"/>
  <c r="H34" i="2" s="1"/>
  <c r="F44" i="2"/>
  <c r="C45" i="2" s="1"/>
  <c r="D45" i="2" s="1"/>
  <c r="E45" i="2"/>
  <c r="F45" i="2" s="1"/>
  <c r="D83" i="2"/>
  <c r="F83" i="2" s="1"/>
  <c r="C84" i="2" s="1"/>
  <c r="D84" i="2" l="1"/>
  <c r="F84" i="2"/>
  <c r="C85" i="2" s="1"/>
  <c r="I34" i="2"/>
  <c r="K34" i="2"/>
  <c r="H35" i="2" s="1"/>
  <c r="I35" i="2" l="1"/>
  <c r="K35" i="2"/>
  <c r="H36" i="2" s="1"/>
  <c r="D85" i="2"/>
  <c r="F85" i="2" s="1"/>
  <c r="C86" i="2" s="1"/>
  <c r="D86" i="2" l="1"/>
  <c r="F86" i="2"/>
  <c r="C87" i="2" s="1"/>
  <c r="I36" i="2"/>
  <c r="K36" i="2"/>
  <c r="H37" i="2" s="1"/>
  <c r="I37" i="2" l="1"/>
  <c r="K37" i="2" s="1"/>
  <c r="H38" i="2" s="1"/>
  <c r="D87" i="2"/>
  <c r="F87" i="2" s="1"/>
  <c r="C88" i="2" s="1"/>
  <c r="D88" i="2" l="1"/>
  <c r="F88" i="2"/>
  <c r="C89" i="2" s="1"/>
  <c r="I38" i="2"/>
  <c r="K38" i="2"/>
  <c r="H39" i="2" s="1"/>
  <c r="I39" i="2" l="1"/>
  <c r="K39" i="2" s="1"/>
  <c r="H40" i="2" s="1"/>
  <c r="D89" i="2"/>
  <c r="F89" i="2" s="1"/>
  <c r="C90" i="2" s="1"/>
  <c r="D90" i="2" l="1"/>
  <c r="F90" i="2" s="1"/>
  <c r="C91" i="2" s="1"/>
  <c r="I40" i="2"/>
  <c r="K40" i="2"/>
  <c r="H41" i="2" s="1"/>
  <c r="I41" i="2" l="1"/>
  <c r="K41" i="2"/>
  <c r="H42" i="2" s="1"/>
  <c r="D91" i="2"/>
  <c r="F91" i="2" s="1"/>
  <c r="C92" i="2" s="1"/>
  <c r="D92" i="2" l="1"/>
  <c r="F92" i="2"/>
  <c r="I42" i="2"/>
  <c r="K42" i="2" s="1"/>
  <c r="H43" i="2" s="1"/>
  <c r="I43" i="2" l="1"/>
  <c r="K43" i="2"/>
  <c r="H44" i="2" s="1"/>
  <c r="I44" i="2" l="1"/>
  <c r="K44" i="2" s="1"/>
  <c r="H45" i="2" s="1"/>
  <c r="I45" i="2" l="1"/>
  <c r="K45" i="2" s="1"/>
</calcChain>
</file>

<file path=xl/sharedStrings.xml><?xml version="1.0" encoding="utf-8"?>
<sst xmlns="http://schemas.openxmlformats.org/spreadsheetml/2006/main" count="208" uniqueCount="139">
  <si>
    <t>Corporate Finance</t>
  </si>
  <si>
    <t>HW 3 Answers</t>
  </si>
  <si>
    <t>Fall 2024</t>
  </si>
  <si>
    <t>Question 3</t>
  </si>
  <si>
    <t>Luiza</t>
  </si>
  <si>
    <t>PV</t>
  </si>
  <si>
    <t>FV</t>
  </si>
  <si>
    <t>=FV(rate,nper,pmt,pv,type) after 10 years</t>
  </si>
  <si>
    <t>N</t>
  </si>
  <si>
    <t>Rate</t>
  </si>
  <si>
    <t>PMT</t>
  </si>
  <si>
    <t>Beginning balance @ Y10</t>
  </si>
  <si>
    <t xml:space="preserve">=FV(rate,nper,pmt,pv,type) </t>
  </si>
  <si>
    <t>NPER</t>
  </si>
  <si>
    <t>Lazy</t>
  </si>
  <si>
    <t>Since Luiza starts with 138,165, the 7% return each year adds 9,671 to her balance.</t>
  </si>
  <si>
    <t xml:space="preserve">Since this return is about equal to Lazy's yearly investment and Luiza starts with </t>
  </si>
  <si>
    <t>$138,164, she ends up with more than Lazy.  In about 60 years, Lazy will overtake Luiza.</t>
  </si>
  <si>
    <t>Payment</t>
  </si>
  <si>
    <t>Year</t>
  </si>
  <si>
    <t>Beginning Balance</t>
  </si>
  <si>
    <t>Interest</t>
  </si>
  <si>
    <t>Ending Balance</t>
  </si>
  <si>
    <t>Beg Bal</t>
  </si>
  <si>
    <t>End Bal</t>
  </si>
  <si>
    <t>Amortization Table</t>
  </si>
  <si>
    <t>Loan Amount</t>
  </si>
  <si>
    <t>Interest Rate</t>
  </si>
  <si>
    <t>Beg. Bal</t>
  </si>
  <si>
    <t>Interest (BB*Int)</t>
  </si>
  <si>
    <t>Using IRR</t>
  </si>
  <si>
    <t>Nominal Int</t>
  </si>
  <si>
    <t>Points</t>
  </si>
  <si>
    <t>#Per Loan Outstanding</t>
  </si>
  <si>
    <t>Final Balance</t>
  </si>
  <si>
    <t>&lt;--Sum of final payment and Final Balance</t>
  </si>
  <si>
    <t>IRR</t>
  </si>
  <si>
    <t>Interest (APR)</t>
  </si>
  <si>
    <t>Question 1</t>
  </si>
  <si>
    <t>7.0% / 12</t>
  </si>
  <si>
    <t>12  * 30 years</t>
  </si>
  <si>
    <t>You hope</t>
  </si>
  <si>
    <t>=PMT(rate,nper,pv,fv,type)</t>
  </si>
  <si>
    <t>(b)</t>
    <phoneticPr fontId="0" type="noConversion"/>
  </si>
  <si>
    <t>Extra $/month</t>
  </si>
  <si>
    <t>New PMT</t>
  </si>
  <si>
    <t>=NPER(rate,pmt,pv,fv,type)</t>
  </si>
  <si>
    <t>N (Years)</t>
  </si>
  <si>
    <t>(c)</t>
    <phoneticPr fontId="0" type="noConversion"/>
  </si>
  <si>
    <t>I</t>
  </si>
  <si>
    <t>Change to 180 (15*12)</t>
  </si>
  <si>
    <t>(d)</t>
    <phoneticPr fontId="0" type="noConversion"/>
  </si>
  <si>
    <t>To determine the principal after the 72nd payment, change NPER to 288 and then recompute PV.</t>
  </si>
  <si>
    <t>=PV(rate,nper,pmt,fv,type)</t>
  </si>
  <si>
    <t>Change to 288 (360-72 months)</t>
  </si>
  <si>
    <t xml:space="preserve"> From above</t>
    <phoneticPr fontId="0" type="noConversion"/>
  </si>
  <si>
    <t>After finding the new principal, subtract the bonus and then redetermine NPER</t>
  </si>
  <si>
    <t>Bonus</t>
  </si>
  <si>
    <t>NPER Change</t>
  </si>
  <si>
    <t>Question 2(a)</t>
  </si>
  <si>
    <t>(a)</t>
  </si>
  <si>
    <t>Points (%)</t>
  </si>
  <si>
    <t>Points (Amt)</t>
  </si>
  <si>
    <t>Points(%) * Loan Amt</t>
  </si>
  <si>
    <t>Loan</t>
  </si>
  <si>
    <t xml:space="preserve"> = Loan - Points*Loan</t>
  </si>
  <si>
    <t>Nominal Yearly (APR)</t>
  </si>
  <si>
    <r>
      <rPr>
        <i/>
        <sz val="10"/>
        <rFont val="Verdana"/>
        <family val="2"/>
      </rPr>
      <t>Nominal</t>
    </r>
    <r>
      <rPr>
        <sz val="10"/>
        <rFont val="Verdana"/>
        <family val="2"/>
      </rPr>
      <t xml:space="preserve"> Int (monthly)</t>
    </r>
  </si>
  <si>
    <t xml:space="preserve"> = .07 /12</t>
  </si>
  <si>
    <t>True Int (monthly)</t>
  </si>
  <si>
    <t>=RATE(nper,pmt,pv,fv,type,guess)</t>
  </si>
  <si>
    <t>APR</t>
  </si>
  <si>
    <t xml:space="preserve"> = True Int (Monthly) * 12</t>
  </si>
  <si>
    <t>EAR</t>
  </si>
  <si>
    <t xml:space="preserve"> = Note, the EAR would be (1+.0061)^12-1</t>
  </si>
  <si>
    <t>(b)</t>
  </si>
  <si>
    <t>7% + 3 points--&gt;from above</t>
  </si>
  <si>
    <r>
      <t>=PMT(</t>
    </r>
    <r>
      <rPr>
        <b/>
        <sz val="10"/>
        <rFont val="Verdana"/>
        <family val="2"/>
      </rPr>
      <t>7.5%/12</t>
    </r>
    <r>
      <rPr>
        <sz val="10"/>
        <rFont val="Verdana"/>
        <family val="2"/>
      </rPr>
      <t>,nper,pv,fv,type); same inputs as above except 7.5% annual rate</t>
    </r>
  </si>
  <si>
    <t>Difference per Month</t>
  </si>
  <si>
    <t>Total Pts Paid</t>
  </si>
  <si>
    <t xml:space="preserve"># of Months to </t>
  </si>
  <si>
    <t>=Points paid / monthly difference</t>
  </si>
  <si>
    <t>recover points paid</t>
  </si>
  <si>
    <t>=INT(Months/12) &amp; "years and " &amp;ROUND(MOD(Months,12),0)&amp;  " months"</t>
  </si>
  <si>
    <t>Years to recover</t>
  </si>
  <si>
    <t>Problem with breakeven analysis on line is that its doesn't take into account the TVM</t>
  </si>
  <si>
    <t xml:space="preserve">or the tax savings associated with paying different amount of interest.  One site that does </t>
  </si>
  <si>
    <t>is the mortgage professor (mtgprofessor.com)</t>
  </si>
  <si>
    <t>https://www.mtgprofessor.com/A%20-%20Points/why_pay_points.htm</t>
  </si>
  <si>
    <t>(c)</t>
  </si>
  <si>
    <t>Begin Bal</t>
  </si>
  <si>
    <t>Nominal I (monthly)</t>
  </si>
  <si>
    <t>=7%/12</t>
  </si>
  <si>
    <t>There are 3 ways to find the loan balance after 36 payments:</t>
  </si>
  <si>
    <r>
      <rPr>
        <b/>
        <sz val="10"/>
        <rFont val="Verdana"/>
        <family val="2"/>
      </rPr>
      <t xml:space="preserve">[1] </t>
    </r>
    <r>
      <rPr>
        <sz val="10"/>
        <rFont val="Verdana"/>
        <family val="2"/>
      </rPr>
      <t>Find PV(Ann) with payments of $3,327, 324 (360-36) periods, and a rate of 7.0%/12.</t>
    </r>
  </si>
  <si>
    <t>Nom. I</t>
  </si>
  <si>
    <t>PV (Bal after 36M)</t>
  </si>
  <si>
    <r>
      <t>[2]</t>
    </r>
    <r>
      <rPr>
        <sz val="10"/>
        <rFont val="Verdana"/>
        <family val="2"/>
      </rPr>
      <t xml:space="preserve"> Use Excel func. "CUMPRINC", which gives the cummulative principal paid between 2  periods.</t>
    </r>
  </si>
  <si>
    <t>Principal Paid</t>
  </si>
  <si>
    <t>CUMPRINC(rate,nper,pv,start_period,end_period,type)</t>
  </si>
  <si>
    <t>Ending Principal</t>
  </si>
  <si>
    <t>=500,000 - Principal Paid</t>
  </si>
  <si>
    <r>
      <t xml:space="preserve">[3] </t>
    </r>
    <r>
      <rPr>
        <sz val="10"/>
        <rFont val="Verdana"/>
        <family val="2"/>
      </rPr>
      <t>Create Amortization chart (see details tab)</t>
    </r>
  </si>
  <si>
    <t>Once you find the principal after 36 periods, you can now find the true 3-yr interest in 2 ways:</t>
  </si>
  <si>
    <r>
      <t xml:space="preserve">[1] </t>
    </r>
    <r>
      <rPr>
        <sz val="10"/>
        <rFont val="Verdana"/>
        <family val="2"/>
      </rPr>
      <t>IRR: inflows: Loan amt less points; outflows: monthly payments PLUS final principal</t>
    </r>
  </si>
  <si>
    <t>See details table</t>
  </si>
  <si>
    <r>
      <t xml:space="preserve">[2] </t>
    </r>
    <r>
      <rPr>
        <sz val="10"/>
        <rFont val="Verdana"/>
        <family val="2"/>
      </rPr>
      <t>Use RATE function but remember to adjust FV to reflect loan balance after 36 payments,</t>
    </r>
  </si>
  <si>
    <t>use loan amount less points for PV, and use 36 for NPER</t>
  </si>
  <si>
    <t>Balance after 36 monthly payments</t>
  </si>
  <si>
    <t>Loan - Points*Loan</t>
  </si>
  <si>
    <t>True I (monthly)</t>
  </si>
  <si>
    <t xml:space="preserve">=True (monthly) *12  </t>
  </si>
  <si>
    <t>=(1+true monthly)^12-1</t>
  </si>
  <si>
    <t>Q# 1</t>
  </si>
  <si>
    <t>PV minus bonus above</t>
  </si>
  <si>
    <t>Trick from the internet; months is rounded.  For all things Excel, Google or ChatGPT is your friend</t>
  </si>
  <si>
    <r>
      <t>&lt;--</t>
    </r>
    <r>
      <rPr>
        <sz val="10"/>
        <rFont val="Verdana"/>
        <family val="2"/>
      </rPr>
      <t>250 + PMT from above</t>
    </r>
  </si>
  <si>
    <t>Q# 3(c)</t>
  </si>
  <si>
    <t>&lt;==.07/12</t>
  </si>
  <si>
    <t>Convert Months to Years: INT(291/12)&amp;"years" and "&amp;MOD(291,12)&amp; "months  [Trick I found on the internet]</t>
  </si>
  <si>
    <t>See Details tab for yearly and final balances</t>
  </si>
  <si>
    <t xml:space="preserve"> By increasing the payment by 7%, you knock about 20% off the term.</t>
  </si>
  <si>
    <t>The loan is now repaid in roughly 24.25 years.  Note, months are rounded values.</t>
  </si>
  <si>
    <t>By increasing the payment by 28%, you knock about 50% off the term.</t>
  </si>
  <si>
    <t>Difference btwn 288 and 222</t>
  </si>
  <si>
    <t>Convert Months to Years: INT(66/12)&amp;" years and" "&amp;MOD(66,12)&amp; " months"  [Trick from the internet]</t>
  </si>
  <si>
    <t>Reducing principal by 11%, you lower remaining term by about 23%.</t>
  </si>
  <si>
    <t>&lt;--.07/12</t>
  </si>
  <si>
    <t>&lt;---(1+IRR)^12 -1</t>
  </si>
  <si>
    <t xml:space="preserve">APR calculator </t>
  </si>
  <si>
    <t>You can also use an APR calculator:</t>
  </si>
  <si>
    <t>Mortgage Professor Calculator</t>
  </si>
  <si>
    <t>In this loan, each point increases the EAR by about 18 bps</t>
  </si>
  <si>
    <t>&lt;--Loan Amount minus Prin. Paid (Excel CUMPRINC or PV)</t>
  </si>
  <si>
    <t>True Amt Borrowed</t>
  </si>
  <si>
    <t xml:space="preserve"> (Loan-Pts)</t>
  </si>
  <si>
    <t>IRR(C102:C138,0.05).  Note:  this gives the monthly IRR.</t>
  </si>
  <si>
    <t>&lt;==IRR*12.  Note, it's a bit more than 7%.</t>
  </si>
  <si>
    <t xml:space="preserve">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</si>
</sst>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_(* #,##0_);_(* \(#,##0\);_(* &quot;-&quot;??_);_(@_)"/>
    <numFmt numFmtId="167" formatCode="#,##0;\(#,##0\)"/>
    <numFmt numFmtId="168" formatCode="0.00000"/>
    <numFmt numFmtId="169" formatCode="0.000000"/>
    <numFmt numFmtId="170" formatCode="0.0000%"/>
    <numFmt numFmtId="171" formatCode="0.000%"/>
    <numFmt numFmtId="172" formatCode="0.0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u/>
      <sz val="12"/>
      <color theme="10"/>
      <name val="Aptos Narrow"/>
      <family val="2"/>
      <scheme val="minor"/>
    </font>
    <font>
      <i/>
      <sz val="10"/>
      <name val="Verdana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32">
    <xf numFmtId="0" fontId="0" fillId="0" borderId="0" xfId="0"/>
    <xf numFmtId="0" fontId="2" fillId="2" borderId="0" xfId="0" applyFont="1" applyFill="1" applyAlignment="1">
      <alignment horizontal="left"/>
    </xf>
    <xf numFmtId="0" fontId="2" fillId="0" borderId="2" xfId="0" applyFont="1" applyBorder="1"/>
    <xf numFmtId="0" fontId="4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6" fontId="2" fillId="0" borderId="0" xfId="2" applyNumberFormat="1" applyFont="1" applyBorder="1" applyAlignment="1">
      <alignment horizontal="center"/>
    </xf>
    <xf numFmtId="0" fontId="2" fillId="0" borderId="0" xfId="0" quotePrefix="1" applyFont="1"/>
    <xf numFmtId="0" fontId="2" fillId="0" borderId="0" xfId="0" applyFont="1"/>
    <xf numFmtId="0" fontId="2" fillId="0" borderId="5" xfId="0" applyFont="1" applyBorder="1"/>
    <xf numFmtId="0" fontId="2" fillId="3" borderId="1" xfId="0" applyFont="1" applyFill="1" applyBorder="1" applyAlignment="1">
      <alignment horizontal="center"/>
    </xf>
    <xf numFmtId="0" fontId="2" fillId="4" borderId="0" xfId="3" applyFont="1" applyFill="1" applyAlignment="1">
      <alignment horizontal="center"/>
    </xf>
    <xf numFmtId="0" fontId="3" fillId="0" borderId="0" xfId="3"/>
    <xf numFmtId="0" fontId="2" fillId="5" borderId="0" xfId="3" applyFont="1" applyFill="1" applyAlignment="1">
      <alignment horizontal="center"/>
    </xf>
    <xf numFmtId="43" fontId="2" fillId="0" borderId="0" xfId="4" applyFont="1" applyAlignment="1">
      <alignment horizontal="center"/>
    </xf>
    <xf numFmtId="166" fontId="2" fillId="0" borderId="0" xfId="4" applyNumberFormat="1" applyFont="1"/>
    <xf numFmtId="0" fontId="2" fillId="0" borderId="0" xfId="3" applyFont="1" applyAlignment="1">
      <alignment horizontal="center"/>
    </xf>
    <xf numFmtId="9" fontId="2" fillId="6" borderId="0" xfId="5" applyFont="1" applyFill="1" applyAlignment="1">
      <alignment horizontal="center"/>
    </xf>
    <xf numFmtId="9" fontId="2" fillId="0" borderId="0" xfId="3" applyNumberFormat="1" applyFont="1" applyAlignment="1">
      <alignment horizontal="center"/>
    </xf>
    <xf numFmtId="0" fontId="2" fillId="0" borderId="9" xfId="3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3" fillId="0" borderId="0" xfId="3" applyAlignment="1">
      <alignment horizontal="center"/>
    </xf>
    <xf numFmtId="3" fontId="3" fillId="0" borderId="0" xfId="3" applyNumberFormat="1"/>
    <xf numFmtId="167" fontId="6" fillId="0" borderId="0" xfId="3" applyNumberFormat="1" applyFont="1"/>
    <xf numFmtId="3" fontId="2" fillId="5" borderId="0" xfId="3" applyNumberFormat="1" applyFont="1" applyFill="1"/>
    <xf numFmtId="167" fontId="5" fillId="5" borderId="0" xfId="3" applyNumberFormat="1" applyFont="1" applyFill="1"/>
    <xf numFmtId="0" fontId="2" fillId="5" borderId="0" xfId="3" applyFont="1" applyFill="1"/>
    <xf numFmtId="0" fontId="3" fillId="5" borderId="0" xfId="3" applyFill="1"/>
    <xf numFmtId="0" fontId="2" fillId="0" borderId="0" xfId="3" applyFont="1"/>
    <xf numFmtId="164" fontId="0" fillId="0" borderId="0" xfId="4" applyNumberFormat="1" applyFont="1" applyAlignment="1">
      <alignment horizontal="center"/>
    </xf>
    <xf numFmtId="168" fontId="3" fillId="0" borderId="0" xfId="3" applyNumberFormat="1" applyAlignment="1">
      <alignment horizontal="center"/>
    </xf>
    <xf numFmtId="6" fontId="3" fillId="0" borderId="0" xfId="3" applyNumberFormat="1" applyAlignment="1">
      <alignment horizontal="center"/>
    </xf>
    <xf numFmtId="0" fontId="2" fillId="0" borderId="0" xfId="3" applyFont="1" applyAlignment="1">
      <alignment horizontal="center" wrapText="1"/>
    </xf>
    <xf numFmtId="166" fontId="0" fillId="0" borderId="0" xfId="4" applyNumberFormat="1" applyFont="1" applyAlignment="1">
      <alignment horizontal="center"/>
    </xf>
    <xf numFmtId="166" fontId="3" fillId="0" borderId="0" xfId="3" applyNumberFormat="1" applyAlignment="1">
      <alignment horizontal="center"/>
    </xf>
    <xf numFmtId="166" fontId="2" fillId="5" borderId="0" xfId="3" applyNumberFormat="1" applyFont="1" applyFill="1" applyAlignment="1">
      <alignment horizontal="center"/>
    </xf>
    <xf numFmtId="0" fontId="2" fillId="5" borderId="1" xfId="3" applyFont="1" applyFill="1" applyBorder="1"/>
    <xf numFmtId="6" fontId="0" fillId="0" borderId="0" xfId="4" applyNumberFormat="1" applyFont="1" applyAlignment="1">
      <alignment horizontal="center"/>
    </xf>
    <xf numFmtId="169" fontId="3" fillId="0" borderId="0" xfId="3" applyNumberFormat="1" applyAlignment="1">
      <alignment horizontal="center"/>
    </xf>
    <xf numFmtId="0" fontId="3" fillId="0" borderId="0" xfId="3" quotePrefix="1"/>
    <xf numFmtId="3" fontId="0" fillId="0" borderId="0" xfId="4" applyNumberFormat="1" applyFont="1" applyBorder="1" applyAlignment="1">
      <alignment horizontal="center"/>
    </xf>
    <xf numFmtId="0" fontId="2" fillId="0" borderId="12" xfId="3" applyFont="1" applyBorder="1"/>
    <xf numFmtId="0" fontId="2" fillId="0" borderId="3" xfId="3" applyFont="1" applyBorder="1"/>
    <xf numFmtId="8" fontId="3" fillId="0" borderId="0" xfId="3" applyNumberFormat="1" applyAlignment="1">
      <alignment horizontal="center"/>
    </xf>
    <xf numFmtId="6" fontId="2" fillId="0" borderId="6" xfId="3" applyNumberFormat="1" applyFont="1" applyBorder="1"/>
    <xf numFmtId="164" fontId="2" fillId="0" borderId="8" xfId="4" applyNumberFormat="1" applyFont="1" applyBorder="1" applyAlignment="1">
      <alignment horizontal="center"/>
    </xf>
    <xf numFmtId="0" fontId="3" fillId="0" borderId="7" xfId="3" applyBorder="1" applyAlignment="1">
      <alignment horizontal="center"/>
    </xf>
    <xf numFmtId="8" fontId="3" fillId="0" borderId="7" xfId="3" applyNumberFormat="1" applyBorder="1" applyAlignment="1">
      <alignment horizontal="center"/>
    </xf>
    <xf numFmtId="170" fontId="2" fillId="0" borderId="0" xfId="3" applyNumberFormat="1" applyFont="1" applyAlignment="1">
      <alignment horizontal="center"/>
    </xf>
    <xf numFmtId="9" fontId="2" fillId="0" borderId="0" xfId="3" quotePrefix="1" applyNumberFormat="1" applyFont="1"/>
    <xf numFmtId="10" fontId="2" fillId="0" borderId="0" xfId="5" applyNumberFormat="1" applyFont="1" applyAlignment="1">
      <alignment horizontal="center"/>
    </xf>
    <xf numFmtId="164" fontId="0" fillId="0" borderId="0" xfId="4" applyNumberFormat="1" applyFont="1" applyFill="1" applyBorder="1" applyAlignment="1">
      <alignment horizontal="center"/>
    </xf>
    <xf numFmtId="43" fontId="0" fillId="0" borderId="0" xfId="4" applyFont="1" applyFill="1" applyBorder="1" applyAlignment="1">
      <alignment horizontal="center"/>
    </xf>
    <xf numFmtId="43" fontId="3" fillId="0" borderId="0" xfId="3" applyNumberFormat="1" applyAlignment="1">
      <alignment horizontal="center"/>
    </xf>
    <xf numFmtId="43" fontId="2" fillId="0" borderId="0" xfId="3" applyNumberFormat="1" applyFont="1" applyAlignment="1">
      <alignment horizontal="center"/>
    </xf>
    <xf numFmtId="0" fontId="2" fillId="0" borderId="4" xfId="0" applyFont="1" applyBorder="1"/>
    <xf numFmtId="10" fontId="3" fillId="0" borderId="0" xfId="5" applyNumberFormat="1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6" fontId="2" fillId="0" borderId="7" xfId="0" applyNumberFormat="1" applyFont="1" applyBorder="1"/>
    <xf numFmtId="0" fontId="2" fillId="7" borderId="1" xfId="0" applyFont="1" applyFill="1" applyBorder="1" applyAlignment="1">
      <alignment horizontal="center"/>
    </xf>
    <xf numFmtId="0" fontId="3" fillId="0" borderId="0" xfId="0" quotePrefix="1" applyFont="1"/>
    <xf numFmtId="10" fontId="2" fillId="0" borderId="0" xfId="5" applyNumberFormat="1" applyFont="1" applyBorder="1" applyAlignment="1">
      <alignment horizontal="center"/>
    </xf>
    <xf numFmtId="10" fontId="3" fillId="0" borderId="4" xfId="0" applyNumberFormat="1" applyFont="1" applyBorder="1" applyAlignment="1">
      <alignment horizontal="center"/>
    </xf>
    <xf numFmtId="172" fontId="2" fillId="0" borderId="0" xfId="0" applyNumberFormat="1" applyFont="1" applyAlignment="1">
      <alignment horizontal="center"/>
    </xf>
    <xf numFmtId="164" fontId="2" fillId="0" borderId="0" xfId="4" applyNumberFormat="1" applyFont="1" applyBorder="1" applyAlignment="1">
      <alignment horizontal="center"/>
    </xf>
    <xf numFmtId="6" fontId="2" fillId="0" borderId="0" xfId="4" applyNumberFormat="1" applyFont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0" fontId="2" fillId="8" borderId="1" xfId="0" applyFont="1" applyFill="1" applyBorder="1" applyAlignment="1">
      <alignment horizontal="center"/>
    </xf>
    <xf numFmtId="3" fontId="3" fillId="8" borderId="0" xfId="3" applyNumberFormat="1" applyFill="1"/>
    <xf numFmtId="0" fontId="7" fillId="0" borderId="0" xfId="6"/>
    <xf numFmtId="0" fontId="10" fillId="2" borderId="0" xfId="0" applyFont="1" applyFill="1" applyAlignment="1">
      <alignment horizontal="center"/>
    </xf>
    <xf numFmtId="0" fontId="10" fillId="0" borderId="0" xfId="0" applyFont="1"/>
    <xf numFmtId="9" fontId="10" fillId="0" borderId="2" xfId="2" applyFont="1" applyBorder="1" applyAlignment="1">
      <alignment horizontal="center"/>
    </xf>
    <xf numFmtId="0" fontId="10" fillId="0" borderId="2" xfId="0" applyFont="1" applyBorder="1"/>
    <xf numFmtId="0" fontId="10" fillId="0" borderId="3" xfId="0" applyFont="1" applyBorder="1"/>
    <xf numFmtId="0" fontId="10" fillId="0" borderId="5" xfId="0" applyFont="1" applyBorder="1"/>
    <xf numFmtId="0" fontId="10" fillId="0" borderId="4" xfId="0" applyFont="1" applyBorder="1" applyAlignment="1">
      <alignment horizontal="center"/>
    </xf>
    <xf numFmtId="164" fontId="10" fillId="0" borderId="0" xfId="2" applyNumberFormat="1" applyFont="1" applyBorder="1" applyAlignment="1">
      <alignment horizontal="center"/>
    </xf>
    <xf numFmtId="1" fontId="10" fillId="0" borderId="0" xfId="2" applyNumberFormat="1" applyFont="1" applyBorder="1" applyAlignment="1">
      <alignment horizontal="center"/>
    </xf>
    <xf numFmtId="9" fontId="10" fillId="0" borderId="0" xfId="2" applyFont="1" applyBorder="1" applyAlignment="1">
      <alignment horizontal="center"/>
    </xf>
    <xf numFmtId="6" fontId="10" fillId="0" borderId="0" xfId="2" applyNumberFormat="1" applyFont="1" applyBorder="1" applyAlignment="1">
      <alignment horizontal="center"/>
    </xf>
    <xf numFmtId="165" fontId="10" fillId="0" borderId="0" xfId="0" applyNumberFormat="1" applyFont="1"/>
    <xf numFmtId="0" fontId="10" fillId="0" borderId="6" xfId="0" applyFont="1" applyBorder="1" applyAlignment="1">
      <alignment horizontal="center"/>
    </xf>
    <xf numFmtId="164" fontId="10" fillId="0" borderId="7" xfId="2" applyNumberFormat="1" applyFont="1" applyBorder="1" applyAlignment="1">
      <alignment horizontal="center"/>
    </xf>
    <xf numFmtId="0" fontId="10" fillId="0" borderId="7" xfId="0" applyFont="1" applyBorder="1"/>
    <xf numFmtId="0" fontId="10" fillId="0" borderId="8" xfId="0" applyFont="1" applyBorder="1"/>
    <xf numFmtId="0" fontId="10" fillId="0" borderId="0" xfId="0" applyFont="1" applyAlignment="1">
      <alignment horizontal="center"/>
    </xf>
    <xf numFmtId="164" fontId="10" fillId="0" borderId="0" xfId="4" applyNumberFormat="1" applyFont="1" applyBorder="1" applyAlignment="1">
      <alignment horizontal="center"/>
    </xf>
    <xf numFmtId="0" fontId="10" fillId="0" borderId="0" xfId="0" quotePrefix="1" applyFont="1"/>
    <xf numFmtId="0" fontId="10" fillId="0" borderId="4" xfId="0" applyFont="1" applyBorder="1"/>
    <xf numFmtId="0" fontId="10" fillId="0" borderId="7" xfId="0" quotePrefix="1" applyFont="1" applyBorder="1"/>
    <xf numFmtId="10" fontId="10" fillId="0" borderId="4" xfId="5" applyNumberFormat="1" applyFont="1" applyBorder="1" applyAlignment="1">
      <alignment horizontal="center"/>
    </xf>
    <xf numFmtId="10" fontId="10" fillId="0" borderId="0" xfId="5" applyNumberFormat="1" applyFont="1" applyBorder="1" applyAlignment="1">
      <alignment horizontal="center"/>
    </xf>
    <xf numFmtId="10" fontId="10" fillId="0" borderId="0" xfId="5" applyNumberFormat="1" applyFont="1" applyBorder="1"/>
    <xf numFmtId="10" fontId="10" fillId="0" borderId="5" xfId="5" applyNumberFormat="1" applyFont="1" applyBorder="1"/>
    <xf numFmtId="164" fontId="10" fillId="0" borderId="0" xfId="5" applyNumberFormat="1" applyFont="1" applyBorder="1"/>
    <xf numFmtId="8" fontId="10" fillId="0" borderId="0" xfId="0" applyNumberFormat="1" applyFont="1"/>
    <xf numFmtId="6" fontId="10" fillId="0" borderId="0" xfId="0" applyNumberFormat="1" applyFont="1" applyAlignment="1">
      <alignment horizontal="center"/>
    </xf>
    <xf numFmtId="171" fontId="10" fillId="0" borderId="0" xfId="0" applyNumberFormat="1" applyFont="1"/>
    <xf numFmtId="164" fontId="10" fillId="0" borderId="0" xfId="1" applyNumberFormat="1" applyFont="1" applyBorder="1" applyAlignment="1">
      <alignment horizontal="center"/>
    </xf>
    <xf numFmtId="0" fontId="9" fillId="0" borderId="0" xfId="6" applyFont="1"/>
    <xf numFmtId="164" fontId="10" fillId="0" borderId="0" xfId="0" applyNumberFormat="1" applyFont="1" applyAlignment="1">
      <alignment horizontal="center"/>
    </xf>
    <xf numFmtId="0" fontId="9" fillId="0" borderId="0" xfId="6" applyFont="1" applyBorder="1"/>
    <xf numFmtId="10" fontId="10" fillId="0" borderId="7" xfId="5" applyNumberFormat="1" applyFont="1" applyBorder="1" applyAlignment="1">
      <alignment horizontal="center"/>
    </xf>
    <xf numFmtId="10" fontId="2" fillId="0" borderId="0" xfId="2" applyNumberFormat="1" applyFont="1" applyAlignment="1">
      <alignment horizontal="center"/>
    </xf>
    <xf numFmtId="167" fontId="6" fillId="9" borderId="0" xfId="3" applyNumberFormat="1" applyFont="1" applyFill="1"/>
    <xf numFmtId="0" fontId="2" fillId="0" borderId="7" xfId="3" applyFont="1" applyBorder="1" applyAlignment="1">
      <alignment horizontal="center"/>
    </xf>
    <xf numFmtId="0" fontId="2" fillId="0" borderId="7" xfId="3" applyFont="1" applyBorder="1" applyAlignment="1">
      <alignment horizontal="center" wrapText="1"/>
    </xf>
    <xf numFmtId="9" fontId="2" fillId="0" borderId="6" xfId="2" applyFont="1" applyBorder="1" applyAlignment="1">
      <alignment horizontal="center"/>
    </xf>
    <xf numFmtId="9" fontId="2" fillId="0" borderId="7" xfId="2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3" fillId="0" borderId="0" xfId="0" applyFont="1" applyBorder="1"/>
    <xf numFmtId="6" fontId="2" fillId="0" borderId="0" xfId="0" applyNumberFormat="1" applyFont="1" applyBorder="1" applyAlignment="1">
      <alignment horizontal="center"/>
    </xf>
    <xf numFmtId="0" fontId="2" fillId="0" borderId="0" xfId="0" quotePrefix="1" applyFont="1" applyBorder="1"/>
    <xf numFmtId="0" fontId="10" fillId="0" borderId="0" xfId="0" quotePrefix="1" applyFont="1" applyBorder="1"/>
    <xf numFmtId="164" fontId="3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6" fontId="3" fillId="0" borderId="0" xfId="0" applyNumberFormat="1" applyFont="1" applyBorder="1" applyAlignment="1">
      <alignment horizontal="center"/>
    </xf>
    <xf numFmtId="38" fontId="10" fillId="0" borderId="0" xfId="0" applyNumberFormat="1" applyFont="1" applyBorder="1" applyAlignment="1">
      <alignment horizontal="center"/>
    </xf>
    <xf numFmtId="40" fontId="2" fillId="0" borderId="0" xfId="0" applyNumberFormat="1" applyFont="1" applyBorder="1" applyAlignment="1">
      <alignment horizontal="center"/>
    </xf>
    <xf numFmtId="6" fontId="10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6" fontId="2" fillId="0" borderId="0" xfId="0" applyNumberFormat="1" applyFont="1" applyBorder="1"/>
    <xf numFmtId="38" fontId="2" fillId="0" borderId="0" xfId="0" applyNumberFormat="1" applyFont="1" applyBorder="1" applyAlignment="1">
      <alignment horizontal="center"/>
    </xf>
    <xf numFmtId="6" fontId="10" fillId="0" borderId="0" xfId="0" applyNumberFormat="1" applyFont="1" applyBorder="1" applyAlignment="1">
      <alignment horizontal="left"/>
    </xf>
  </cellXfs>
  <cellStyles count="7">
    <cellStyle name="Comma 2" xfId="4" xr:uid="{06ECF0B6-2D92-AC40-A37F-526850D1E027}"/>
    <cellStyle name="Currency" xfId="1" builtinId="4"/>
    <cellStyle name="Hyperlink" xfId="6" builtinId="8"/>
    <cellStyle name="Normal" xfId="0" builtinId="0"/>
    <cellStyle name="Normal 2" xfId="3" xr:uid="{DE05349F-BE41-CD4F-893B-90923BC3F468}"/>
    <cellStyle name="Percent" xfId="2" builtinId="5"/>
    <cellStyle name="Percent 2" xfId="5" xr:uid="{23AC60FF-ECC3-2B46-99ED-235DDD7F8C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www.mtgprofessor.com/calculators/Calculator16.html" TargetMode="External"/><Relationship Id="rId2" Type="http://schemas.openxmlformats.org/officeDocument/2006/relationships/hyperlink" Target="https://www.calculator.net/apr-calculator.html" TargetMode="External"/><Relationship Id="rId1" Type="http://schemas.openxmlformats.org/officeDocument/2006/relationships/hyperlink" Target="https://www.mtgprofessor.com/A%20-%20Points/why_pay_point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B5BE-7AF3-BB46-8E22-3746DE23EAA1}">
  <dimension ref="B2:F143"/>
  <sheetViews>
    <sheetView showGridLines="0" tabSelected="1" topLeftCell="A81" zoomScale="114" zoomScaleNormal="130" workbookViewId="0">
      <selection activeCell="C96" sqref="C96"/>
    </sheetView>
  </sheetViews>
  <sheetFormatPr baseColWidth="10" defaultRowHeight="13" x14ac:dyDescent="0.15"/>
  <cols>
    <col min="1" max="1" width="8.5" style="76" customWidth="1"/>
    <col min="2" max="2" width="20.5" style="76" customWidth="1"/>
    <col min="3" max="3" width="28.5" style="76" customWidth="1"/>
    <col min="4" max="4" width="10.83203125" style="76"/>
    <col min="5" max="5" width="15" style="76" customWidth="1"/>
    <col min="6" max="6" width="70" style="76" customWidth="1"/>
    <col min="7" max="16384" width="10.83203125" style="76"/>
  </cols>
  <sheetData>
    <row r="2" spans="2:6" x14ac:dyDescent="0.15">
      <c r="B2" s="1" t="s">
        <v>0</v>
      </c>
      <c r="C2" s="75"/>
    </row>
    <row r="3" spans="2:6" x14ac:dyDescent="0.15">
      <c r="B3" s="1" t="s">
        <v>1</v>
      </c>
      <c r="C3" s="75"/>
    </row>
    <row r="4" spans="2:6" x14ac:dyDescent="0.15">
      <c r="B4" s="1" t="s">
        <v>2</v>
      </c>
      <c r="C4" s="75"/>
    </row>
    <row r="6" spans="2:6" ht="14" thickBot="1" x14ac:dyDescent="0.2"/>
    <row r="7" spans="2:6" ht="14" thickBot="1" x14ac:dyDescent="0.2">
      <c r="B7" s="9" t="s">
        <v>38</v>
      </c>
      <c r="C7" s="77"/>
      <c r="D7" s="2" t="s">
        <v>120</v>
      </c>
      <c r="E7" s="78"/>
      <c r="F7" s="79"/>
    </row>
    <row r="8" spans="2:6" x14ac:dyDescent="0.15">
      <c r="B8" s="3"/>
      <c r="F8" s="80"/>
    </row>
    <row r="9" spans="2:6" ht="14" thickBot="1" x14ac:dyDescent="0.2">
      <c r="B9" s="113" t="s">
        <v>4</v>
      </c>
      <c r="C9" s="114"/>
      <c r="F9" s="80"/>
    </row>
    <row r="10" spans="2:6" x14ac:dyDescent="0.15">
      <c r="B10" s="81" t="s">
        <v>5</v>
      </c>
      <c r="C10" s="82">
        <v>0</v>
      </c>
      <c r="F10" s="80"/>
    </row>
    <row r="11" spans="2:6" x14ac:dyDescent="0.15">
      <c r="B11" s="4" t="s">
        <v>6</v>
      </c>
      <c r="C11" s="5">
        <f>FV(C13,C12,C14)</f>
        <v>138164.47961279508</v>
      </c>
      <c r="D11" s="6" t="s">
        <v>7</v>
      </c>
      <c r="E11" s="7"/>
      <c r="F11" s="8"/>
    </row>
    <row r="12" spans="2:6" x14ac:dyDescent="0.15">
      <c r="B12" s="81" t="s">
        <v>8</v>
      </c>
      <c r="C12" s="83">
        <v>10</v>
      </c>
      <c r="F12" s="80"/>
    </row>
    <row r="13" spans="2:6" x14ac:dyDescent="0.15">
      <c r="B13" s="81" t="s">
        <v>9</v>
      </c>
      <c r="C13" s="84">
        <v>7.0000000000000007E-2</v>
      </c>
      <c r="F13" s="80"/>
    </row>
    <row r="14" spans="2:6" x14ac:dyDescent="0.15">
      <c r="B14" s="81" t="s">
        <v>10</v>
      </c>
      <c r="C14" s="85">
        <v>-10000</v>
      </c>
      <c r="F14" s="80"/>
    </row>
    <row r="15" spans="2:6" x14ac:dyDescent="0.15">
      <c r="B15" s="81"/>
      <c r="C15" s="84"/>
      <c r="F15" s="80"/>
    </row>
    <row r="16" spans="2:6" x14ac:dyDescent="0.15">
      <c r="B16" s="81" t="s">
        <v>5</v>
      </c>
      <c r="C16" s="82">
        <f>-C11</f>
        <v>-138164.47961279508</v>
      </c>
      <c r="D16" s="76" t="s">
        <v>11</v>
      </c>
      <c r="F16" s="80"/>
    </row>
    <row r="17" spans="2:6" x14ac:dyDescent="0.15">
      <c r="B17" s="4" t="s">
        <v>6</v>
      </c>
      <c r="C17" s="5">
        <f>FV(C19,C18,C20,C16)</f>
        <v>1051743.2566492746</v>
      </c>
      <c r="D17" s="6" t="s">
        <v>12</v>
      </c>
      <c r="E17" s="7"/>
      <c r="F17" s="8"/>
    </row>
    <row r="18" spans="2:6" x14ac:dyDescent="0.15">
      <c r="B18" s="81" t="s">
        <v>13</v>
      </c>
      <c r="C18" s="83">
        <v>30</v>
      </c>
      <c r="F18" s="80"/>
    </row>
    <row r="19" spans="2:6" x14ac:dyDescent="0.15">
      <c r="B19" s="81" t="s">
        <v>9</v>
      </c>
      <c r="C19" s="84">
        <v>7.0000000000000007E-2</v>
      </c>
      <c r="F19" s="80"/>
    </row>
    <row r="20" spans="2:6" x14ac:dyDescent="0.15">
      <c r="B20" s="81" t="s">
        <v>10</v>
      </c>
      <c r="C20" s="82">
        <v>0</v>
      </c>
      <c r="F20" s="80"/>
    </row>
    <row r="21" spans="2:6" x14ac:dyDescent="0.15">
      <c r="B21" s="81"/>
      <c r="C21" s="84"/>
      <c r="F21" s="80"/>
    </row>
    <row r="22" spans="2:6" x14ac:dyDescent="0.15">
      <c r="B22" s="81"/>
      <c r="C22" s="84"/>
      <c r="F22" s="80"/>
    </row>
    <row r="23" spans="2:6" ht="14" thickBot="1" x14ac:dyDescent="0.2">
      <c r="B23" s="113" t="s">
        <v>14</v>
      </c>
      <c r="C23" s="114"/>
      <c r="F23" s="80"/>
    </row>
    <row r="24" spans="2:6" x14ac:dyDescent="0.15">
      <c r="B24" s="81" t="s">
        <v>5</v>
      </c>
      <c r="C24" s="82">
        <v>0</v>
      </c>
      <c r="F24" s="80"/>
    </row>
    <row r="25" spans="2:6" x14ac:dyDescent="0.15">
      <c r="B25" s="4" t="s">
        <v>6</v>
      </c>
      <c r="C25" s="5">
        <f>FV(C27,C26,C28)</f>
        <v>944607.86323743279</v>
      </c>
      <c r="D25" s="6" t="s">
        <v>12</v>
      </c>
      <c r="F25" s="80"/>
    </row>
    <row r="26" spans="2:6" x14ac:dyDescent="0.15">
      <c r="B26" s="81" t="s">
        <v>13</v>
      </c>
      <c r="C26" s="83">
        <v>30</v>
      </c>
      <c r="F26" s="80"/>
    </row>
    <row r="27" spans="2:6" x14ac:dyDescent="0.15">
      <c r="B27" s="81" t="s">
        <v>9</v>
      </c>
      <c r="C27" s="84">
        <v>7.0000000000000007E-2</v>
      </c>
      <c r="F27" s="80"/>
    </row>
    <row r="28" spans="2:6" x14ac:dyDescent="0.15">
      <c r="B28" s="81" t="s">
        <v>10</v>
      </c>
      <c r="C28" s="85">
        <v>-10000</v>
      </c>
      <c r="F28" s="80"/>
    </row>
    <row r="29" spans="2:6" x14ac:dyDescent="0.15">
      <c r="B29" s="81"/>
      <c r="C29" s="82"/>
      <c r="D29" s="76" t="s">
        <v>15</v>
      </c>
      <c r="F29" s="80"/>
    </row>
    <row r="30" spans="2:6" x14ac:dyDescent="0.15">
      <c r="B30" s="81"/>
      <c r="C30" s="84"/>
      <c r="D30" s="86" t="s">
        <v>16</v>
      </c>
      <c r="F30" s="80"/>
    </row>
    <row r="31" spans="2:6" ht="14" thickBot="1" x14ac:dyDescent="0.2">
      <c r="B31" s="87"/>
      <c r="C31" s="88"/>
      <c r="D31" s="89" t="s">
        <v>17</v>
      </c>
      <c r="E31" s="89"/>
      <c r="F31" s="90"/>
    </row>
    <row r="32" spans="2:6" ht="14" thickBot="1" x14ac:dyDescent="0.2"/>
    <row r="33" spans="2:6" ht="14" thickBot="1" x14ac:dyDescent="0.2">
      <c r="B33" s="9" t="s">
        <v>59</v>
      </c>
      <c r="C33" s="78"/>
      <c r="D33" s="78"/>
      <c r="E33" s="78"/>
      <c r="F33" s="79"/>
    </row>
    <row r="34" spans="2:6" x14ac:dyDescent="0.15">
      <c r="B34" s="58"/>
      <c r="C34" s="115"/>
      <c r="D34" s="116"/>
      <c r="E34" s="116"/>
      <c r="F34" s="80"/>
    </row>
    <row r="35" spans="2:6" x14ac:dyDescent="0.15">
      <c r="B35" s="81" t="s">
        <v>5</v>
      </c>
      <c r="C35" s="92">
        <v>500000</v>
      </c>
      <c r="D35" s="116"/>
      <c r="E35" s="116"/>
      <c r="F35" s="80"/>
    </row>
    <row r="36" spans="2:6" x14ac:dyDescent="0.15">
      <c r="B36" s="81" t="s">
        <v>9</v>
      </c>
      <c r="C36" s="59">
        <f>0.07/12</f>
        <v>5.8333333333333336E-3</v>
      </c>
      <c r="D36" s="117" t="s">
        <v>39</v>
      </c>
      <c r="E36" s="116"/>
      <c r="F36" s="80"/>
    </row>
    <row r="37" spans="2:6" x14ac:dyDescent="0.15">
      <c r="B37" s="81" t="s">
        <v>13</v>
      </c>
      <c r="C37" s="115">
        <v>360</v>
      </c>
      <c r="D37" s="116" t="s">
        <v>40</v>
      </c>
      <c r="E37" s="116"/>
      <c r="F37" s="80"/>
    </row>
    <row r="38" spans="2:6" x14ac:dyDescent="0.15">
      <c r="B38" s="81" t="s">
        <v>6</v>
      </c>
      <c r="C38" s="115">
        <v>0</v>
      </c>
      <c r="D38" s="116" t="s">
        <v>41</v>
      </c>
      <c r="E38" s="116"/>
      <c r="F38" s="80"/>
    </row>
    <row r="39" spans="2:6" x14ac:dyDescent="0.15">
      <c r="B39" s="4" t="s">
        <v>10</v>
      </c>
      <c r="C39" s="118">
        <f>PMT(C36,C37,C35)</f>
        <v>-3326.5124758959159</v>
      </c>
      <c r="D39" s="119" t="s">
        <v>42</v>
      </c>
      <c r="E39" s="116"/>
      <c r="F39" s="80"/>
    </row>
    <row r="40" spans="2:6" ht="14" thickBot="1" x14ac:dyDescent="0.2">
      <c r="B40" s="4"/>
      <c r="C40" s="118"/>
      <c r="D40" s="120"/>
      <c r="E40" s="116"/>
      <c r="F40" s="80"/>
    </row>
    <row r="41" spans="2:6" ht="14" thickBot="1" x14ac:dyDescent="0.2">
      <c r="B41" s="72" t="s">
        <v>43</v>
      </c>
      <c r="C41" s="118"/>
      <c r="D41" s="120"/>
      <c r="E41" s="116"/>
      <c r="F41" s="80"/>
    </row>
    <row r="42" spans="2:6" x14ac:dyDescent="0.15">
      <c r="B42" s="81" t="s">
        <v>5</v>
      </c>
      <c r="C42" s="121">
        <f>C35</f>
        <v>500000</v>
      </c>
      <c r="D42" s="120"/>
      <c r="E42" s="116"/>
      <c r="F42" s="80"/>
    </row>
    <row r="43" spans="2:6" x14ac:dyDescent="0.15">
      <c r="B43" s="81" t="s">
        <v>9</v>
      </c>
      <c r="C43" s="122">
        <f>C36</f>
        <v>5.8333333333333336E-3</v>
      </c>
      <c r="D43" s="120"/>
      <c r="E43" s="116"/>
      <c r="F43" s="80"/>
    </row>
    <row r="44" spans="2:6" x14ac:dyDescent="0.15">
      <c r="B44" s="81" t="s">
        <v>6</v>
      </c>
      <c r="C44" s="123">
        <v>0</v>
      </c>
      <c r="D44" s="116"/>
      <c r="E44" s="116"/>
      <c r="F44" s="80"/>
    </row>
    <row r="45" spans="2:6" x14ac:dyDescent="0.15">
      <c r="B45" s="81" t="s">
        <v>44</v>
      </c>
      <c r="C45" s="123">
        <v>250</v>
      </c>
      <c r="D45" s="116"/>
      <c r="E45" s="124"/>
      <c r="F45" s="80"/>
    </row>
    <row r="46" spans="2:6" x14ac:dyDescent="0.15">
      <c r="B46" s="81" t="s">
        <v>45</v>
      </c>
      <c r="C46" s="118">
        <f>C39-C45</f>
        <v>-3576.5124758959159</v>
      </c>
      <c r="D46" s="116" t="s">
        <v>116</v>
      </c>
      <c r="E46" s="116"/>
      <c r="F46" s="80"/>
    </row>
    <row r="47" spans="2:6" x14ac:dyDescent="0.15">
      <c r="B47" s="4" t="s">
        <v>13</v>
      </c>
      <c r="C47" s="125">
        <f>NPER(C43,C46,C42,C44)</f>
        <v>290.58206378851952</v>
      </c>
      <c r="D47" s="119" t="s">
        <v>46</v>
      </c>
      <c r="E47" s="116"/>
      <c r="F47" s="80"/>
    </row>
    <row r="48" spans="2:6" x14ac:dyDescent="0.15">
      <c r="B48" s="4" t="s">
        <v>47</v>
      </c>
      <c r="C48" s="124" t="str">
        <f>INT(291/12)&amp;" yrs and "&amp;MOD(291,12)&amp;" months"</f>
        <v>24 yrs and 3 months</v>
      </c>
      <c r="D48" s="116" t="s">
        <v>119</v>
      </c>
      <c r="E48" s="116"/>
      <c r="F48" s="80"/>
    </row>
    <row r="49" spans="2:6" x14ac:dyDescent="0.15">
      <c r="B49" s="94"/>
      <c r="C49" s="116"/>
      <c r="D49" s="126" t="s">
        <v>122</v>
      </c>
      <c r="E49" s="116"/>
      <c r="F49" s="80"/>
    </row>
    <row r="50" spans="2:6" ht="14" thickBot="1" x14ac:dyDescent="0.2">
      <c r="B50" s="4"/>
      <c r="C50" s="118"/>
      <c r="D50" s="120" t="s">
        <v>121</v>
      </c>
      <c r="E50" s="116"/>
      <c r="F50" s="80"/>
    </row>
    <row r="51" spans="2:6" ht="14" thickBot="1" x14ac:dyDescent="0.2">
      <c r="B51" s="72" t="s">
        <v>48</v>
      </c>
      <c r="C51" s="118"/>
      <c r="D51" s="120"/>
      <c r="E51" s="116"/>
      <c r="F51" s="80"/>
    </row>
    <row r="52" spans="2:6" x14ac:dyDescent="0.15">
      <c r="B52" s="81" t="s">
        <v>5</v>
      </c>
      <c r="C52" s="121">
        <f>C42</f>
        <v>500000</v>
      </c>
      <c r="D52" s="120"/>
      <c r="E52" s="116"/>
      <c r="F52" s="80"/>
    </row>
    <row r="53" spans="2:6" x14ac:dyDescent="0.15">
      <c r="B53" s="81" t="s">
        <v>49</v>
      </c>
      <c r="C53" s="122">
        <f>C36</f>
        <v>5.8333333333333336E-3</v>
      </c>
      <c r="D53" s="120"/>
      <c r="E53" s="116"/>
      <c r="F53" s="80"/>
    </row>
    <row r="54" spans="2:6" x14ac:dyDescent="0.15">
      <c r="B54" s="4" t="s">
        <v>13</v>
      </c>
      <c r="C54" s="127">
        <f>15*12</f>
        <v>180</v>
      </c>
      <c r="D54" s="128" t="s">
        <v>50</v>
      </c>
      <c r="E54" s="116"/>
      <c r="F54" s="80"/>
    </row>
    <row r="55" spans="2:6" x14ac:dyDescent="0.15">
      <c r="B55" s="81" t="s">
        <v>6</v>
      </c>
      <c r="C55" s="123">
        <v>0</v>
      </c>
      <c r="D55" s="116"/>
      <c r="E55" s="116"/>
      <c r="F55" s="80"/>
    </row>
    <row r="56" spans="2:6" x14ac:dyDescent="0.15">
      <c r="B56" s="4" t="s">
        <v>10</v>
      </c>
      <c r="C56" s="118">
        <f>PMT(C53,C54,C52)</f>
        <v>-4494.1413542621358</v>
      </c>
      <c r="D56" s="119" t="s">
        <v>42</v>
      </c>
      <c r="E56" s="116"/>
      <c r="F56" s="80"/>
    </row>
    <row r="57" spans="2:6" x14ac:dyDescent="0.15">
      <c r="B57" s="94"/>
      <c r="C57" s="116"/>
      <c r="D57" s="126" t="s">
        <v>123</v>
      </c>
      <c r="E57" s="120"/>
      <c r="F57" s="80"/>
    </row>
    <row r="58" spans="2:6" ht="14" thickBot="1" x14ac:dyDescent="0.2">
      <c r="B58" s="4"/>
      <c r="C58" s="129"/>
      <c r="D58" s="120"/>
      <c r="E58" s="116"/>
      <c r="F58" s="80"/>
    </row>
    <row r="59" spans="2:6" ht="14" thickBot="1" x14ac:dyDescent="0.2">
      <c r="B59" s="72" t="s">
        <v>51</v>
      </c>
      <c r="C59" s="129"/>
      <c r="D59" s="120"/>
      <c r="E59" s="116"/>
      <c r="F59" s="80"/>
    </row>
    <row r="60" spans="2:6" x14ac:dyDescent="0.15">
      <c r="B60" s="4"/>
      <c r="C60" s="126"/>
      <c r="D60" s="120"/>
      <c r="E60" s="116"/>
      <c r="F60" s="80"/>
    </row>
    <row r="61" spans="2:6" x14ac:dyDescent="0.15">
      <c r="B61" s="4"/>
      <c r="C61" s="126" t="s">
        <v>52</v>
      </c>
      <c r="D61" s="120"/>
      <c r="E61" s="116"/>
      <c r="F61" s="80"/>
    </row>
    <row r="62" spans="2:6" x14ac:dyDescent="0.15">
      <c r="B62" s="4" t="s">
        <v>5</v>
      </c>
      <c r="C62" s="118">
        <f>PV(C63,C64,C66,C65)</f>
        <v>463457.76092409599</v>
      </c>
      <c r="D62" s="119" t="s">
        <v>53</v>
      </c>
      <c r="E62" s="116"/>
      <c r="F62" s="80"/>
    </row>
    <row r="63" spans="2:6" x14ac:dyDescent="0.15">
      <c r="B63" s="81" t="s">
        <v>49</v>
      </c>
      <c r="C63" s="122">
        <f>C36</f>
        <v>5.8333333333333336E-3</v>
      </c>
      <c r="D63" s="120"/>
      <c r="E63" s="116"/>
      <c r="F63" s="80"/>
    </row>
    <row r="64" spans="2:6" x14ac:dyDescent="0.15">
      <c r="B64" s="81" t="s">
        <v>13</v>
      </c>
      <c r="C64" s="130">
        <f>360-72</f>
        <v>288</v>
      </c>
      <c r="D64" s="128" t="s">
        <v>54</v>
      </c>
      <c r="E64" s="116"/>
      <c r="F64" s="80"/>
    </row>
    <row r="65" spans="2:6" x14ac:dyDescent="0.15">
      <c r="B65" s="81" t="s">
        <v>6</v>
      </c>
      <c r="C65" s="123">
        <v>0</v>
      </c>
      <c r="D65" s="120"/>
      <c r="E65" s="116"/>
      <c r="F65" s="80"/>
    </row>
    <row r="66" spans="2:6" x14ac:dyDescent="0.15">
      <c r="B66" s="61" t="s">
        <v>10</v>
      </c>
      <c r="C66" s="118">
        <f>C39</f>
        <v>-3326.5124758959159</v>
      </c>
      <c r="D66" s="116" t="s">
        <v>55</v>
      </c>
      <c r="E66" s="116"/>
      <c r="F66" s="80"/>
    </row>
    <row r="67" spans="2:6" x14ac:dyDescent="0.15">
      <c r="B67" s="4"/>
      <c r="C67" s="118"/>
      <c r="D67" s="120"/>
      <c r="E67" s="116"/>
      <c r="F67" s="80"/>
    </row>
    <row r="68" spans="2:6" x14ac:dyDescent="0.15">
      <c r="B68" s="4"/>
      <c r="C68" s="131" t="s">
        <v>56</v>
      </c>
      <c r="D68" s="120"/>
      <c r="E68" s="116"/>
      <c r="F68" s="80"/>
    </row>
    <row r="69" spans="2:6" x14ac:dyDescent="0.15">
      <c r="B69" s="4" t="s">
        <v>57</v>
      </c>
      <c r="C69" s="118">
        <v>50000</v>
      </c>
      <c r="D69" s="120"/>
      <c r="E69" s="116"/>
      <c r="F69" s="80"/>
    </row>
    <row r="70" spans="2:6" x14ac:dyDescent="0.15">
      <c r="B70" s="4" t="s">
        <v>5</v>
      </c>
      <c r="C70" s="118">
        <f>C62-C69</f>
        <v>413457.76092409599</v>
      </c>
      <c r="D70" s="116" t="s">
        <v>114</v>
      </c>
      <c r="E70" s="116"/>
      <c r="F70" s="80"/>
    </row>
    <row r="71" spans="2:6" x14ac:dyDescent="0.15">
      <c r="B71" s="81" t="s">
        <v>49</v>
      </c>
      <c r="C71" s="122">
        <f>C36</f>
        <v>5.8333333333333336E-3</v>
      </c>
      <c r="D71" s="120"/>
      <c r="E71" s="116"/>
      <c r="F71" s="80"/>
    </row>
    <row r="72" spans="2:6" x14ac:dyDescent="0.15">
      <c r="B72" s="4" t="s">
        <v>13</v>
      </c>
      <c r="C72" s="130">
        <f>NPER(C71,C76,C70,C75)</f>
        <v>221.97812903968645</v>
      </c>
      <c r="D72" s="119" t="s">
        <v>46</v>
      </c>
      <c r="E72" s="128"/>
      <c r="F72" s="80"/>
    </row>
    <row r="73" spans="2:6" x14ac:dyDescent="0.15">
      <c r="B73" s="4" t="s">
        <v>58</v>
      </c>
      <c r="C73" s="130">
        <f>C64-C72</f>
        <v>66.021870960313549</v>
      </c>
      <c r="D73" s="119" t="s">
        <v>124</v>
      </c>
      <c r="E73" s="128"/>
      <c r="F73" s="80"/>
    </row>
    <row r="74" spans="2:6" x14ac:dyDescent="0.15">
      <c r="B74" s="81" t="s">
        <v>47</v>
      </c>
      <c r="C74" s="124" t="str">
        <f>INT(66/12)&amp;" yrs and "&amp;MOD(66,12)&amp;" months"</f>
        <v>5 yrs and 6 months</v>
      </c>
      <c r="D74" s="116" t="s">
        <v>125</v>
      </c>
      <c r="E74" s="116"/>
      <c r="F74" s="80"/>
    </row>
    <row r="75" spans="2:6" x14ac:dyDescent="0.15">
      <c r="B75" s="81" t="s">
        <v>6</v>
      </c>
      <c r="C75" s="123">
        <v>0</v>
      </c>
      <c r="D75" s="120" t="s">
        <v>126</v>
      </c>
      <c r="E75" s="116"/>
      <c r="F75" s="80"/>
    </row>
    <row r="76" spans="2:6" x14ac:dyDescent="0.15">
      <c r="B76" s="61" t="s">
        <v>10</v>
      </c>
      <c r="C76" s="118">
        <f>C66</f>
        <v>-3326.5124758959159</v>
      </c>
      <c r="D76" s="120"/>
      <c r="E76" s="116"/>
      <c r="F76" s="80"/>
    </row>
    <row r="77" spans="2:6" ht="14" thickBot="1" x14ac:dyDescent="0.2">
      <c r="B77" s="62"/>
      <c r="C77" s="63"/>
      <c r="D77" s="95"/>
      <c r="E77" s="89"/>
      <c r="F77" s="90"/>
    </row>
    <row r="79" spans="2:6" ht="14" thickBot="1" x14ac:dyDescent="0.2"/>
    <row r="80" spans="2:6" ht="14" thickBot="1" x14ac:dyDescent="0.2">
      <c r="B80" s="9" t="s">
        <v>3</v>
      </c>
      <c r="C80" s="78"/>
      <c r="D80" s="78"/>
      <c r="E80" s="78"/>
      <c r="F80" s="79"/>
    </row>
    <row r="81" spans="2:6" ht="14" thickBot="1" x14ac:dyDescent="0.2">
      <c r="B81" s="58"/>
      <c r="F81" s="80"/>
    </row>
    <row r="82" spans="2:6" ht="14" thickBot="1" x14ac:dyDescent="0.2">
      <c r="B82" s="64" t="s">
        <v>60</v>
      </c>
      <c r="F82" s="80"/>
    </row>
    <row r="83" spans="2:6" x14ac:dyDescent="0.15">
      <c r="B83" s="96" t="s">
        <v>61</v>
      </c>
      <c r="C83" s="97">
        <v>0.03</v>
      </c>
      <c r="D83" s="98"/>
      <c r="E83" s="98"/>
      <c r="F83" s="99"/>
    </row>
    <row r="84" spans="2:6" x14ac:dyDescent="0.15">
      <c r="B84" s="96" t="s">
        <v>62</v>
      </c>
      <c r="C84" s="92">
        <f>C83*C85</f>
        <v>15000</v>
      </c>
      <c r="D84" s="98" t="s">
        <v>63</v>
      </c>
      <c r="E84" s="100"/>
      <c r="F84" s="80"/>
    </row>
    <row r="85" spans="2:6" x14ac:dyDescent="0.15">
      <c r="B85" s="81" t="s">
        <v>64</v>
      </c>
      <c r="C85" s="92">
        <v>500000</v>
      </c>
      <c r="E85" s="101"/>
      <c r="F85" s="80"/>
    </row>
    <row r="86" spans="2:6" x14ac:dyDescent="0.15">
      <c r="B86" s="81" t="s">
        <v>10</v>
      </c>
      <c r="C86" s="102">
        <f>PMT(C90,C87,C85)</f>
        <v>-3326.5124758959159</v>
      </c>
      <c r="D86" s="93" t="s">
        <v>42</v>
      </c>
      <c r="E86" s="103"/>
      <c r="F86" s="80"/>
    </row>
    <row r="87" spans="2:6" x14ac:dyDescent="0.15">
      <c r="B87" s="81" t="s">
        <v>13</v>
      </c>
      <c r="C87" s="91">
        <v>360</v>
      </c>
      <c r="F87" s="80"/>
    </row>
    <row r="88" spans="2:6" x14ac:dyDescent="0.15">
      <c r="B88" s="81" t="s">
        <v>5</v>
      </c>
      <c r="C88" s="104">
        <f>C85-C85*C83</f>
        <v>485000</v>
      </c>
      <c r="D88" s="93" t="s">
        <v>65</v>
      </c>
      <c r="F88" s="80"/>
    </row>
    <row r="89" spans="2:6" x14ac:dyDescent="0.15">
      <c r="B89" s="61" t="s">
        <v>66</v>
      </c>
      <c r="C89" s="97">
        <v>7.0000000000000007E-2</v>
      </c>
      <c r="D89" s="93"/>
      <c r="F89" s="80"/>
    </row>
    <row r="90" spans="2:6" x14ac:dyDescent="0.15">
      <c r="B90" s="61" t="s">
        <v>67</v>
      </c>
      <c r="C90" s="97">
        <f>C89/12</f>
        <v>5.8333333333333336E-3</v>
      </c>
      <c r="D90" s="65" t="s">
        <v>68</v>
      </c>
      <c r="F90" s="80"/>
    </row>
    <row r="91" spans="2:6" x14ac:dyDescent="0.15">
      <c r="B91" s="4" t="s">
        <v>69</v>
      </c>
      <c r="C91" s="66">
        <f>RATE(C87,C86,C88)</f>
        <v>6.0871089941770132E-3</v>
      </c>
      <c r="D91" s="6" t="s">
        <v>70</v>
      </c>
      <c r="E91" s="7"/>
      <c r="F91" s="8"/>
    </row>
    <row r="92" spans="2:6" x14ac:dyDescent="0.15">
      <c r="B92" s="4" t="s">
        <v>71</v>
      </c>
      <c r="C92" s="66">
        <f>C91*12</f>
        <v>7.3045307930124162E-2</v>
      </c>
      <c r="D92" s="65" t="s">
        <v>72</v>
      </c>
      <c r="F92" s="80"/>
    </row>
    <row r="93" spans="2:6" x14ac:dyDescent="0.15">
      <c r="B93" s="61" t="s">
        <v>138</v>
      </c>
      <c r="C93" s="59">
        <f>(1+C91)^12-1</f>
        <v>7.5541105223523974E-2</v>
      </c>
      <c r="D93" s="60" t="s">
        <v>74</v>
      </c>
      <c r="F93" s="80"/>
    </row>
    <row r="94" spans="2:6" x14ac:dyDescent="0.15">
      <c r="B94" s="4"/>
      <c r="C94" s="91"/>
      <c r="D94" s="60" t="s">
        <v>132</v>
      </c>
      <c r="F94" s="80"/>
    </row>
    <row r="95" spans="2:6" x14ac:dyDescent="0.15">
      <c r="B95" s="4"/>
      <c r="C95" s="91"/>
      <c r="D95" s="60" t="s">
        <v>130</v>
      </c>
      <c r="F95" s="80"/>
    </row>
    <row r="96" spans="2:6" ht="16" x14ac:dyDescent="0.2">
      <c r="B96" s="4"/>
      <c r="C96" s="91"/>
      <c r="D96" s="74" t="s">
        <v>131</v>
      </c>
      <c r="F96" s="80"/>
    </row>
    <row r="97" spans="2:6" ht="14" thickBot="1" x14ac:dyDescent="0.2">
      <c r="B97" s="61"/>
      <c r="C97" s="91"/>
      <c r="D97" s="105" t="s">
        <v>129</v>
      </c>
      <c r="F97" s="80"/>
    </row>
    <row r="98" spans="2:6" ht="14" thickBot="1" x14ac:dyDescent="0.2">
      <c r="B98" s="64" t="s">
        <v>75</v>
      </c>
      <c r="C98" s="91"/>
      <c r="D98" s="60"/>
      <c r="F98" s="80"/>
    </row>
    <row r="99" spans="2:6" x14ac:dyDescent="0.15">
      <c r="B99" s="4"/>
      <c r="C99" s="91"/>
      <c r="D99" s="60"/>
      <c r="F99" s="80"/>
    </row>
    <row r="100" spans="2:6" x14ac:dyDescent="0.15">
      <c r="B100" s="4" t="s">
        <v>9</v>
      </c>
      <c r="C100" s="91"/>
      <c r="D100" s="60"/>
      <c r="F100" s="80"/>
    </row>
    <row r="101" spans="2:6" x14ac:dyDescent="0.15">
      <c r="B101" s="67">
        <v>7.0000000000000007E-2</v>
      </c>
      <c r="C101" s="102">
        <f>C86</f>
        <v>-3326.5124758959159</v>
      </c>
      <c r="D101" s="60" t="s">
        <v>76</v>
      </c>
      <c r="F101" s="80"/>
    </row>
    <row r="102" spans="2:6" x14ac:dyDescent="0.15">
      <c r="B102" s="67">
        <v>7.4999999999999997E-2</v>
      </c>
      <c r="C102" s="102">
        <f>PMT(B102/12,360, 500000)</f>
        <v>-3496.0725427638963</v>
      </c>
      <c r="D102" s="65" t="s">
        <v>77</v>
      </c>
      <c r="F102" s="80"/>
    </row>
    <row r="103" spans="2:6" x14ac:dyDescent="0.15">
      <c r="B103" s="61" t="s">
        <v>78</v>
      </c>
      <c r="C103" s="102">
        <f>C101-C102</f>
        <v>169.56006686798037</v>
      </c>
      <c r="D103" s="60"/>
      <c r="F103" s="80"/>
    </row>
    <row r="104" spans="2:6" x14ac:dyDescent="0.15">
      <c r="B104" s="61" t="s">
        <v>79</v>
      </c>
      <c r="C104" s="106">
        <f>C84</f>
        <v>15000</v>
      </c>
      <c r="D104" s="60"/>
      <c r="F104" s="80"/>
    </row>
    <row r="105" spans="2:6" x14ac:dyDescent="0.15">
      <c r="B105" s="4" t="s">
        <v>80</v>
      </c>
      <c r="C105" s="68">
        <f>C104/C103</f>
        <v>88.464225551874861</v>
      </c>
      <c r="D105" s="65" t="s">
        <v>81</v>
      </c>
      <c r="F105" s="80"/>
    </row>
    <row r="106" spans="2:6" x14ac:dyDescent="0.15">
      <c r="B106" s="4" t="s">
        <v>82</v>
      </c>
    </row>
    <row r="107" spans="2:6" x14ac:dyDescent="0.15">
      <c r="B107" s="61" t="s">
        <v>84</v>
      </c>
      <c r="C107" s="91" t="str">
        <f>INT(C105/12) &amp; " years and " &amp;ROUND(MOD(C105,12),0)&amp; " months"</f>
        <v>7 years and 4 months</v>
      </c>
      <c r="D107" s="65" t="s">
        <v>83</v>
      </c>
      <c r="F107" s="80"/>
    </row>
    <row r="108" spans="2:6" x14ac:dyDescent="0.15">
      <c r="B108" s="4"/>
      <c r="C108" s="91"/>
      <c r="D108" s="60" t="s">
        <v>115</v>
      </c>
      <c r="F108" s="80"/>
    </row>
    <row r="109" spans="2:6" x14ac:dyDescent="0.15">
      <c r="B109" s="94"/>
    </row>
    <row r="110" spans="2:6" x14ac:dyDescent="0.15">
      <c r="B110" s="94"/>
      <c r="D110" s="60" t="s">
        <v>85</v>
      </c>
      <c r="F110" s="80"/>
    </row>
    <row r="111" spans="2:6" x14ac:dyDescent="0.15">
      <c r="B111" s="4"/>
      <c r="C111" s="91"/>
      <c r="D111" s="60" t="s">
        <v>86</v>
      </c>
      <c r="F111" s="80"/>
    </row>
    <row r="112" spans="2:6" x14ac:dyDescent="0.15">
      <c r="B112" s="4"/>
      <c r="C112" s="91"/>
      <c r="D112" s="60" t="s">
        <v>87</v>
      </c>
      <c r="F112" s="80"/>
    </row>
    <row r="113" spans="2:6" ht="14" thickBot="1" x14ac:dyDescent="0.2">
      <c r="B113" s="4"/>
      <c r="C113" s="91"/>
      <c r="D113" s="107" t="s">
        <v>88</v>
      </c>
      <c r="F113" s="80"/>
    </row>
    <row r="114" spans="2:6" ht="14" thickBot="1" x14ac:dyDescent="0.2">
      <c r="B114" s="64" t="s">
        <v>89</v>
      </c>
      <c r="C114" s="91"/>
      <c r="F114" s="80"/>
    </row>
    <row r="115" spans="2:6" x14ac:dyDescent="0.15">
      <c r="B115" s="61" t="s">
        <v>90</v>
      </c>
      <c r="C115" s="92">
        <v>500000</v>
      </c>
      <c r="F115" s="80"/>
    </row>
    <row r="116" spans="2:6" x14ac:dyDescent="0.15">
      <c r="B116" s="61" t="s">
        <v>91</v>
      </c>
      <c r="C116" s="97">
        <f>C90</f>
        <v>5.8333333333333336E-3</v>
      </c>
      <c r="D116" s="65" t="s">
        <v>92</v>
      </c>
      <c r="F116" s="80"/>
    </row>
    <row r="117" spans="2:6" x14ac:dyDescent="0.15">
      <c r="B117" s="81" t="s">
        <v>10</v>
      </c>
      <c r="C117" s="102">
        <f>PMT(C116,C118,C115)</f>
        <v>-3326.5124758959159</v>
      </c>
      <c r="F117" s="80"/>
    </row>
    <row r="118" spans="2:6" x14ac:dyDescent="0.15">
      <c r="B118" s="81" t="s">
        <v>13</v>
      </c>
      <c r="C118" s="91">
        <v>360</v>
      </c>
      <c r="F118" s="80"/>
    </row>
    <row r="119" spans="2:6" x14ac:dyDescent="0.15">
      <c r="B119" s="81"/>
      <c r="C119" s="91"/>
      <c r="F119" s="80"/>
    </row>
    <row r="120" spans="2:6" x14ac:dyDescent="0.15">
      <c r="B120" s="81"/>
      <c r="C120" s="91"/>
      <c r="E120" s="7"/>
      <c r="F120" s="8"/>
    </row>
    <row r="121" spans="2:6" x14ac:dyDescent="0.15">
      <c r="B121" s="81" t="s">
        <v>10</v>
      </c>
      <c r="C121" s="102">
        <f>C117</f>
        <v>-3326.5124758959159</v>
      </c>
      <c r="D121" s="76" t="s">
        <v>93</v>
      </c>
      <c r="F121" s="80"/>
    </row>
    <row r="122" spans="2:6" x14ac:dyDescent="0.15">
      <c r="B122" s="81" t="s">
        <v>8</v>
      </c>
      <c r="C122" s="91">
        <f>360-(12*3)</f>
        <v>324</v>
      </c>
      <c r="D122" s="60" t="s">
        <v>94</v>
      </c>
      <c r="F122" s="80"/>
    </row>
    <row r="123" spans="2:6" x14ac:dyDescent="0.15">
      <c r="B123" s="81" t="s">
        <v>95</v>
      </c>
      <c r="C123" s="97">
        <f>C116</f>
        <v>5.8333333333333336E-3</v>
      </c>
      <c r="F123" s="80"/>
    </row>
    <row r="124" spans="2:6" x14ac:dyDescent="0.15">
      <c r="B124" s="4" t="s">
        <v>96</v>
      </c>
      <c r="C124" s="69">
        <f>PV(C123,C122,C121)</f>
        <v>483634.81556176976</v>
      </c>
      <c r="D124" s="6" t="s">
        <v>53</v>
      </c>
      <c r="F124" s="80"/>
    </row>
    <row r="125" spans="2:6" x14ac:dyDescent="0.15">
      <c r="B125" s="81"/>
      <c r="C125" s="91"/>
      <c r="F125" s="80"/>
    </row>
    <row r="126" spans="2:6" x14ac:dyDescent="0.15">
      <c r="B126" s="81"/>
      <c r="C126" s="106"/>
      <c r="D126" s="7" t="s">
        <v>97</v>
      </c>
      <c r="E126" s="7"/>
      <c r="F126" s="8"/>
    </row>
    <row r="127" spans="2:6" x14ac:dyDescent="0.15">
      <c r="B127" s="4" t="s">
        <v>98</v>
      </c>
      <c r="C127" s="70">
        <f>CUMPRINC(C116,C87,C85,1,36,0)</f>
        <v>-16365.184438230755</v>
      </c>
      <c r="D127" s="6" t="s">
        <v>99</v>
      </c>
      <c r="F127" s="80"/>
    </row>
    <row r="128" spans="2:6" x14ac:dyDescent="0.15">
      <c r="B128" s="81" t="s">
        <v>100</v>
      </c>
      <c r="C128" s="69">
        <f>C115+C127</f>
        <v>483634.81556176924</v>
      </c>
      <c r="D128" s="65" t="s">
        <v>101</v>
      </c>
      <c r="F128" s="80"/>
    </row>
    <row r="129" spans="2:6" x14ac:dyDescent="0.15">
      <c r="B129" s="81"/>
      <c r="C129" s="92"/>
      <c r="F129" s="80"/>
    </row>
    <row r="130" spans="2:6" x14ac:dyDescent="0.15">
      <c r="B130" s="81"/>
      <c r="C130" s="92"/>
      <c r="D130" s="7" t="s">
        <v>102</v>
      </c>
      <c r="F130" s="80"/>
    </row>
    <row r="131" spans="2:6" x14ac:dyDescent="0.15">
      <c r="B131" s="81"/>
      <c r="C131" s="92"/>
      <c r="D131" s="93"/>
      <c r="F131" s="80"/>
    </row>
    <row r="132" spans="2:6" x14ac:dyDescent="0.15">
      <c r="B132" s="81"/>
      <c r="C132" s="92"/>
      <c r="D132" s="93" t="s">
        <v>103</v>
      </c>
      <c r="F132" s="80"/>
    </row>
    <row r="133" spans="2:6" x14ac:dyDescent="0.15">
      <c r="B133" s="81"/>
      <c r="C133" s="92"/>
      <c r="D133" s="93"/>
      <c r="F133" s="80"/>
    </row>
    <row r="134" spans="2:6" x14ac:dyDescent="0.15">
      <c r="B134" s="81"/>
      <c r="C134" s="106"/>
      <c r="D134" s="7" t="s">
        <v>104</v>
      </c>
      <c r="F134" s="80"/>
    </row>
    <row r="135" spans="2:6" x14ac:dyDescent="0.15">
      <c r="B135" s="81"/>
      <c r="C135" s="106"/>
      <c r="D135" s="76" t="s">
        <v>105</v>
      </c>
      <c r="F135" s="80"/>
    </row>
    <row r="136" spans="2:6" x14ac:dyDescent="0.15">
      <c r="B136" s="81"/>
      <c r="C136" s="91"/>
      <c r="D136" s="7" t="s">
        <v>106</v>
      </c>
      <c r="F136" s="80"/>
    </row>
    <row r="137" spans="2:6" x14ac:dyDescent="0.15">
      <c r="B137" s="81" t="s">
        <v>10</v>
      </c>
      <c r="C137" s="102">
        <f>C121</f>
        <v>-3326.5124758959159</v>
      </c>
      <c r="D137" s="76" t="s">
        <v>107</v>
      </c>
      <c r="F137" s="80"/>
    </row>
    <row r="138" spans="2:6" x14ac:dyDescent="0.15">
      <c r="B138" s="81" t="s">
        <v>13</v>
      </c>
      <c r="C138" s="91">
        <v>36</v>
      </c>
      <c r="F138" s="80"/>
    </row>
    <row r="139" spans="2:6" x14ac:dyDescent="0.15">
      <c r="B139" s="81" t="s">
        <v>6</v>
      </c>
      <c r="C139" s="106">
        <f>C128</f>
        <v>483634.81556176924</v>
      </c>
      <c r="D139" s="76" t="s">
        <v>108</v>
      </c>
      <c r="F139" s="80"/>
    </row>
    <row r="140" spans="2:6" x14ac:dyDescent="0.15">
      <c r="B140" s="81" t="s">
        <v>5</v>
      </c>
      <c r="C140" s="92">
        <f>C88</f>
        <v>485000</v>
      </c>
      <c r="D140" s="76" t="s">
        <v>109</v>
      </c>
      <c r="F140" s="80"/>
    </row>
    <row r="141" spans="2:6" x14ac:dyDescent="0.15">
      <c r="B141" s="4" t="s">
        <v>110</v>
      </c>
      <c r="C141" s="71">
        <f>RATE(C138,C137,C140,-C139)</f>
        <v>6.7895022416849127E-3</v>
      </c>
      <c r="D141" s="6" t="s">
        <v>70</v>
      </c>
      <c r="E141" s="7"/>
      <c r="F141" s="8"/>
    </row>
    <row r="142" spans="2:6" x14ac:dyDescent="0.15">
      <c r="B142" s="4" t="s">
        <v>71</v>
      </c>
      <c r="C142" s="66">
        <f>C141*12</f>
        <v>8.147402690021896E-2</v>
      </c>
      <c r="D142" s="65" t="s">
        <v>111</v>
      </c>
      <c r="F142" s="80"/>
    </row>
    <row r="143" spans="2:6" ht="14" thickBot="1" x14ac:dyDescent="0.2">
      <c r="B143" s="87" t="s">
        <v>73</v>
      </c>
      <c r="C143" s="108">
        <f>(1+C141)^12-1</f>
        <v>8.4586369920465421E-2</v>
      </c>
      <c r="D143" s="95" t="s">
        <v>112</v>
      </c>
      <c r="E143" s="89"/>
      <c r="F143" s="90"/>
    </row>
  </sheetData>
  <mergeCells count="2">
    <mergeCell ref="B9:C9"/>
    <mergeCell ref="B23:C23"/>
  </mergeCells>
  <hyperlinks>
    <hyperlink ref="D113" r:id="rId1" xr:uid="{9C04AD45-DC37-B247-AA1D-46122FABDB51}"/>
    <hyperlink ref="D97" r:id="rId2" display="apr calculator" xr:uid="{504BDA49-3EF5-6B46-8E97-EE02463C40C2}"/>
    <hyperlink ref="D96" r:id="rId3" display="Mortgage Professor Caluclator" xr:uid="{5FEC8AF9-59D8-A646-8D09-8608A19BA25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224A-B342-5A40-80FD-3185EB72F0B3}">
  <dimension ref="B2:L186"/>
  <sheetViews>
    <sheetView showGridLines="0" topLeftCell="A55" zoomScaleNormal="100" zoomScalePageLayoutView="150" workbookViewId="0">
      <selection activeCell="N16" sqref="N16"/>
    </sheetView>
  </sheetViews>
  <sheetFormatPr baseColWidth="10" defaultColWidth="11" defaultRowHeight="13" x14ac:dyDescent="0.15"/>
  <cols>
    <col min="1" max="1" width="7" style="11" customWidth="1"/>
    <col min="2" max="2" width="13.1640625" style="11" customWidth="1"/>
    <col min="3" max="3" width="19.1640625" style="11" customWidth="1"/>
    <col min="4" max="4" width="15.6640625" style="11" customWidth="1"/>
    <col min="5" max="5" width="15.1640625" style="11" customWidth="1"/>
    <col min="6" max="6" width="16.1640625" style="11" customWidth="1"/>
    <col min="7" max="7" width="13.1640625" style="11" customWidth="1"/>
    <col min="8" max="8" width="11.1640625" style="11" bestFit="1" customWidth="1"/>
    <col min="9" max="9" width="9.5" style="11" bestFit="1" customWidth="1"/>
    <col min="10" max="10" width="9.33203125" style="11" bestFit="1" customWidth="1"/>
    <col min="11" max="11" width="8.6640625" style="11" bestFit="1" customWidth="1"/>
    <col min="12" max="16384" width="11" style="11"/>
  </cols>
  <sheetData>
    <row r="2" spans="2:12" x14ac:dyDescent="0.15">
      <c r="B2" s="10" t="s">
        <v>113</v>
      </c>
      <c r="C2" s="10" t="s">
        <v>4</v>
      </c>
      <c r="I2" s="12" t="s">
        <v>14</v>
      </c>
    </row>
    <row r="3" spans="2:12" x14ac:dyDescent="0.15">
      <c r="C3" s="13" t="s">
        <v>18</v>
      </c>
      <c r="D3" s="14">
        <v>10000</v>
      </c>
      <c r="E3" s="15" t="s">
        <v>9</v>
      </c>
      <c r="F3" s="16">
        <v>7.0000000000000007E-2</v>
      </c>
      <c r="H3" s="13" t="s">
        <v>18</v>
      </c>
      <c r="I3" s="14">
        <v>10000</v>
      </c>
      <c r="J3" s="15" t="s">
        <v>9</v>
      </c>
      <c r="K3" s="16">
        <v>7.0000000000000007E-2</v>
      </c>
    </row>
    <row r="4" spans="2:12" ht="14" thickBot="1" x14ac:dyDescent="0.2">
      <c r="D4" s="15"/>
      <c r="E4" s="17"/>
      <c r="F4" s="15"/>
    </row>
    <row r="5" spans="2:12" ht="14" thickBot="1" x14ac:dyDescent="0.2">
      <c r="B5" s="18" t="s">
        <v>19</v>
      </c>
      <c r="C5" s="19" t="s">
        <v>20</v>
      </c>
      <c r="D5" s="19" t="s">
        <v>21</v>
      </c>
      <c r="E5" s="19" t="s">
        <v>18</v>
      </c>
      <c r="F5" s="20" t="s">
        <v>22</v>
      </c>
      <c r="H5" s="21" t="s">
        <v>23</v>
      </c>
      <c r="I5" s="22" t="s">
        <v>21</v>
      </c>
      <c r="J5" s="22" t="s">
        <v>18</v>
      </c>
      <c r="K5" s="23" t="s">
        <v>24</v>
      </c>
    </row>
    <row r="6" spans="2:12" x14ac:dyDescent="0.15">
      <c r="B6" s="24">
        <v>2024</v>
      </c>
      <c r="C6" s="25">
        <v>0</v>
      </c>
      <c r="D6" s="25">
        <v>0</v>
      </c>
      <c r="E6" s="25">
        <f>D3</f>
        <v>10000</v>
      </c>
      <c r="F6" s="25">
        <f>E6+D6</f>
        <v>10000</v>
      </c>
      <c r="H6" s="26">
        <v>0</v>
      </c>
      <c r="I6" s="26">
        <f>H6*$G$5</f>
        <v>0</v>
      </c>
      <c r="J6" s="26">
        <v>0</v>
      </c>
      <c r="K6" s="26">
        <f t="shared" ref="K6:K45" si="0">H6+I6+J6</f>
        <v>0</v>
      </c>
    </row>
    <row r="7" spans="2:12" x14ac:dyDescent="0.15">
      <c r="B7" s="24">
        <v>2025</v>
      </c>
      <c r="C7" s="25">
        <f>F6</f>
        <v>10000</v>
      </c>
      <c r="D7" s="25">
        <f t="shared" ref="D7:D45" si="1">C7*($F$3)</f>
        <v>700.00000000000011</v>
      </c>
      <c r="E7" s="25">
        <f>E6*(1+$E$4)</f>
        <v>10000</v>
      </c>
      <c r="F7" s="25">
        <f>E7+D7+C7</f>
        <v>20700</v>
      </c>
      <c r="H7" s="26">
        <f t="shared" ref="H7:H45" si="2">K6</f>
        <v>0</v>
      </c>
      <c r="I7" s="26">
        <f t="shared" ref="I7:I45" si="3">H7*$K$3</f>
        <v>0</v>
      </c>
      <c r="J7" s="26">
        <v>0</v>
      </c>
      <c r="K7" s="26">
        <f t="shared" si="0"/>
        <v>0</v>
      </c>
    </row>
    <row r="8" spans="2:12" x14ac:dyDescent="0.15">
      <c r="B8" s="24">
        <v>2026</v>
      </c>
      <c r="C8" s="25">
        <f t="shared" ref="C8:C45" si="4">F7</f>
        <v>20700</v>
      </c>
      <c r="D8" s="25">
        <f t="shared" si="1"/>
        <v>1449.0000000000002</v>
      </c>
      <c r="E8" s="25">
        <f t="shared" ref="E8:E45" si="5">E7*(1+$E$4)</f>
        <v>10000</v>
      </c>
      <c r="F8" s="25">
        <f t="shared" ref="F8:F45" si="6">E8+D8+C8</f>
        <v>32149</v>
      </c>
      <c r="H8" s="26">
        <f t="shared" si="2"/>
        <v>0</v>
      </c>
      <c r="I8" s="26">
        <f t="shared" si="3"/>
        <v>0</v>
      </c>
      <c r="J8" s="26">
        <v>0</v>
      </c>
      <c r="K8" s="26">
        <f t="shared" si="0"/>
        <v>0</v>
      </c>
    </row>
    <row r="9" spans="2:12" x14ac:dyDescent="0.15">
      <c r="B9" s="24">
        <v>2027</v>
      </c>
      <c r="C9" s="25">
        <f t="shared" si="4"/>
        <v>32149</v>
      </c>
      <c r="D9" s="25">
        <f t="shared" si="1"/>
        <v>2250.4300000000003</v>
      </c>
      <c r="E9" s="25">
        <f t="shared" si="5"/>
        <v>10000</v>
      </c>
      <c r="F9" s="25">
        <f t="shared" si="6"/>
        <v>44399.43</v>
      </c>
      <c r="H9" s="26">
        <f t="shared" si="2"/>
        <v>0</v>
      </c>
      <c r="I9" s="26">
        <f t="shared" si="3"/>
        <v>0</v>
      </c>
      <c r="J9" s="26">
        <v>0</v>
      </c>
      <c r="K9" s="26">
        <f t="shared" si="0"/>
        <v>0</v>
      </c>
    </row>
    <row r="10" spans="2:12" x14ac:dyDescent="0.15">
      <c r="B10" s="24">
        <v>2028</v>
      </c>
      <c r="C10" s="25">
        <f t="shared" si="4"/>
        <v>44399.43</v>
      </c>
      <c r="D10" s="25">
        <f t="shared" si="1"/>
        <v>3107.9601000000002</v>
      </c>
      <c r="E10" s="25">
        <f t="shared" si="5"/>
        <v>10000</v>
      </c>
      <c r="F10" s="25">
        <f t="shared" si="6"/>
        <v>57507.390100000004</v>
      </c>
      <c r="H10" s="26">
        <f t="shared" si="2"/>
        <v>0</v>
      </c>
      <c r="I10" s="26">
        <f t="shared" si="3"/>
        <v>0</v>
      </c>
      <c r="J10" s="26">
        <v>0</v>
      </c>
      <c r="K10" s="26">
        <f t="shared" si="0"/>
        <v>0</v>
      </c>
    </row>
    <row r="11" spans="2:12" x14ac:dyDescent="0.15">
      <c r="B11" s="24">
        <v>2029</v>
      </c>
      <c r="C11" s="25">
        <f t="shared" si="4"/>
        <v>57507.390100000004</v>
      </c>
      <c r="D11" s="25">
        <f t="shared" si="1"/>
        <v>4025.5173070000005</v>
      </c>
      <c r="E11" s="25">
        <f t="shared" si="5"/>
        <v>10000</v>
      </c>
      <c r="F11" s="25">
        <f t="shared" si="6"/>
        <v>71532.907407000006</v>
      </c>
      <c r="H11" s="26">
        <f t="shared" si="2"/>
        <v>0</v>
      </c>
      <c r="I11" s="26">
        <f t="shared" si="3"/>
        <v>0</v>
      </c>
      <c r="J11" s="26">
        <v>0</v>
      </c>
      <c r="K11" s="26">
        <f t="shared" si="0"/>
        <v>0</v>
      </c>
    </row>
    <row r="12" spans="2:12" x14ac:dyDescent="0.15">
      <c r="B12" s="24">
        <v>2030</v>
      </c>
      <c r="C12" s="25">
        <f t="shared" si="4"/>
        <v>71532.907407000006</v>
      </c>
      <c r="D12" s="25">
        <f t="shared" si="1"/>
        <v>5007.3035184900009</v>
      </c>
      <c r="E12" s="25">
        <f t="shared" si="5"/>
        <v>10000</v>
      </c>
      <c r="F12" s="25">
        <f t="shared" si="6"/>
        <v>86540.210925490013</v>
      </c>
      <c r="H12" s="26">
        <f t="shared" si="2"/>
        <v>0</v>
      </c>
      <c r="I12" s="26">
        <f t="shared" si="3"/>
        <v>0</v>
      </c>
      <c r="J12" s="26">
        <v>0</v>
      </c>
      <c r="K12" s="26">
        <f t="shared" si="0"/>
        <v>0</v>
      </c>
    </row>
    <row r="13" spans="2:12" x14ac:dyDescent="0.15">
      <c r="B13" s="24">
        <v>2031</v>
      </c>
      <c r="C13" s="25">
        <f t="shared" si="4"/>
        <v>86540.210925490013</v>
      </c>
      <c r="D13" s="25">
        <f t="shared" si="1"/>
        <v>6057.8147647843016</v>
      </c>
      <c r="E13" s="25">
        <f t="shared" si="5"/>
        <v>10000</v>
      </c>
      <c r="F13" s="25">
        <f t="shared" si="6"/>
        <v>102598.02569027431</v>
      </c>
      <c r="H13" s="26">
        <f t="shared" si="2"/>
        <v>0</v>
      </c>
      <c r="I13" s="26">
        <f t="shared" si="3"/>
        <v>0</v>
      </c>
      <c r="J13" s="26">
        <v>0</v>
      </c>
      <c r="K13" s="26">
        <f t="shared" si="0"/>
        <v>0</v>
      </c>
    </row>
    <row r="14" spans="2:12" x14ac:dyDescent="0.15">
      <c r="B14" s="24">
        <v>2032</v>
      </c>
      <c r="C14" s="25">
        <f t="shared" si="4"/>
        <v>102598.02569027431</v>
      </c>
      <c r="D14" s="25">
        <f t="shared" si="1"/>
        <v>7181.8617983192025</v>
      </c>
      <c r="E14" s="25">
        <f t="shared" si="5"/>
        <v>10000</v>
      </c>
      <c r="F14" s="25">
        <f t="shared" si="6"/>
        <v>119779.88748859352</v>
      </c>
      <c r="H14" s="26">
        <f t="shared" si="2"/>
        <v>0</v>
      </c>
      <c r="I14" s="26">
        <f t="shared" si="3"/>
        <v>0</v>
      </c>
      <c r="J14" s="26">
        <v>0</v>
      </c>
      <c r="K14" s="26">
        <f t="shared" si="0"/>
        <v>0</v>
      </c>
    </row>
    <row r="15" spans="2:12" x14ac:dyDescent="0.15">
      <c r="B15" s="24">
        <v>2033</v>
      </c>
      <c r="C15" s="25">
        <f t="shared" si="4"/>
        <v>119779.88748859352</v>
      </c>
      <c r="D15" s="25">
        <f t="shared" si="1"/>
        <v>8384.5921242015465</v>
      </c>
      <c r="E15" s="25">
        <f t="shared" si="5"/>
        <v>10000</v>
      </c>
      <c r="F15" s="73">
        <f t="shared" si="6"/>
        <v>138164.47961279505</v>
      </c>
      <c r="H15" s="26">
        <f t="shared" si="2"/>
        <v>0</v>
      </c>
      <c r="I15" s="26">
        <f t="shared" si="3"/>
        <v>0</v>
      </c>
      <c r="J15" s="26">
        <v>0</v>
      </c>
      <c r="K15" s="26">
        <f t="shared" si="0"/>
        <v>0</v>
      </c>
    </row>
    <row r="16" spans="2:12" x14ac:dyDescent="0.15">
      <c r="B16" s="24">
        <v>2034</v>
      </c>
      <c r="C16" s="25">
        <f t="shared" si="4"/>
        <v>138164.47961279505</v>
      </c>
      <c r="D16" s="25">
        <f t="shared" si="1"/>
        <v>9671.5135728956539</v>
      </c>
      <c r="E16" s="25">
        <v>0</v>
      </c>
      <c r="F16" s="25">
        <f t="shared" si="6"/>
        <v>147835.99318569072</v>
      </c>
      <c r="H16" s="26">
        <f t="shared" si="2"/>
        <v>0</v>
      </c>
      <c r="I16" s="26">
        <f t="shared" si="3"/>
        <v>0</v>
      </c>
      <c r="J16" s="110">
        <v>10000</v>
      </c>
      <c r="K16" s="26">
        <f t="shared" si="0"/>
        <v>10000</v>
      </c>
      <c r="L16" s="11">
        <v>1</v>
      </c>
    </row>
    <row r="17" spans="2:12" x14ac:dyDescent="0.15">
      <c r="B17" s="24">
        <v>2035</v>
      </c>
      <c r="C17" s="25">
        <f t="shared" si="4"/>
        <v>147835.99318569072</v>
      </c>
      <c r="D17" s="25">
        <f t="shared" si="1"/>
        <v>10348.519522998351</v>
      </c>
      <c r="E17" s="25">
        <f t="shared" si="5"/>
        <v>0</v>
      </c>
      <c r="F17" s="25">
        <f t="shared" si="6"/>
        <v>158184.51270868909</v>
      </c>
      <c r="H17" s="26">
        <f t="shared" si="2"/>
        <v>10000</v>
      </c>
      <c r="I17" s="26">
        <f t="shared" si="3"/>
        <v>700.00000000000011</v>
      </c>
      <c r="J17" s="26">
        <v>10000</v>
      </c>
      <c r="K17" s="26">
        <f t="shared" si="0"/>
        <v>20700</v>
      </c>
      <c r="L17" s="11">
        <v>2</v>
      </c>
    </row>
    <row r="18" spans="2:12" x14ac:dyDescent="0.15">
      <c r="B18" s="24">
        <v>2036</v>
      </c>
      <c r="C18" s="25">
        <f t="shared" si="4"/>
        <v>158184.51270868909</v>
      </c>
      <c r="D18" s="25">
        <f t="shared" si="1"/>
        <v>11072.915889608237</v>
      </c>
      <c r="E18" s="25">
        <f t="shared" si="5"/>
        <v>0</v>
      </c>
      <c r="F18" s="25">
        <f t="shared" si="6"/>
        <v>169257.42859829732</v>
      </c>
      <c r="H18" s="26">
        <f t="shared" si="2"/>
        <v>20700</v>
      </c>
      <c r="I18" s="26">
        <f t="shared" si="3"/>
        <v>1449.0000000000002</v>
      </c>
      <c r="J18" s="26">
        <v>10000</v>
      </c>
      <c r="K18" s="26">
        <f t="shared" si="0"/>
        <v>32149</v>
      </c>
      <c r="L18" s="11">
        <v>3</v>
      </c>
    </row>
    <row r="19" spans="2:12" x14ac:dyDescent="0.15">
      <c r="B19" s="24">
        <v>2037</v>
      </c>
      <c r="C19" s="25">
        <f t="shared" si="4"/>
        <v>169257.42859829732</v>
      </c>
      <c r="D19" s="25">
        <f t="shared" si="1"/>
        <v>11848.020001880814</v>
      </c>
      <c r="E19" s="25">
        <f t="shared" si="5"/>
        <v>0</v>
      </c>
      <c r="F19" s="25">
        <f t="shared" si="6"/>
        <v>181105.44860017815</v>
      </c>
      <c r="H19" s="26">
        <f t="shared" si="2"/>
        <v>32149</v>
      </c>
      <c r="I19" s="26">
        <f t="shared" si="3"/>
        <v>2250.4300000000003</v>
      </c>
      <c r="J19" s="26">
        <v>10000</v>
      </c>
      <c r="K19" s="26">
        <f t="shared" si="0"/>
        <v>44399.43</v>
      </c>
      <c r="L19" s="11">
        <v>4</v>
      </c>
    </row>
    <row r="20" spans="2:12" x14ac:dyDescent="0.15">
      <c r="B20" s="24">
        <v>2038</v>
      </c>
      <c r="C20" s="25">
        <f t="shared" si="4"/>
        <v>181105.44860017815</v>
      </c>
      <c r="D20" s="25">
        <f t="shared" si="1"/>
        <v>12677.381402012472</v>
      </c>
      <c r="E20" s="25">
        <f t="shared" si="5"/>
        <v>0</v>
      </c>
      <c r="F20" s="25">
        <f t="shared" si="6"/>
        <v>193782.83000219063</v>
      </c>
      <c r="H20" s="26">
        <f t="shared" si="2"/>
        <v>44399.43</v>
      </c>
      <c r="I20" s="26">
        <f t="shared" si="3"/>
        <v>3107.9601000000002</v>
      </c>
      <c r="J20" s="26">
        <v>10000</v>
      </c>
      <c r="K20" s="26">
        <f t="shared" si="0"/>
        <v>57507.390100000004</v>
      </c>
      <c r="L20" s="11">
        <v>5</v>
      </c>
    </row>
    <row r="21" spans="2:12" x14ac:dyDescent="0.15">
      <c r="B21" s="24">
        <v>2039</v>
      </c>
      <c r="C21" s="25">
        <f t="shared" si="4"/>
        <v>193782.83000219063</v>
      </c>
      <c r="D21" s="25">
        <f t="shared" si="1"/>
        <v>13564.798100153346</v>
      </c>
      <c r="E21" s="25">
        <f t="shared" si="5"/>
        <v>0</v>
      </c>
      <c r="F21" s="25">
        <f t="shared" si="6"/>
        <v>207347.62810234397</v>
      </c>
      <c r="H21" s="26">
        <f t="shared" si="2"/>
        <v>57507.390100000004</v>
      </c>
      <c r="I21" s="26">
        <f t="shared" si="3"/>
        <v>4025.5173070000005</v>
      </c>
      <c r="J21" s="26">
        <v>10000</v>
      </c>
      <c r="K21" s="26">
        <f t="shared" si="0"/>
        <v>71532.907407000006</v>
      </c>
      <c r="L21" s="11">
        <v>6</v>
      </c>
    </row>
    <row r="22" spans="2:12" x14ac:dyDescent="0.15">
      <c r="B22" s="24">
        <v>2040</v>
      </c>
      <c r="C22" s="25">
        <f t="shared" si="4"/>
        <v>207347.62810234397</v>
      </c>
      <c r="D22" s="25">
        <f t="shared" si="1"/>
        <v>14514.333967164079</v>
      </c>
      <c r="E22" s="25">
        <f t="shared" si="5"/>
        <v>0</v>
      </c>
      <c r="F22" s="25">
        <f t="shared" si="6"/>
        <v>221861.96206950804</v>
      </c>
      <c r="H22" s="26">
        <f t="shared" si="2"/>
        <v>71532.907407000006</v>
      </c>
      <c r="I22" s="26">
        <f t="shared" si="3"/>
        <v>5007.3035184900009</v>
      </c>
      <c r="J22" s="26">
        <v>10000</v>
      </c>
      <c r="K22" s="26">
        <f t="shared" si="0"/>
        <v>86540.210925490013</v>
      </c>
      <c r="L22" s="11">
        <v>7</v>
      </c>
    </row>
    <row r="23" spans="2:12" x14ac:dyDescent="0.15">
      <c r="B23" s="24">
        <v>2041</v>
      </c>
      <c r="C23" s="25">
        <f t="shared" si="4"/>
        <v>221861.96206950804</v>
      </c>
      <c r="D23" s="25">
        <f t="shared" si="1"/>
        <v>15530.337344865564</v>
      </c>
      <c r="E23" s="25">
        <f t="shared" si="5"/>
        <v>0</v>
      </c>
      <c r="F23" s="25">
        <f t="shared" si="6"/>
        <v>237392.29941437361</v>
      </c>
      <c r="H23" s="26">
        <f t="shared" si="2"/>
        <v>86540.210925490013</v>
      </c>
      <c r="I23" s="26">
        <f t="shared" si="3"/>
        <v>6057.8147647843016</v>
      </c>
      <c r="J23" s="26">
        <v>10000</v>
      </c>
      <c r="K23" s="26">
        <f t="shared" si="0"/>
        <v>102598.02569027431</v>
      </c>
      <c r="L23" s="11">
        <v>8</v>
      </c>
    </row>
    <row r="24" spans="2:12" x14ac:dyDescent="0.15">
      <c r="B24" s="24">
        <v>2042</v>
      </c>
      <c r="C24" s="25">
        <f t="shared" si="4"/>
        <v>237392.29941437361</v>
      </c>
      <c r="D24" s="25">
        <f t="shared" si="1"/>
        <v>16617.460959006155</v>
      </c>
      <c r="E24" s="25">
        <f t="shared" si="5"/>
        <v>0</v>
      </c>
      <c r="F24" s="25">
        <f t="shared" si="6"/>
        <v>254009.76037337977</v>
      </c>
      <c r="H24" s="26">
        <f t="shared" si="2"/>
        <v>102598.02569027431</v>
      </c>
      <c r="I24" s="26">
        <f t="shared" si="3"/>
        <v>7181.8617983192025</v>
      </c>
      <c r="J24" s="26">
        <v>10000</v>
      </c>
      <c r="K24" s="26">
        <f t="shared" si="0"/>
        <v>119779.88748859352</v>
      </c>
      <c r="L24" s="11">
        <v>9</v>
      </c>
    </row>
    <row r="25" spans="2:12" x14ac:dyDescent="0.15">
      <c r="B25" s="24">
        <v>2043</v>
      </c>
      <c r="C25" s="25">
        <f t="shared" si="4"/>
        <v>254009.76037337977</v>
      </c>
      <c r="D25" s="25">
        <f t="shared" si="1"/>
        <v>17780.683226136585</v>
      </c>
      <c r="E25" s="25">
        <f t="shared" si="5"/>
        <v>0</v>
      </c>
      <c r="F25" s="25">
        <f t="shared" si="6"/>
        <v>271790.44359951635</v>
      </c>
      <c r="H25" s="26">
        <f t="shared" si="2"/>
        <v>119779.88748859352</v>
      </c>
      <c r="I25" s="26">
        <f t="shared" si="3"/>
        <v>8384.5921242015465</v>
      </c>
      <c r="J25" s="26">
        <v>10000</v>
      </c>
      <c r="K25" s="26">
        <f t="shared" si="0"/>
        <v>138164.47961279505</v>
      </c>
      <c r="L25" s="11">
        <v>10</v>
      </c>
    </row>
    <row r="26" spans="2:12" x14ac:dyDescent="0.15">
      <c r="B26" s="24">
        <v>2044</v>
      </c>
      <c r="C26" s="25">
        <f t="shared" si="4"/>
        <v>271790.44359951635</v>
      </c>
      <c r="D26" s="25">
        <f t="shared" si="1"/>
        <v>19025.331051966146</v>
      </c>
      <c r="E26" s="25">
        <f t="shared" si="5"/>
        <v>0</v>
      </c>
      <c r="F26" s="25">
        <f t="shared" si="6"/>
        <v>290815.77465148247</v>
      </c>
      <c r="H26" s="26">
        <f t="shared" si="2"/>
        <v>138164.47961279505</v>
      </c>
      <c r="I26" s="26">
        <f t="shared" si="3"/>
        <v>9671.5135728956539</v>
      </c>
      <c r="J26" s="26">
        <v>10000</v>
      </c>
      <c r="K26" s="26">
        <f t="shared" si="0"/>
        <v>157835.99318569072</v>
      </c>
      <c r="L26" s="11">
        <v>11</v>
      </c>
    </row>
    <row r="27" spans="2:12" x14ac:dyDescent="0.15">
      <c r="B27" s="24">
        <v>2045</v>
      </c>
      <c r="C27" s="25">
        <f t="shared" si="4"/>
        <v>290815.77465148247</v>
      </c>
      <c r="D27" s="25">
        <f t="shared" si="1"/>
        <v>20357.104225603776</v>
      </c>
      <c r="E27" s="25">
        <f t="shared" si="5"/>
        <v>0</v>
      </c>
      <c r="F27" s="25">
        <f t="shared" si="6"/>
        <v>311172.87887708622</v>
      </c>
      <c r="H27" s="26">
        <f t="shared" si="2"/>
        <v>157835.99318569072</v>
      </c>
      <c r="I27" s="26">
        <f t="shared" si="3"/>
        <v>11048.519522998351</v>
      </c>
      <c r="J27" s="26">
        <v>10000</v>
      </c>
      <c r="K27" s="26">
        <f t="shared" si="0"/>
        <v>178884.51270868909</v>
      </c>
      <c r="L27" s="11">
        <v>12</v>
      </c>
    </row>
    <row r="28" spans="2:12" x14ac:dyDescent="0.15">
      <c r="B28" s="24">
        <v>2046</v>
      </c>
      <c r="C28" s="25">
        <f t="shared" si="4"/>
        <v>311172.87887708622</v>
      </c>
      <c r="D28" s="25">
        <f t="shared" si="1"/>
        <v>21782.101521396038</v>
      </c>
      <c r="E28" s="25">
        <f t="shared" si="5"/>
        <v>0</v>
      </c>
      <c r="F28" s="25">
        <f t="shared" si="6"/>
        <v>332954.98039848224</v>
      </c>
      <c r="H28" s="26">
        <f t="shared" si="2"/>
        <v>178884.51270868909</v>
      </c>
      <c r="I28" s="26">
        <f t="shared" si="3"/>
        <v>12521.915889608237</v>
      </c>
      <c r="J28" s="26">
        <v>10000</v>
      </c>
      <c r="K28" s="26">
        <f t="shared" si="0"/>
        <v>201406.42859829732</v>
      </c>
      <c r="L28" s="11">
        <v>13</v>
      </c>
    </row>
    <row r="29" spans="2:12" x14ac:dyDescent="0.15">
      <c r="B29" s="24">
        <v>2047</v>
      </c>
      <c r="C29" s="25">
        <f t="shared" si="4"/>
        <v>332954.98039848224</v>
      </c>
      <c r="D29" s="25">
        <f t="shared" si="1"/>
        <v>23306.84862789376</v>
      </c>
      <c r="E29" s="25">
        <f t="shared" si="5"/>
        <v>0</v>
      </c>
      <c r="F29" s="25">
        <f t="shared" si="6"/>
        <v>356261.82902637601</v>
      </c>
      <c r="H29" s="26">
        <f t="shared" si="2"/>
        <v>201406.42859829732</v>
      </c>
      <c r="I29" s="26">
        <f t="shared" si="3"/>
        <v>14098.450001880814</v>
      </c>
      <c r="J29" s="26">
        <v>10000</v>
      </c>
      <c r="K29" s="26">
        <f t="shared" si="0"/>
        <v>225504.87860017814</v>
      </c>
      <c r="L29" s="11">
        <v>14</v>
      </c>
    </row>
    <row r="30" spans="2:12" x14ac:dyDescent="0.15">
      <c r="B30" s="24">
        <v>2048</v>
      </c>
      <c r="C30" s="25">
        <f t="shared" si="4"/>
        <v>356261.82902637601</v>
      </c>
      <c r="D30" s="25">
        <f t="shared" si="1"/>
        <v>24938.328031846322</v>
      </c>
      <c r="E30" s="25">
        <f t="shared" si="5"/>
        <v>0</v>
      </c>
      <c r="F30" s="25">
        <f t="shared" si="6"/>
        <v>381200.15705822234</v>
      </c>
      <c r="H30" s="26">
        <f t="shared" si="2"/>
        <v>225504.87860017814</v>
      </c>
      <c r="I30" s="26">
        <f t="shared" si="3"/>
        <v>15785.341502012472</v>
      </c>
      <c r="J30" s="26">
        <v>10000</v>
      </c>
      <c r="K30" s="26">
        <f t="shared" si="0"/>
        <v>251290.22010219062</v>
      </c>
      <c r="L30" s="11">
        <v>15</v>
      </c>
    </row>
    <row r="31" spans="2:12" x14ac:dyDescent="0.15">
      <c r="B31" s="24">
        <v>2049</v>
      </c>
      <c r="C31" s="25">
        <f t="shared" si="4"/>
        <v>381200.15705822234</v>
      </c>
      <c r="D31" s="25">
        <f t="shared" si="1"/>
        <v>26684.010994075565</v>
      </c>
      <c r="E31" s="25">
        <f t="shared" si="5"/>
        <v>0</v>
      </c>
      <c r="F31" s="25">
        <f t="shared" si="6"/>
        <v>407884.1680522979</v>
      </c>
      <c r="H31" s="26">
        <f t="shared" si="2"/>
        <v>251290.22010219062</v>
      </c>
      <c r="I31" s="26">
        <f t="shared" si="3"/>
        <v>17590.315407153346</v>
      </c>
      <c r="J31" s="26">
        <v>10000</v>
      </c>
      <c r="K31" s="26">
        <f t="shared" si="0"/>
        <v>278880.53550934396</v>
      </c>
      <c r="L31" s="11">
        <v>16</v>
      </c>
    </row>
    <row r="32" spans="2:12" x14ac:dyDescent="0.15">
      <c r="B32" s="24">
        <v>2050</v>
      </c>
      <c r="C32" s="25">
        <f t="shared" si="4"/>
        <v>407884.1680522979</v>
      </c>
      <c r="D32" s="25">
        <f t="shared" si="1"/>
        <v>28551.891763660857</v>
      </c>
      <c r="E32" s="25">
        <f t="shared" si="5"/>
        <v>0</v>
      </c>
      <c r="F32" s="25">
        <f t="shared" si="6"/>
        <v>436436.05981595878</v>
      </c>
      <c r="H32" s="26">
        <f t="shared" si="2"/>
        <v>278880.53550934396</v>
      </c>
      <c r="I32" s="26">
        <f t="shared" si="3"/>
        <v>19521.637485654079</v>
      </c>
      <c r="J32" s="26">
        <v>10000</v>
      </c>
      <c r="K32" s="26">
        <f t="shared" si="0"/>
        <v>308402.17299499805</v>
      </c>
      <c r="L32" s="11">
        <v>17</v>
      </c>
    </row>
    <row r="33" spans="2:12" x14ac:dyDescent="0.15">
      <c r="B33" s="24">
        <v>2051</v>
      </c>
      <c r="C33" s="25">
        <f t="shared" si="4"/>
        <v>436436.05981595878</v>
      </c>
      <c r="D33" s="25">
        <f t="shared" si="1"/>
        <v>30550.524187117117</v>
      </c>
      <c r="E33" s="25">
        <f t="shared" si="5"/>
        <v>0</v>
      </c>
      <c r="F33" s="25">
        <f t="shared" si="6"/>
        <v>466986.5840030759</v>
      </c>
      <c r="H33" s="26">
        <f t="shared" si="2"/>
        <v>308402.17299499805</v>
      </c>
      <c r="I33" s="26">
        <f t="shared" si="3"/>
        <v>21588.152109649865</v>
      </c>
      <c r="J33" s="26">
        <v>10000</v>
      </c>
      <c r="K33" s="26">
        <f t="shared" si="0"/>
        <v>339990.3251046479</v>
      </c>
      <c r="L33" s="11">
        <v>18</v>
      </c>
    </row>
    <row r="34" spans="2:12" x14ac:dyDescent="0.15">
      <c r="B34" s="24">
        <v>2052</v>
      </c>
      <c r="C34" s="25">
        <f t="shared" si="4"/>
        <v>466986.5840030759</v>
      </c>
      <c r="D34" s="25">
        <f t="shared" si="1"/>
        <v>32689.060880215315</v>
      </c>
      <c r="E34" s="25">
        <f t="shared" si="5"/>
        <v>0</v>
      </c>
      <c r="F34" s="25">
        <f t="shared" si="6"/>
        <v>499675.64488329121</v>
      </c>
      <c r="H34" s="26">
        <f t="shared" si="2"/>
        <v>339990.3251046479</v>
      </c>
      <c r="I34" s="26">
        <f t="shared" si="3"/>
        <v>23799.322757325353</v>
      </c>
      <c r="J34" s="26">
        <v>10000</v>
      </c>
      <c r="K34" s="26">
        <f t="shared" si="0"/>
        <v>373789.64786197327</v>
      </c>
      <c r="L34" s="11">
        <v>19</v>
      </c>
    </row>
    <row r="35" spans="2:12" x14ac:dyDescent="0.15">
      <c r="B35" s="24">
        <v>2053</v>
      </c>
      <c r="C35" s="25">
        <f t="shared" si="4"/>
        <v>499675.64488329121</v>
      </c>
      <c r="D35" s="25">
        <f t="shared" si="1"/>
        <v>34977.295141830386</v>
      </c>
      <c r="E35" s="25">
        <f t="shared" si="5"/>
        <v>0</v>
      </c>
      <c r="F35" s="25">
        <f t="shared" si="6"/>
        <v>534652.94002512156</v>
      </c>
      <c r="H35" s="26">
        <f t="shared" si="2"/>
        <v>373789.64786197327</v>
      </c>
      <c r="I35" s="26">
        <f t="shared" si="3"/>
        <v>26165.275350338132</v>
      </c>
      <c r="J35" s="26">
        <v>10000</v>
      </c>
      <c r="K35" s="26">
        <f t="shared" si="0"/>
        <v>409954.92321231141</v>
      </c>
      <c r="L35" s="11">
        <v>20</v>
      </c>
    </row>
    <row r="36" spans="2:12" x14ac:dyDescent="0.15">
      <c r="B36" s="24">
        <v>2054</v>
      </c>
      <c r="C36" s="25">
        <f t="shared" si="4"/>
        <v>534652.94002512156</v>
      </c>
      <c r="D36" s="25">
        <f t="shared" si="1"/>
        <v>37425.705801758515</v>
      </c>
      <c r="E36" s="25">
        <f t="shared" si="5"/>
        <v>0</v>
      </c>
      <c r="F36" s="25">
        <f t="shared" si="6"/>
        <v>572078.64582688012</v>
      </c>
      <c r="H36" s="26">
        <f t="shared" si="2"/>
        <v>409954.92321231141</v>
      </c>
      <c r="I36" s="26">
        <f t="shared" si="3"/>
        <v>28696.844624861802</v>
      </c>
      <c r="J36" s="26">
        <v>10000</v>
      </c>
      <c r="K36" s="26">
        <f t="shared" si="0"/>
        <v>448651.76783717319</v>
      </c>
      <c r="L36" s="11">
        <v>21</v>
      </c>
    </row>
    <row r="37" spans="2:12" x14ac:dyDescent="0.15">
      <c r="B37" s="24">
        <v>2055</v>
      </c>
      <c r="C37" s="25">
        <f t="shared" si="4"/>
        <v>572078.64582688012</v>
      </c>
      <c r="D37" s="25">
        <f t="shared" si="1"/>
        <v>40045.505207881615</v>
      </c>
      <c r="E37" s="25">
        <f t="shared" si="5"/>
        <v>0</v>
      </c>
      <c r="F37" s="25">
        <f t="shared" si="6"/>
        <v>612124.15103476169</v>
      </c>
      <c r="H37" s="26">
        <f t="shared" si="2"/>
        <v>448651.76783717319</v>
      </c>
      <c r="I37" s="26">
        <f t="shared" si="3"/>
        <v>31405.623748602127</v>
      </c>
      <c r="J37" s="26">
        <v>10000</v>
      </c>
      <c r="K37" s="26">
        <f t="shared" si="0"/>
        <v>490057.3915857753</v>
      </c>
      <c r="L37" s="11">
        <v>22</v>
      </c>
    </row>
    <row r="38" spans="2:12" x14ac:dyDescent="0.15">
      <c r="B38" s="24">
        <v>2056</v>
      </c>
      <c r="C38" s="25">
        <f t="shared" si="4"/>
        <v>612124.15103476169</v>
      </c>
      <c r="D38" s="25">
        <f t="shared" si="1"/>
        <v>42848.690572433319</v>
      </c>
      <c r="E38" s="25">
        <f t="shared" si="5"/>
        <v>0</v>
      </c>
      <c r="F38" s="25">
        <f t="shared" si="6"/>
        <v>654972.84160719498</v>
      </c>
      <c r="H38" s="26">
        <f t="shared" si="2"/>
        <v>490057.3915857753</v>
      </c>
      <c r="I38" s="26">
        <f t="shared" si="3"/>
        <v>34304.017411004272</v>
      </c>
      <c r="J38" s="26">
        <v>10000</v>
      </c>
      <c r="K38" s="26">
        <f t="shared" si="0"/>
        <v>534361.40899677959</v>
      </c>
      <c r="L38" s="11">
        <v>23</v>
      </c>
    </row>
    <row r="39" spans="2:12" x14ac:dyDescent="0.15">
      <c r="B39" s="24">
        <v>2057</v>
      </c>
      <c r="C39" s="25">
        <f t="shared" si="4"/>
        <v>654972.84160719498</v>
      </c>
      <c r="D39" s="25">
        <f t="shared" si="1"/>
        <v>45848.09891250365</v>
      </c>
      <c r="E39" s="25">
        <f t="shared" si="5"/>
        <v>0</v>
      </c>
      <c r="F39" s="25">
        <f t="shared" si="6"/>
        <v>700820.94051969866</v>
      </c>
      <c r="H39" s="26">
        <f t="shared" si="2"/>
        <v>534361.40899677959</v>
      </c>
      <c r="I39" s="26">
        <f t="shared" si="3"/>
        <v>37405.298629774574</v>
      </c>
      <c r="J39" s="26">
        <v>10000</v>
      </c>
      <c r="K39" s="26">
        <f t="shared" si="0"/>
        <v>581766.70762655418</v>
      </c>
      <c r="L39" s="11">
        <v>24</v>
      </c>
    </row>
    <row r="40" spans="2:12" x14ac:dyDescent="0.15">
      <c r="B40" s="24">
        <v>2058</v>
      </c>
      <c r="C40" s="25">
        <f t="shared" si="4"/>
        <v>700820.94051969866</v>
      </c>
      <c r="D40" s="25">
        <f t="shared" si="1"/>
        <v>49057.465836378913</v>
      </c>
      <c r="E40" s="25">
        <f t="shared" si="5"/>
        <v>0</v>
      </c>
      <c r="F40" s="25">
        <f t="shared" si="6"/>
        <v>749878.40635607752</v>
      </c>
      <c r="H40" s="26">
        <f t="shared" si="2"/>
        <v>581766.70762655418</v>
      </c>
      <c r="I40" s="26">
        <f t="shared" si="3"/>
        <v>40723.669533858796</v>
      </c>
      <c r="J40" s="26">
        <v>10000</v>
      </c>
      <c r="K40" s="26">
        <f t="shared" si="0"/>
        <v>632490.37716041296</v>
      </c>
      <c r="L40" s="11">
        <v>25</v>
      </c>
    </row>
    <row r="41" spans="2:12" x14ac:dyDescent="0.15">
      <c r="B41" s="24">
        <v>2059</v>
      </c>
      <c r="C41" s="25">
        <f t="shared" si="4"/>
        <v>749878.40635607752</v>
      </c>
      <c r="D41" s="25">
        <f t="shared" si="1"/>
        <v>52491.488444925431</v>
      </c>
      <c r="E41" s="25">
        <f t="shared" si="5"/>
        <v>0</v>
      </c>
      <c r="F41" s="25">
        <f t="shared" si="6"/>
        <v>802369.89480100293</v>
      </c>
      <c r="H41" s="26">
        <f t="shared" si="2"/>
        <v>632490.37716041296</v>
      </c>
      <c r="I41" s="26">
        <f t="shared" si="3"/>
        <v>44274.326401228915</v>
      </c>
      <c r="J41" s="26">
        <v>10000</v>
      </c>
      <c r="K41" s="26">
        <f t="shared" si="0"/>
        <v>686764.70356164186</v>
      </c>
      <c r="L41" s="11">
        <v>26</v>
      </c>
    </row>
    <row r="42" spans="2:12" x14ac:dyDescent="0.15">
      <c r="B42" s="24">
        <v>2060</v>
      </c>
      <c r="C42" s="25">
        <f t="shared" si="4"/>
        <v>802369.89480100293</v>
      </c>
      <c r="D42" s="25">
        <f t="shared" si="1"/>
        <v>56165.89263607021</v>
      </c>
      <c r="E42" s="25">
        <f t="shared" si="5"/>
        <v>0</v>
      </c>
      <c r="F42" s="25">
        <f t="shared" si="6"/>
        <v>858535.78743707319</v>
      </c>
      <c r="H42" s="26">
        <f t="shared" si="2"/>
        <v>686764.70356164186</v>
      </c>
      <c r="I42" s="26">
        <f t="shared" si="3"/>
        <v>48073.529249314932</v>
      </c>
      <c r="J42" s="26">
        <v>10000</v>
      </c>
      <c r="K42" s="26">
        <f t="shared" si="0"/>
        <v>744838.23281095678</v>
      </c>
      <c r="L42" s="11">
        <v>27</v>
      </c>
    </row>
    <row r="43" spans="2:12" x14ac:dyDescent="0.15">
      <c r="B43" s="24">
        <v>2061</v>
      </c>
      <c r="C43" s="25">
        <f t="shared" si="4"/>
        <v>858535.78743707319</v>
      </c>
      <c r="D43" s="25">
        <f t="shared" si="1"/>
        <v>60097.505120595131</v>
      </c>
      <c r="E43" s="25">
        <f t="shared" si="5"/>
        <v>0</v>
      </c>
      <c r="F43" s="25">
        <f t="shared" si="6"/>
        <v>918633.29255766829</v>
      </c>
      <c r="H43" s="26">
        <f t="shared" si="2"/>
        <v>744838.23281095678</v>
      </c>
      <c r="I43" s="26">
        <f t="shared" si="3"/>
        <v>52138.676296766978</v>
      </c>
      <c r="J43" s="26">
        <v>10000</v>
      </c>
      <c r="K43" s="26">
        <f t="shared" si="0"/>
        <v>806976.90910772374</v>
      </c>
      <c r="L43" s="11">
        <v>28</v>
      </c>
    </row>
    <row r="44" spans="2:12" x14ac:dyDescent="0.15">
      <c r="B44" s="24">
        <v>2062</v>
      </c>
      <c r="C44" s="25">
        <f t="shared" si="4"/>
        <v>918633.29255766829</v>
      </c>
      <c r="D44" s="25">
        <f t="shared" si="1"/>
        <v>64304.330479036784</v>
      </c>
      <c r="E44" s="25">
        <f t="shared" si="5"/>
        <v>0</v>
      </c>
      <c r="F44" s="25">
        <f t="shared" si="6"/>
        <v>982937.62303670507</v>
      </c>
      <c r="H44" s="26">
        <f t="shared" si="2"/>
        <v>806976.90910772374</v>
      </c>
      <c r="I44" s="26">
        <f t="shared" si="3"/>
        <v>56488.383637540668</v>
      </c>
      <c r="J44" s="26">
        <v>10000</v>
      </c>
      <c r="K44" s="26">
        <f t="shared" si="0"/>
        <v>873465.29274526436</v>
      </c>
      <c r="L44" s="11">
        <v>29</v>
      </c>
    </row>
    <row r="45" spans="2:12" x14ac:dyDescent="0.15">
      <c r="B45" s="24">
        <v>2063</v>
      </c>
      <c r="C45" s="25">
        <f t="shared" si="4"/>
        <v>982937.62303670507</v>
      </c>
      <c r="D45" s="25">
        <f t="shared" si="1"/>
        <v>68805.633612569363</v>
      </c>
      <c r="E45" s="25">
        <f t="shared" si="5"/>
        <v>0</v>
      </c>
      <c r="F45" s="27">
        <f t="shared" si="6"/>
        <v>1051743.2566492744</v>
      </c>
      <c r="H45" s="26">
        <f t="shared" si="2"/>
        <v>873465.29274526436</v>
      </c>
      <c r="I45" s="26">
        <f t="shared" si="3"/>
        <v>61142.57049216851</v>
      </c>
      <c r="J45" s="26">
        <v>10000</v>
      </c>
      <c r="K45" s="28">
        <f t="shared" si="0"/>
        <v>944607.8632374329</v>
      </c>
      <c r="L45" s="11">
        <v>30</v>
      </c>
    </row>
    <row r="46" spans="2:12" x14ac:dyDescent="0.15">
      <c r="C46" s="25"/>
      <c r="D46" s="25"/>
      <c r="E46" s="25"/>
      <c r="F46" s="25"/>
    </row>
    <row r="48" spans="2:12" x14ac:dyDescent="0.15">
      <c r="B48" s="29" t="s">
        <v>117</v>
      </c>
      <c r="C48" s="30"/>
    </row>
    <row r="49" spans="2:6" ht="14" thickBot="1" x14ac:dyDescent="0.2">
      <c r="B49" s="31"/>
    </row>
    <row r="50" spans="2:6" ht="14" thickBot="1" x14ac:dyDescent="0.2">
      <c r="C50" s="39" t="s">
        <v>25</v>
      </c>
    </row>
    <row r="51" spans="2:6" ht="16" x14ac:dyDescent="0.2">
      <c r="C51" s="11" t="s">
        <v>26</v>
      </c>
      <c r="D51" s="32">
        <v>500000</v>
      </c>
    </row>
    <row r="52" spans="2:6" x14ac:dyDescent="0.15">
      <c r="C52" s="11" t="s">
        <v>27</v>
      </c>
      <c r="D52" s="33">
        <f>0.07/12</f>
        <v>5.8333333333333336E-3</v>
      </c>
      <c r="E52" s="11" t="s">
        <v>127</v>
      </c>
    </row>
    <row r="53" spans="2:6" x14ac:dyDescent="0.15">
      <c r="C53" s="11" t="s">
        <v>13</v>
      </c>
      <c r="D53" s="24">
        <v>360</v>
      </c>
    </row>
    <row r="54" spans="2:6" x14ac:dyDescent="0.15">
      <c r="C54" s="11" t="s">
        <v>10</v>
      </c>
      <c r="D54" s="34">
        <f>PMT(D52,D53,D51)</f>
        <v>-3326.5124758959159</v>
      </c>
    </row>
    <row r="56" spans="2:6" ht="29" thickBot="1" x14ac:dyDescent="0.2">
      <c r="C56" s="111" t="s">
        <v>28</v>
      </c>
      <c r="D56" s="112" t="s">
        <v>29</v>
      </c>
      <c r="E56" s="111" t="s">
        <v>18</v>
      </c>
      <c r="F56" s="111" t="s">
        <v>22</v>
      </c>
    </row>
    <row r="57" spans="2:6" ht="16" x14ac:dyDescent="0.2">
      <c r="B57" s="24">
        <v>1</v>
      </c>
      <c r="C57" s="36">
        <f>D51</f>
        <v>500000</v>
      </c>
      <c r="D57" s="37">
        <f>C57*$D$52</f>
        <v>2916.666666666667</v>
      </c>
      <c r="E57" s="37">
        <f>$D$54</f>
        <v>-3326.5124758959159</v>
      </c>
      <c r="F57" s="37">
        <f>C57+D57+E57</f>
        <v>499590.15419077076</v>
      </c>
    </row>
    <row r="58" spans="2:6" x14ac:dyDescent="0.15">
      <c r="B58" s="24">
        <v>2</v>
      </c>
      <c r="C58" s="37">
        <f>F57</f>
        <v>499590.15419077076</v>
      </c>
      <c r="D58" s="37">
        <f t="shared" ref="D58:D92" si="7">C58*$D$52</f>
        <v>2914.2758994461628</v>
      </c>
      <c r="E58" s="37">
        <f t="shared" ref="E58:E92" si="8">$D$54</f>
        <v>-3326.5124758959159</v>
      </c>
      <c r="F58" s="37">
        <f>C58+D58+E58</f>
        <v>499177.91761432099</v>
      </c>
    </row>
    <row r="59" spans="2:6" x14ac:dyDescent="0.15">
      <c r="B59" s="24">
        <v>3</v>
      </c>
      <c r="C59" s="37">
        <f t="shared" ref="C59:C92" si="9">F58</f>
        <v>499177.91761432099</v>
      </c>
      <c r="D59" s="37">
        <f t="shared" si="7"/>
        <v>2911.8711860835392</v>
      </c>
      <c r="E59" s="37">
        <f t="shared" si="8"/>
        <v>-3326.5124758959159</v>
      </c>
      <c r="F59" s="37">
        <f t="shared" ref="F59:F92" si="10">C59+D59+E59</f>
        <v>498763.2763245086</v>
      </c>
    </row>
    <row r="60" spans="2:6" x14ac:dyDescent="0.15">
      <c r="B60" s="24">
        <v>4</v>
      </c>
      <c r="C60" s="37">
        <f t="shared" si="9"/>
        <v>498763.2763245086</v>
      </c>
      <c r="D60" s="37">
        <f t="shared" si="7"/>
        <v>2909.4524452263004</v>
      </c>
      <c r="E60" s="37">
        <f t="shared" si="8"/>
        <v>-3326.5124758959159</v>
      </c>
      <c r="F60" s="37">
        <f t="shared" si="10"/>
        <v>498346.21629383898</v>
      </c>
    </row>
    <row r="61" spans="2:6" x14ac:dyDescent="0.15">
      <c r="B61" s="24">
        <v>5</v>
      </c>
      <c r="C61" s="37">
        <f t="shared" si="9"/>
        <v>498346.21629383898</v>
      </c>
      <c r="D61" s="37">
        <f t="shared" si="7"/>
        <v>2907.019595047394</v>
      </c>
      <c r="E61" s="37">
        <f t="shared" si="8"/>
        <v>-3326.5124758959159</v>
      </c>
      <c r="F61" s="37">
        <f t="shared" si="10"/>
        <v>497926.72341299045</v>
      </c>
    </row>
    <row r="62" spans="2:6" x14ac:dyDescent="0.15">
      <c r="B62" s="24">
        <v>6</v>
      </c>
      <c r="C62" s="37">
        <f t="shared" si="9"/>
        <v>497926.72341299045</v>
      </c>
      <c r="D62" s="37">
        <f t="shared" si="7"/>
        <v>2904.5725532424444</v>
      </c>
      <c r="E62" s="37">
        <f t="shared" si="8"/>
        <v>-3326.5124758959159</v>
      </c>
      <c r="F62" s="37">
        <f t="shared" si="10"/>
        <v>497504.78349033697</v>
      </c>
    </row>
    <row r="63" spans="2:6" x14ac:dyDescent="0.15">
      <c r="B63" s="24">
        <v>7</v>
      </c>
      <c r="C63" s="37">
        <f t="shared" si="9"/>
        <v>497504.78349033697</v>
      </c>
      <c r="D63" s="37">
        <f t="shared" si="7"/>
        <v>2902.1112370269657</v>
      </c>
      <c r="E63" s="37">
        <f t="shared" si="8"/>
        <v>-3326.5124758959159</v>
      </c>
      <c r="F63" s="37">
        <f t="shared" si="10"/>
        <v>497080.38225146802</v>
      </c>
    </row>
    <row r="64" spans="2:6" x14ac:dyDescent="0.15">
      <c r="B64" s="24">
        <v>8</v>
      </c>
      <c r="C64" s="37">
        <f t="shared" si="9"/>
        <v>497080.38225146802</v>
      </c>
      <c r="D64" s="37">
        <f t="shared" si="7"/>
        <v>2899.6355631335637</v>
      </c>
      <c r="E64" s="37">
        <f t="shared" si="8"/>
        <v>-3326.5124758959159</v>
      </c>
      <c r="F64" s="37">
        <f t="shared" si="10"/>
        <v>496653.50533870567</v>
      </c>
    </row>
    <row r="65" spans="2:6" x14ac:dyDescent="0.15">
      <c r="B65" s="24">
        <v>9</v>
      </c>
      <c r="C65" s="37">
        <f t="shared" si="9"/>
        <v>496653.50533870567</v>
      </c>
      <c r="D65" s="37">
        <f t="shared" si="7"/>
        <v>2897.1454478091164</v>
      </c>
      <c r="E65" s="37">
        <f t="shared" si="8"/>
        <v>-3326.5124758959159</v>
      </c>
      <c r="F65" s="37">
        <f t="shared" si="10"/>
        <v>496224.13831061887</v>
      </c>
    </row>
    <row r="66" spans="2:6" x14ac:dyDescent="0.15">
      <c r="B66" s="24">
        <v>10</v>
      </c>
      <c r="C66" s="37">
        <f t="shared" si="9"/>
        <v>496224.13831061887</v>
      </c>
      <c r="D66" s="37">
        <f t="shared" si="7"/>
        <v>2894.6408068119435</v>
      </c>
      <c r="E66" s="37">
        <f t="shared" si="8"/>
        <v>-3326.5124758959159</v>
      </c>
      <c r="F66" s="37">
        <f t="shared" si="10"/>
        <v>495792.26664153486</v>
      </c>
    </row>
    <row r="67" spans="2:6" x14ac:dyDescent="0.15">
      <c r="B67" s="24">
        <v>11</v>
      </c>
      <c r="C67" s="37">
        <f t="shared" si="9"/>
        <v>495792.26664153486</v>
      </c>
      <c r="D67" s="37">
        <f t="shared" si="7"/>
        <v>2892.1215554089536</v>
      </c>
      <c r="E67" s="37">
        <f t="shared" si="8"/>
        <v>-3326.5124758959159</v>
      </c>
      <c r="F67" s="37">
        <f t="shared" si="10"/>
        <v>495357.87572104787</v>
      </c>
    </row>
    <row r="68" spans="2:6" x14ac:dyDescent="0.15">
      <c r="B68" s="24">
        <v>12</v>
      </c>
      <c r="C68" s="37">
        <f t="shared" si="9"/>
        <v>495357.87572104787</v>
      </c>
      <c r="D68" s="37">
        <f t="shared" si="7"/>
        <v>2889.5876083727794</v>
      </c>
      <c r="E68" s="37">
        <f t="shared" si="8"/>
        <v>-3326.5124758959159</v>
      </c>
      <c r="F68" s="37">
        <f t="shared" si="10"/>
        <v>494920.95085352473</v>
      </c>
    </row>
    <row r="69" spans="2:6" x14ac:dyDescent="0.15">
      <c r="B69" s="24">
        <v>13</v>
      </c>
      <c r="C69" s="37">
        <f t="shared" si="9"/>
        <v>494920.95085352473</v>
      </c>
      <c r="D69" s="37">
        <f t="shared" si="7"/>
        <v>2887.0388799788943</v>
      </c>
      <c r="E69" s="37">
        <f t="shared" si="8"/>
        <v>-3326.5124758959159</v>
      </c>
      <c r="F69" s="37">
        <f t="shared" si="10"/>
        <v>494481.47725760768</v>
      </c>
    </row>
    <row r="70" spans="2:6" x14ac:dyDescent="0.15">
      <c r="B70" s="24">
        <v>14</v>
      </c>
      <c r="C70" s="37">
        <f t="shared" si="9"/>
        <v>494481.47725760768</v>
      </c>
      <c r="D70" s="37">
        <f t="shared" si="7"/>
        <v>2884.4752840027118</v>
      </c>
      <c r="E70" s="37">
        <f t="shared" si="8"/>
        <v>-3326.5124758959159</v>
      </c>
      <c r="F70" s="37">
        <f t="shared" si="10"/>
        <v>494039.44006571447</v>
      </c>
    </row>
    <row r="71" spans="2:6" x14ac:dyDescent="0.15">
      <c r="B71" s="24">
        <v>15</v>
      </c>
      <c r="C71" s="37">
        <f t="shared" si="9"/>
        <v>494039.44006571447</v>
      </c>
      <c r="D71" s="37">
        <f t="shared" si="7"/>
        <v>2881.8967337166678</v>
      </c>
      <c r="E71" s="37">
        <f t="shared" si="8"/>
        <v>-3326.5124758959159</v>
      </c>
      <c r="F71" s="37">
        <f t="shared" si="10"/>
        <v>493594.8243235352</v>
      </c>
    </row>
    <row r="72" spans="2:6" x14ac:dyDescent="0.15">
      <c r="B72" s="24">
        <v>16</v>
      </c>
      <c r="C72" s="37">
        <f t="shared" si="9"/>
        <v>493594.8243235352</v>
      </c>
      <c r="D72" s="37">
        <f t="shared" si="7"/>
        <v>2879.3031418872888</v>
      </c>
      <c r="E72" s="37">
        <f t="shared" si="8"/>
        <v>-3326.5124758959159</v>
      </c>
      <c r="F72" s="37">
        <f t="shared" si="10"/>
        <v>493147.61498952657</v>
      </c>
    </row>
    <row r="73" spans="2:6" x14ac:dyDescent="0.15">
      <c r="B73" s="24">
        <v>17</v>
      </c>
      <c r="C73" s="37">
        <f t="shared" si="9"/>
        <v>493147.61498952657</v>
      </c>
      <c r="D73" s="37">
        <f t="shared" si="7"/>
        <v>2876.6944207722386</v>
      </c>
      <c r="E73" s="37">
        <f t="shared" si="8"/>
        <v>-3326.5124758959159</v>
      </c>
      <c r="F73" s="37">
        <f t="shared" si="10"/>
        <v>492697.7969344029</v>
      </c>
    </row>
    <row r="74" spans="2:6" x14ac:dyDescent="0.15">
      <c r="B74" s="24">
        <v>18</v>
      </c>
      <c r="C74" s="37">
        <f t="shared" si="9"/>
        <v>492697.7969344029</v>
      </c>
      <c r="D74" s="37">
        <f t="shared" si="7"/>
        <v>2874.0704821173504</v>
      </c>
      <c r="E74" s="37">
        <f t="shared" si="8"/>
        <v>-3326.5124758959159</v>
      </c>
      <c r="F74" s="37">
        <f t="shared" si="10"/>
        <v>492245.35494062433</v>
      </c>
    </row>
    <row r="75" spans="2:6" x14ac:dyDescent="0.15">
      <c r="B75" s="24">
        <v>19</v>
      </c>
      <c r="C75" s="37">
        <f t="shared" si="9"/>
        <v>492245.35494062433</v>
      </c>
      <c r="D75" s="37">
        <f t="shared" si="7"/>
        <v>2871.4312371536421</v>
      </c>
      <c r="E75" s="37">
        <f t="shared" si="8"/>
        <v>-3326.5124758959159</v>
      </c>
      <c r="F75" s="37">
        <f t="shared" si="10"/>
        <v>491790.27370188205</v>
      </c>
    </row>
    <row r="76" spans="2:6" x14ac:dyDescent="0.15">
      <c r="B76" s="24">
        <v>20</v>
      </c>
      <c r="C76" s="37">
        <f t="shared" si="9"/>
        <v>491790.27370188205</v>
      </c>
      <c r="D76" s="37">
        <f t="shared" si="7"/>
        <v>2868.7765965943122</v>
      </c>
      <c r="E76" s="37">
        <f t="shared" si="8"/>
        <v>-3326.5124758959159</v>
      </c>
      <c r="F76" s="37">
        <f t="shared" si="10"/>
        <v>491332.53782258043</v>
      </c>
    </row>
    <row r="77" spans="2:6" x14ac:dyDescent="0.15">
      <c r="B77" s="24">
        <v>21</v>
      </c>
      <c r="C77" s="37">
        <f t="shared" si="9"/>
        <v>491332.53782258043</v>
      </c>
      <c r="D77" s="37">
        <f t="shared" si="7"/>
        <v>2866.1064706317193</v>
      </c>
      <c r="E77" s="37">
        <f t="shared" si="8"/>
        <v>-3326.5124758959159</v>
      </c>
      <c r="F77" s="37">
        <f t="shared" si="10"/>
        <v>490872.13181731623</v>
      </c>
    </row>
    <row r="78" spans="2:6" x14ac:dyDescent="0.15">
      <c r="B78" s="24">
        <v>22</v>
      </c>
      <c r="C78" s="37">
        <f t="shared" si="9"/>
        <v>490872.13181731623</v>
      </c>
      <c r="D78" s="37">
        <f t="shared" si="7"/>
        <v>2863.4207689343448</v>
      </c>
      <c r="E78" s="37">
        <f t="shared" si="8"/>
        <v>-3326.5124758959159</v>
      </c>
      <c r="F78" s="37">
        <f t="shared" si="10"/>
        <v>490409.04011035466</v>
      </c>
    </row>
    <row r="79" spans="2:6" x14ac:dyDescent="0.15">
      <c r="B79" s="24">
        <v>23</v>
      </c>
      <c r="C79" s="37">
        <f t="shared" si="9"/>
        <v>490409.04011035466</v>
      </c>
      <c r="D79" s="37">
        <f t="shared" si="7"/>
        <v>2860.7194006437358</v>
      </c>
      <c r="E79" s="37">
        <f t="shared" si="8"/>
        <v>-3326.5124758959159</v>
      </c>
      <c r="F79" s="37">
        <f t="shared" si="10"/>
        <v>489943.24703510245</v>
      </c>
    </row>
    <row r="80" spans="2:6" x14ac:dyDescent="0.15">
      <c r="B80" s="24">
        <v>24</v>
      </c>
      <c r="C80" s="37">
        <f t="shared" si="9"/>
        <v>489943.24703510245</v>
      </c>
      <c r="D80" s="37">
        <f t="shared" si="7"/>
        <v>2858.0022743714312</v>
      </c>
      <c r="E80" s="37">
        <f t="shared" si="8"/>
        <v>-3326.5124758959159</v>
      </c>
      <c r="F80" s="37">
        <f t="shared" si="10"/>
        <v>489474.73683357798</v>
      </c>
    </row>
    <row r="81" spans="2:7" x14ac:dyDescent="0.15">
      <c r="B81" s="24">
        <v>25</v>
      </c>
      <c r="C81" s="37">
        <f t="shared" si="9"/>
        <v>489474.73683357798</v>
      </c>
      <c r="D81" s="37">
        <f t="shared" si="7"/>
        <v>2855.2692981958717</v>
      </c>
      <c r="E81" s="37">
        <f t="shared" si="8"/>
        <v>-3326.5124758959159</v>
      </c>
      <c r="F81" s="37">
        <f t="shared" si="10"/>
        <v>489003.49365587794</v>
      </c>
    </row>
    <row r="82" spans="2:7" x14ac:dyDescent="0.15">
      <c r="B82" s="24">
        <v>26</v>
      </c>
      <c r="C82" s="37">
        <f t="shared" si="9"/>
        <v>489003.49365587794</v>
      </c>
      <c r="D82" s="37">
        <f t="shared" si="7"/>
        <v>2852.5203796592882</v>
      </c>
      <c r="E82" s="37">
        <f t="shared" si="8"/>
        <v>-3326.5124758959159</v>
      </c>
      <c r="F82" s="37">
        <f t="shared" si="10"/>
        <v>488529.50155964133</v>
      </c>
    </row>
    <row r="83" spans="2:7" x14ac:dyDescent="0.15">
      <c r="B83" s="24">
        <v>27</v>
      </c>
      <c r="C83" s="37">
        <f t="shared" si="9"/>
        <v>488529.50155964133</v>
      </c>
      <c r="D83" s="37">
        <f t="shared" si="7"/>
        <v>2849.7554257645747</v>
      </c>
      <c r="E83" s="37">
        <f t="shared" si="8"/>
        <v>-3326.5124758959159</v>
      </c>
      <c r="F83" s="37">
        <f t="shared" si="10"/>
        <v>488052.74450951</v>
      </c>
    </row>
    <row r="84" spans="2:7" x14ac:dyDescent="0.15">
      <c r="B84" s="24">
        <v>28</v>
      </c>
      <c r="C84" s="37">
        <f t="shared" si="9"/>
        <v>488052.74450951</v>
      </c>
      <c r="D84" s="37">
        <f t="shared" si="7"/>
        <v>2846.9743429721416</v>
      </c>
      <c r="E84" s="37">
        <f t="shared" si="8"/>
        <v>-3326.5124758959159</v>
      </c>
      <c r="F84" s="37">
        <f t="shared" si="10"/>
        <v>487573.20637658623</v>
      </c>
    </row>
    <row r="85" spans="2:7" x14ac:dyDescent="0.15">
      <c r="B85" s="24">
        <v>29</v>
      </c>
      <c r="C85" s="37">
        <f t="shared" si="9"/>
        <v>487573.20637658623</v>
      </c>
      <c r="D85" s="37">
        <f t="shared" si="7"/>
        <v>2844.1770371967532</v>
      </c>
      <c r="E85" s="37">
        <f t="shared" si="8"/>
        <v>-3326.5124758959159</v>
      </c>
      <c r="F85" s="37">
        <f t="shared" si="10"/>
        <v>487090.87093788706</v>
      </c>
    </row>
    <row r="86" spans="2:7" x14ac:dyDescent="0.15">
      <c r="B86" s="24">
        <v>30</v>
      </c>
      <c r="C86" s="37">
        <f t="shared" si="9"/>
        <v>487090.87093788706</v>
      </c>
      <c r="D86" s="37">
        <f t="shared" si="7"/>
        <v>2841.3634138043412</v>
      </c>
      <c r="E86" s="37">
        <f t="shared" si="8"/>
        <v>-3326.5124758959159</v>
      </c>
      <c r="F86" s="37">
        <f t="shared" si="10"/>
        <v>486605.72187579545</v>
      </c>
    </row>
    <row r="87" spans="2:7" x14ac:dyDescent="0.15">
      <c r="B87" s="24">
        <v>31</v>
      </c>
      <c r="C87" s="37">
        <f t="shared" si="9"/>
        <v>486605.72187579545</v>
      </c>
      <c r="D87" s="37">
        <f t="shared" si="7"/>
        <v>2838.5333776088069</v>
      </c>
      <c r="E87" s="37">
        <f t="shared" si="8"/>
        <v>-3326.5124758959159</v>
      </c>
      <c r="F87" s="37">
        <f t="shared" si="10"/>
        <v>486117.74277750833</v>
      </c>
    </row>
    <row r="88" spans="2:7" x14ac:dyDescent="0.15">
      <c r="B88" s="24">
        <v>32</v>
      </c>
      <c r="C88" s="37">
        <f t="shared" si="9"/>
        <v>486117.74277750833</v>
      </c>
      <c r="D88" s="37">
        <f t="shared" si="7"/>
        <v>2835.6868328687988</v>
      </c>
      <c r="E88" s="37">
        <f t="shared" si="8"/>
        <v>-3326.5124758959159</v>
      </c>
      <c r="F88" s="37">
        <f t="shared" si="10"/>
        <v>485626.91713448119</v>
      </c>
    </row>
    <row r="89" spans="2:7" x14ac:dyDescent="0.15">
      <c r="B89" s="24">
        <v>33</v>
      </c>
      <c r="C89" s="37">
        <f t="shared" si="9"/>
        <v>485626.91713448119</v>
      </c>
      <c r="D89" s="37">
        <f t="shared" si="7"/>
        <v>2832.8236832844736</v>
      </c>
      <c r="E89" s="37">
        <f t="shared" si="8"/>
        <v>-3326.5124758959159</v>
      </c>
      <c r="F89" s="37">
        <f t="shared" si="10"/>
        <v>485133.22834186972</v>
      </c>
    </row>
    <row r="90" spans="2:7" x14ac:dyDescent="0.15">
      <c r="B90" s="24">
        <v>34</v>
      </c>
      <c r="C90" s="37">
        <f t="shared" si="9"/>
        <v>485133.22834186972</v>
      </c>
      <c r="D90" s="37">
        <f t="shared" si="7"/>
        <v>2829.9438319942401</v>
      </c>
      <c r="E90" s="37">
        <f t="shared" si="8"/>
        <v>-3326.5124758959159</v>
      </c>
      <c r="F90" s="37">
        <f t="shared" si="10"/>
        <v>484636.65969796805</v>
      </c>
    </row>
    <row r="91" spans="2:7" x14ac:dyDescent="0.15">
      <c r="B91" s="24">
        <v>35</v>
      </c>
      <c r="C91" s="37">
        <f t="shared" si="9"/>
        <v>484636.65969796805</v>
      </c>
      <c r="D91" s="37">
        <f t="shared" si="7"/>
        <v>2827.0471815714805</v>
      </c>
      <c r="E91" s="37">
        <f t="shared" si="8"/>
        <v>-3326.5124758959159</v>
      </c>
      <c r="F91" s="37">
        <f t="shared" si="10"/>
        <v>484137.1944036436</v>
      </c>
    </row>
    <row r="92" spans="2:7" x14ac:dyDescent="0.15">
      <c r="B92" s="24">
        <v>36</v>
      </c>
      <c r="C92" s="37">
        <f t="shared" si="9"/>
        <v>484137.1944036436</v>
      </c>
      <c r="D92" s="37">
        <f t="shared" si="7"/>
        <v>2824.1336340212547</v>
      </c>
      <c r="E92" s="37">
        <f t="shared" si="8"/>
        <v>-3326.5124758959159</v>
      </c>
      <c r="F92" s="38">
        <f t="shared" si="10"/>
        <v>483634.81556176895</v>
      </c>
    </row>
    <row r="93" spans="2:7" x14ac:dyDescent="0.15">
      <c r="B93" s="31"/>
    </row>
    <row r="94" spans="2:7" ht="14" thickBot="1" x14ac:dyDescent="0.2">
      <c r="B94" s="31"/>
    </row>
    <row r="95" spans="2:7" ht="14" thickBot="1" x14ac:dyDescent="0.2">
      <c r="B95" s="31"/>
      <c r="C95" s="39" t="s">
        <v>30</v>
      </c>
    </row>
    <row r="96" spans="2:7" ht="16" x14ac:dyDescent="0.2">
      <c r="B96" s="31"/>
      <c r="C96" s="15" t="s">
        <v>26</v>
      </c>
      <c r="D96" s="40">
        <f>500000</f>
        <v>500000</v>
      </c>
      <c r="E96" s="31" t="s">
        <v>31</v>
      </c>
      <c r="F96" s="41">
        <f>0.07/12</f>
        <v>5.8333333333333336E-3</v>
      </c>
      <c r="G96" s="42" t="s">
        <v>118</v>
      </c>
    </row>
    <row r="97" spans="2:6" ht="16" x14ac:dyDescent="0.2">
      <c r="B97" s="31"/>
      <c r="C97" s="15" t="s">
        <v>32</v>
      </c>
      <c r="D97" s="40">
        <f>0.03*500000</f>
        <v>15000</v>
      </c>
      <c r="E97" s="15" t="s">
        <v>13</v>
      </c>
      <c r="F97" s="24">
        <v>360</v>
      </c>
    </row>
    <row r="98" spans="2:6" ht="29" x14ac:dyDescent="0.2">
      <c r="B98" s="31"/>
      <c r="C98" s="35" t="s">
        <v>134</v>
      </c>
      <c r="D98" s="40">
        <f>D96-D97</f>
        <v>485000</v>
      </c>
      <c r="E98" s="35" t="s">
        <v>33</v>
      </c>
      <c r="F98" s="24">
        <v>36</v>
      </c>
    </row>
    <row r="99" spans="2:6" ht="16" x14ac:dyDescent="0.2">
      <c r="B99" s="31"/>
      <c r="C99" s="35" t="s">
        <v>135</v>
      </c>
      <c r="D99" s="40"/>
      <c r="E99" s="35"/>
      <c r="F99" s="24"/>
    </row>
    <row r="100" spans="2:6" x14ac:dyDescent="0.15">
      <c r="C100" s="15" t="s">
        <v>10</v>
      </c>
      <c r="D100" s="34">
        <f>PMT(F96,F97,D96)</f>
        <v>-3326.5124758959159</v>
      </c>
    </row>
    <row r="101" spans="2:6" ht="14" thickBot="1" x14ac:dyDescent="0.2"/>
    <row r="102" spans="2:6" ht="16" x14ac:dyDescent="0.2">
      <c r="B102" s="24">
        <v>1</v>
      </c>
      <c r="C102" s="43">
        <f>D98</f>
        <v>485000</v>
      </c>
      <c r="D102" s="44" t="s">
        <v>18</v>
      </c>
      <c r="E102" s="45" t="s">
        <v>34</v>
      </c>
    </row>
    <row r="103" spans="2:6" ht="14" thickBot="1" x14ac:dyDescent="0.2">
      <c r="B103" s="24">
        <v>2</v>
      </c>
      <c r="C103" s="46">
        <f>$D$103</f>
        <v>-3326.5124758959159</v>
      </c>
      <c r="D103" s="47">
        <f>D100</f>
        <v>-3326.5124758959159</v>
      </c>
      <c r="E103" s="48">
        <f>D96+CUMPRINC(F96,F97,D96,1,F98,0)</f>
        <v>483634.81556176924</v>
      </c>
      <c r="F103" s="11" t="s">
        <v>133</v>
      </c>
    </row>
    <row r="104" spans="2:6" x14ac:dyDescent="0.15">
      <c r="B104" s="24">
        <v>3</v>
      </c>
      <c r="C104" s="46">
        <f t="shared" ref="C104:C137" si="11">$D$103</f>
        <v>-3326.5124758959159</v>
      </c>
    </row>
    <row r="105" spans="2:6" x14ac:dyDescent="0.15">
      <c r="B105" s="24">
        <v>4</v>
      </c>
      <c r="C105" s="46">
        <f t="shared" si="11"/>
        <v>-3326.5124758959159</v>
      </c>
    </row>
    <row r="106" spans="2:6" x14ac:dyDescent="0.15">
      <c r="B106" s="24">
        <v>5</v>
      </c>
      <c r="C106" s="46">
        <f t="shared" si="11"/>
        <v>-3326.5124758959159</v>
      </c>
    </row>
    <row r="107" spans="2:6" x14ac:dyDescent="0.15">
      <c r="B107" s="24">
        <v>6</v>
      </c>
      <c r="C107" s="46">
        <f t="shared" si="11"/>
        <v>-3326.5124758959159</v>
      </c>
    </row>
    <row r="108" spans="2:6" x14ac:dyDescent="0.15">
      <c r="B108" s="24">
        <v>7</v>
      </c>
      <c r="C108" s="46">
        <f t="shared" si="11"/>
        <v>-3326.5124758959159</v>
      </c>
    </row>
    <row r="109" spans="2:6" x14ac:dyDescent="0.15">
      <c r="B109" s="24">
        <v>8</v>
      </c>
      <c r="C109" s="46">
        <f t="shared" si="11"/>
        <v>-3326.5124758959159</v>
      </c>
    </row>
    <row r="110" spans="2:6" x14ac:dyDescent="0.15">
      <c r="B110" s="24">
        <v>9</v>
      </c>
      <c r="C110" s="46">
        <f t="shared" si="11"/>
        <v>-3326.5124758959159</v>
      </c>
    </row>
    <row r="111" spans="2:6" x14ac:dyDescent="0.15">
      <c r="B111" s="24">
        <v>10</v>
      </c>
      <c r="C111" s="46">
        <f t="shared" si="11"/>
        <v>-3326.5124758959159</v>
      </c>
    </row>
    <row r="112" spans="2:6" x14ac:dyDescent="0.15">
      <c r="B112" s="24">
        <v>11</v>
      </c>
      <c r="C112" s="46">
        <f t="shared" si="11"/>
        <v>-3326.5124758959159</v>
      </c>
    </row>
    <row r="113" spans="2:3" x14ac:dyDescent="0.15">
      <c r="B113" s="24">
        <v>12</v>
      </c>
      <c r="C113" s="46">
        <f t="shared" si="11"/>
        <v>-3326.5124758959159</v>
      </c>
    </row>
    <row r="114" spans="2:3" x14ac:dyDescent="0.15">
      <c r="B114" s="24">
        <v>13</v>
      </c>
      <c r="C114" s="46">
        <f t="shared" si="11"/>
        <v>-3326.5124758959159</v>
      </c>
    </row>
    <row r="115" spans="2:3" x14ac:dyDescent="0.15">
      <c r="B115" s="24">
        <v>14</v>
      </c>
      <c r="C115" s="46">
        <f t="shared" si="11"/>
        <v>-3326.5124758959159</v>
      </c>
    </row>
    <row r="116" spans="2:3" x14ac:dyDescent="0.15">
      <c r="B116" s="24">
        <v>15</v>
      </c>
      <c r="C116" s="46">
        <f t="shared" si="11"/>
        <v>-3326.5124758959159</v>
      </c>
    </row>
    <row r="117" spans="2:3" x14ac:dyDescent="0.15">
      <c r="B117" s="24">
        <v>16</v>
      </c>
      <c r="C117" s="46">
        <f t="shared" si="11"/>
        <v>-3326.5124758959159</v>
      </c>
    </row>
    <row r="118" spans="2:3" x14ac:dyDescent="0.15">
      <c r="B118" s="24">
        <v>17</v>
      </c>
      <c r="C118" s="46">
        <f t="shared" si="11"/>
        <v>-3326.5124758959159</v>
      </c>
    </row>
    <row r="119" spans="2:3" x14ac:dyDescent="0.15">
      <c r="B119" s="24">
        <v>18</v>
      </c>
      <c r="C119" s="46">
        <f t="shared" si="11"/>
        <v>-3326.5124758959159</v>
      </c>
    </row>
    <row r="120" spans="2:3" x14ac:dyDescent="0.15">
      <c r="B120" s="24">
        <v>19</v>
      </c>
      <c r="C120" s="46">
        <f t="shared" si="11"/>
        <v>-3326.5124758959159</v>
      </c>
    </row>
    <row r="121" spans="2:3" x14ac:dyDescent="0.15">
      <c r="B121" s="24">
        <v>20</v>
      </c>
      <c r="C121" s="46">
        <f t="shared" si="11"/>
        <v>-3326.5124758959159</v>
      </c>
    </row>
    <row r="122" spans="2:3" x14ac:dyDescent="0.15">
      <c r="B122" s="24">
        <v>21</v>
      </c>
      <c r="C122" s="46">
        <f t="shared" si="11"/>
        <v>-3326.5124758959159</v>
      </c>
    </row>
    <row r="123" spans="2:3" x14ac:dyDescent="0.15">
      <c r="B123" s="24">
        <v>22</v>
      </c>
      <c r="C123" s="46">
        <f t="shared" si="11"/>
        <v>-3326.5124758959159</v>
      </c>
    </row>
    <row r="124" spans="2:3" x14ac:dyDescent="0.15">
      <c r="B124" s="24">
        <v>23</v>
      </c>
      <c r="C124" s="46">
        <f t="shared" si="11"/>
        <v>-3326.5124758959159</v>
      </c>
    </row>
    <row r="125" spans="2:3" x14ac:dyDescent="0.15">
      <c r="B125" s="24">
        <v>24</v>
      </c>
      <c r="C125" s="46">
        <f t="shared" si="11"/>
        <v>-3326.5124758959159</v>
      </c>
    </row>
    <row r="126" spans="2:3" x14ac:dyDescent="0.15">
      <c r="B126" s="24">
        <v>25</v>
      </c>
      <c r="C126" s="46">
        <f t="shared" si="11"/>
        <v>-3326.5124758959159</v>
      </c>
    </row>
    <row r="127" spans="2:3" x14ac:dyDescent="0.15">
      <c r="B127" s="24">
        <v>26</v>
      </c>
      <c r="C127" s="46">
        <f t="shared" si="11"/>
        <v>-3326.5124758959159</v>
      </c>
    </row>
    <row r="128" spans="2:3" x14ac:dyDescent="0.15">
      <c r="B128" s="24">
        <v>27</v>
      </c>
      <c r="C128" s="46">
        <f t="shared" si="11"/>
        <v>-3326.5124758959159</v>
      </c>
    </row>
    <row r="129" spans="2:4" x14ac:dyDescent="0.15">
      <c r="B129" s="24">
        <v>28</v>
      </c>
      <c r="C129" s="46">
        <f t="shared" si="11"/>
        <v>-3326.5124758959159</v>
      </c>
    </row>
    <row r="130" spans="2:4" x14ac:dyDescent="0.15">
      <c r="B130" s="24">
        <v>29</v>
      </c>
      <c r="C130" s="46">
        <f t="shared" si="11"/>
        <v>-3326.5124758959159</v>
      </c>
    </row>
    <row r="131" spans="2:4" x14ac:dyDescent="0.15">
      <c r="B131" s="24">
        <v>30</v>
      </c>
      <c r="C131" s="46">
        <f t="shared" si="11"/>
        <v>-3326.5124758959159</v>
      </c>
    </row>
    <row r="132" spans="2:4" x14ac:dyDescent="0.15">
      <c r="B132" s="24">
        <v>31</v>
      </c>
      <c r="C132" s="46">
        <f t="shared" si="11"/>
        <v>-3326.5124758959159</v>
      </c>
    </row>
    <row r="133" spans="2:4" x14ac:dyDescent="0.15">
      <c r="B133" s="24">
        <v>32</v>
      </c>
      <c r="C133" s="46">
        <f t="shared" si="11"/>
        <v>-3326.5124758959159</v>
      </c>
    </row>
    <row r="134" spans="2:4" x14ac:dyDescent="0.15">
      <c r="B134" s="24">
        <v>33</v>
      </c>
      <c r="C134" s="46">
        <f t="shared" si="11"/>
        <v>-3326.5124758959159</v>
      </c>
    </row>
    <row r="135" spans="2:4" x14ac:dyDescent="0.15">
      <c r="B135" s="24">
        <v>34</v>
      </c>
      <c r="C135" s="46">
        <f t="shared" si="11"/>
        <v>-3326.5124758959159</v>
      </c>
    </row>
    <row r="136" spans="2:4" x14ac:dyDescent="0.15">
      <c r="B136" s="24">
        <v>35</v>
      </c>
      <c r="C136" s="46">
        <f t="shared" si="11"/>
        <v>-3326.5124758959159</v>
      </c>
    </row>
    <row r="137" spans="2:4" x14ac:dyDescent="0.15">
      <c r="B137" s="24">
        <v>36</v>
      </c>
      <c r="C137" s="46">
        <f t="shared" si="11"/>
        <v>-3326.5124758959159</v>
      </c>
    </row>
    <row r="138" spans="2:4" ht="14" thickBot="1" x14ac:dyDescent="0.2">
      <c r="B138" s="49">
        <v>37</v>
      </c>
      <c r="C138" s="50">
        <f>-E103+D103</f>
        <v>-486961.32803766517</v>
      </c>
      <c r="D138" s="31" t="s">
        <v>35</v>
      </c>
    </row>
    <row r="139" spans="2:4" x14ac:dyDescent="0.15">
      <c r="C139" s="24"/>
    </row>
    <row r="140" spans="2:4" x14ac:dyDescent="0.15">
      <c r="B140" s="12" t="s">
        <v>36</v>
      </c>
      <c r="C140" s="51">
        <f>IRR(C102:C138,0.05)</f>
        <v>6.7895022416850637E-3</v>
      </c>
      <c r="D140" s="52" t="s">
        <v>136</v>
      </c>
    </row>
    <row r="141" spans="2:4" ht="28" x14ac:dyDescent="0.15">
      <c r="B141" s="35" t="s">
        <v>37</v>
      </c>
      <c r="C141" s="53">
        <f>C140*12</f>
        <v>8.1474026900220764E-2</v>
      </c>
      <c r="D141" s="11" t="s">
        <v>137</v>
      </c>
    </row>
    <row r="142" spans="2:4" x14ac:dyDescent="0.15">
      <c r="B142" s="15" t="s">
        <v>73</v>
      </c>
      <c r="C142" s="109">
        <f>(1+C140)^12 -1</f>
        <v>8.4586369920468307E-2</v>
      </c>
      <c r="D142" s="11" t="s">
        <v>128</v>
      </c>
    </row>
    <row r="144" spans="2:4" x14ac:dyDescent="0.15">
      <c r="C144" s="31"/>
    </row>
    <row r="145" spans="2:6" ht="16" x14ac:dyDescent="0.2">
      <c r="D145" s="54"/>
    </row>
    <row r="146" spans="2:6" x14ac:dyDescent="0.15">
      <c r="D146" s="33"/>
    </row>
    <row r="147" spans="2:6" x14ac:dyDescent="0.15">
      <c r="D147" s="24"/>
    </row>
    <row r="148" spans="2:6" x14ac:dyDescent="0.15">
      <c r="D148" s="34"/>
    </row>
    <row r="150" spans="2:6" x14ac:dyDescent="0.15">
      <c r="C150" s="15"/>
      <c r="D150" s="35"/>
      <c r="E150" s="15"/>
      <c r="F150" s="15"/>
    </row>
    <row r="151" spans="2:6" ht="16" x14ac:dyDescent="0.2">
      <c r="B151" s="24"/>
      <c r="C151" s="55"/>
      <c r="D151" s="56"/>
      <c r="E151" s="46"/>
      <c r="F151" s="56"/>
    </row>
    <row r="152" spans="2:6" x14ac:dyDescent="0.15">
      <c r="B152" s="24"/>
      <c r="C152" s="56"/>
      <c r="D152" s="56"/>
      <c r="E152" s="46"/>
      <c r="F152" s="56"/>
    </row>
    <row r="153" spans="2:6" x14ac:dyDescent="0.15">
      <c r="B153" s="24"/>
      <c r="C153" s="56"/>
      <c r="D153" s="56"/>
      <c r="E153" s="46"/>
      <c r="F153" s="56"/>
    </row>
    <row r="154" spans="2:6" x14ac:dyDescent="0.15">
      <c r="B154" s="24"/>
      <c r="C154" s="56"/>
      <c r="D154" s="56"/>
      <c r="E154" s="46"/>
      <c r="F154" s="56"/>
    </row>
    <row r="155" spans="2:6" x14ac:dyDescent="0.15">
      <c r="B155" s="24"/>
      <c r="C155" s="56"/>
      <c r="D155" s="56"/>
      <c r="E155" s="46"/>
      <c r="F155" s="56"/>
    </row>
    <row r="156" spans="2:6" x14ac:dyDescent="0.15">
      <c r="B156" s="24"/>
      <c r="C156" s="56"/>
      <c r="D156" s="56"/>
      <c r="E156" s="46"/>
      <c r="F156" s="56"/>
    </row>
    <row r="157" spans="2:6" x14ac:dyDescent="0.15">
      <c r="B157" s="24"/>
      <c r="C157" s="56"/>
      <c r="D157" s="56"/>
      <c r="E157" s="46"/>
      <c r="F157" s="56"/>
    </row>
    <row r="158" spans="2:6" x14ac:dyDescent="0.15">
      <c r="B158" s="24"/>
      <c r="C158" s="56"/>
      <c r="D158" s="56"/>
      <c r="E158" s="46"/>
      <c r="F158" s="56"/>
    </row>
    <row r="159" spans="2:6" x14ac:dyDescent="0.15">
      <c r="B159" s="24"/>
      <c r="C159" s="56"/>
      <c r="D159" s="56"/>
      <c r="E159" s="46"/>
      <c r="F159" s="56"/>
    </row>
    <row r="160" spans="2:6" x14ac:dyDescent="0.15">
      <c r="B160" s="24"/>
      <c r="C160" s="56"/>
      <c r="D160" s="56"/>
      <c r="E160" s="46"/>
      <c r="F160" s="56"/>
    </row>
    <row r="161" spans="2:6" x14ac:dyDescent="0.15">
      <c r="B161" s="24"/>
      <c r="C161" s="56"/>
      <c r="D161" s="56"/>
      <c r="E161" s="46"/>
      <c r="F161" s="56"/>
    </row>
    <row r="162" spans="2:6" x14ac:dyDescent="0.15">
      <c r="B162" s="24"/>
      <c r="C162" s="56"/>
      <c r="D162" s="56"/>
      <c r="E162" s="46"/>
      <c r="F162" s="56"/>
    </row>
    <row r="163" spans="2:6" x14ac:dyDescent="0.15">
      <c r="B163" s="24"/>
      <c r="C163" s="56"/>
      <c r="D163" s="56"/>
      <c r="E163" s="46"/>
      <c r="F163" s="56"/>
    </row>
    <row r="164" spans="2:6" x14ac:dyDescent="0.15">
      <c r="B164" s="24"/>
      <c r="C164" s="56"/>
      <c r="D164" s="56"/>
      <c r="E164" s="46"/>
      <c r="F164" s="56"/>
    </row>
    <row r="165" spans="2:6" x14ac:dyDescent="0.15">
      <c r="B165" s="24"/>
      <c r="C165" s="56"/>
      <c r="D165" s="56"/>
      <c r="E165" s="46"/>
      <c r="F165" s="56"/>
    </row>
    <row r="166" spans="2:6" x14ac:dyDescent="0.15">
      <c r="B166" s="24"/>
      <c r="C166" s="56"/>
      <c r="D166" s="56"/>
      <c r="E166" s="46"/>
      <c r="F166" s="56"/>
    </row>
    <row r="167" spans="2:6" x14ac:dyDescent="0.15">
      <c r="B167" s="24"/>
      <c r="C167" s="56"/>
      <c r="D167" s="56"/>
      <c r="E167" s="46"/>
      <c r="F167" s="56"/>
    </row>
    <row r="168" spans="2:6" x14ac:dyDescent="0.15">
      <c r="B168" s="24"/>
      <c r="C168" s="56"/>
      <c r="D168" s="56"/>
      <c r="E168" s="46"/>
      <c r="F168" s="56"/>
    </row>
    <row r="169" spans="2:6" x14ac:dyDescent="0.15">
      <c r="B169" s="24"/>
      <c r="C169" s="56"/>
      <c r="D169" s="56"/>
      <c r="E169" s="46"/>
      <c r="F169" s="56"/>
    </row>
    <row r="170" spans="2:6" x14ac:dyDescent="0.15">
      <c r="B170" s="24"/>
      <c r="C170" s="56"/>
      <c r="D170" s="56"/>
      <c r="E170" s="46"/>
      <c r="F170" s="56"/>
    </row>
    <row r="171" spans="2:6" x14ac:dyDescent="0.15">
      <c r="B171" s="24"/>
      <c r="C171" s="56"/>
      <c r="D171" s="56"/>
      <c r="E171" s="46"/>
      <c r="F171" s="56"/>
    </row>
    <row r="172" spans="2:6" x14ac:dyDescent="0.15">
      <c r="B172" s="24"/>
      <c r="C172" s="56"/>
      <c r="D172" s="56"/>
      <c r="E172" s="46"/>
      <c r="F172" s="56"/>
    </row>
    <row r="173" spans="2:6" x14ac:dyDescent="0.15">
      <c r="B173" s="24"/>
      <c r="C173" s="56"/>
      <c r="D173" s="56"/>
      <c r="E173" s="46"/>
      <c r="F173" s="56"/>
    </row>
    <row r="174" spans="2:6" x14ac:dyDescent="0.15">
      <c r="B174" s="24"/>
      <c r="C174" s="56"/>
      <c r="D174" s="56"/>
      <c r="E174" s="46"/>
      <c r="F174" s="56"/>
    </row>
    <row r="175" spans="2:6" x14ac:dyDescent="0.15">
      <c r="B175" s="24"/>
      <c r="C175" s="56"/>
      <c r="D175" s="56"/>
      <c r="E175" s="46"/>
      <c r="F175" s="56"/>
    </row>
    <row r="176" spans="2:6" x14ac:dyDescent="0.15">
      <c r="B176" s="24"/>
      <c r="C176" s="56"/>
      <c r="D176" s="56"/>
      <c r="E176" s="46"/>
      <c r="F176" s="56"/>
    </row>
    <row r="177" spans="2:6" x14ac:dyDescent="0.15">
      <c r="B177" s="24"/>
      <c r="C177" s="56"/>
      <c r="D177" s="56"/>
      <c r="E177" s="46"/>
      <c r="F177" s="56"/>
    </row>
    <row r="178" spans="2:6" x14ac:dyDescent="0.15">
      <c r="B178" s="24"/>
      <c r="C178" s="56"/>
      <c r="D178" s="56"/>
      <c r="E178" s="46"/>
      <c r="F178" s="56"/>
    </row>
    <row r="179" spans="2:6" x14ac:dyDescent="0.15">
      <c r="B179" s="24"/>
      <c r="C179" s="56"/>
      <c r="D179" s="56"/>
      <c r="E179" s="46"/>
      <c r="F179" s="56"/>
    </row>
    <row r="180" spans="2:6" x14ac:dyDescent="0.15">
      <c r="B180" s="24"/>
      <c r="C180" s="56"/>
      <c r="D180" s="56"/>
      <c r="E180" s="46"/>
      <c r="F180" s="56"/>
    </row>
    <row r="181" spans="2:6" x14ac:dyDescent="0.15">
      <c r="B181" s="24"/>
      <c r="C181" s="56"/>
      <c r="D181" s="56"/>
      <c r="E181" s="46"/>
      <c r="F181" s="56"/>
    </row>
    <row r="182" spans="2:6" x14ac:dyDescent="0.15">
      <c r="B182" s="24"/>
      <c r="C182" s="56"/>
      <c r="D182" s="56"/>
      <c r="E182" s="46"/>
      <c r="F182" s="56"/>
    </row>
    <row r="183" spans="2:6" x14ac:dyDescent="0.15">
      <c r="B183" s="24"/>
      <c r="C183" s="56"/>
      <c r="D183" s="56"/>
      <c r="E183" s="46"/>
      <c r="F183" s="56"/>
    </row>
    <row r="184" spans="2:6" x14ac:dyDescent="0.15">
      <c r="B184" s="24"/>
      <c r="C184" s="56"/>
      <c r="D184" s="56"/>
      <c r="E184" s="46"/>
      <c r="F184" s="56"/>
    </row>
    <row r="185" spans="2:6" x14ac:dyDescent="0.15">
      <c r="B185" s="24"/>
      <c r="C185" s="56"/>
      <c r="D185" s="56"/>
      <c r="E185" s="46"/>
      <c r="F185" s="56"/>
    </row>
    <row r="186" spans="2:6" x14ac:dyDescent="0.15">
      <c r="B186" s="24"/>
      <c r="C186" s="56"/>
      <c r="D186" s="56"/>
      <c r="E186" s="46"/>
      <c r="F186" s="57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 3 Ans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M. Colon</dc:creator>
  <cp:lastModifiedBy>Colon, Jeffrey M.</cp:lastModifiedBy>
  <dcterms:created xsi:type="dcterms:W3CDTF">2024-09-19T23:08:11Z</dcterms:created>
  <dcterms:modified xsi:type="dcterms:W3CDTF">2024-09-21T19:40:12Z</dcterms:modified>
</cp:coreProperties>
</file>