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 Fin Web/Corporate-Finance/homeworks/"/>
    </mc:Choice>
  </mc:AlternateContent>
  <xr:revisionPtr revIDLastSave="0" documentId="13_ncr:1_{1BE7EDB9-EC18-AE42-AE0C-860B8FBCCE56}" xr6:coauthVersionLast="47" xr6:coauthVersionMax="47" xr10:uidLastSave="{00000000-0000-0000-0000-000000000000}"/>
  <bookViews>
    <workbookView xWindow="24820" yWindow="8920" windowWidth="19860" windowHeight="18240" tabRatio="500" xr2:uid="{00000000-000D-0000-FFFF-FFFF00000000}"/>
  </bookViews>
  <sheets>
    <sheet name="Answers" sheetId="1" r:id="rId1"/>
    <sheet name="Details" sheetId="2" r:id="rId2"/>
  </sheets>
  <definedNames>
    <definedName name="_xlnm.Print_Area" localSheetId="0">Answers!$B$2:$F$149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8" i="1" l="1"/>
  <c r="C219" i="1" l="1"/>
  <c r="C213" i="1"/>
  <c r="C205" i="1"/>
  <c r="C200" i="1"/>
  <c r="C181" i="1"/>
  <c r="C183" i="1"/>
  <c r="C148" i="1"/>
  <c r="C125" i="1"/>
  <c r="C100" i="1"/>
  <c r="C102" i="1" s="1"/>
  <c r="D56" i="2"/>
  <c r="C28" i="1"/>
  <c r="C17" i="1"/>
  <c r="C13" i="1" s="1"/>
  <c r="C27" i="1" s="1"/>
  <c r="C47" i="1"/>
  <c r="C15" i="1"/>
  <c r="C65" i="1" s="1"/>
  <c r="C11" i="1"/>
  <c r="C30" i="1" s="1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61" i="2"/>
  <c r="F55" i="2"/>
  <c r="F17" i="2"/>
  <c r="F16" i="2"/>
  <c r="D17" i="2"/>
  <c r="D16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D11" i="2"/>
  <c r="D13" i="2" s="1"/>
  <c r="D55" i="2"/>
  <c r="C16" i="2"/>
  <c r="C29" i="1" l="1"/>
  <c r="C31" i="1" s="1"/>
  <c r="C33" i="1" s="1"/>
  <c r="C41" i="1"/>
  <c r="C48" i="1" s="1"/>
  <c r="C18" i="1"/>
  <c r="C19" i="1" s="1"/>
  <c r="E61" i="2"/>
  <c r="C17" i="2"/>
  <c r="D57" i="2"/>
  <c r="C60" i="2" s="1"/>
  <c r="D58" i="2"/>
  <c r="D61" i="2" s="1"/>
  <c r="C96" i="2" s="1"/>
  <c r="C113" i="1"/>
  <c r="C166" i="1"/>
  <c r="C160" i="1"/>
  <c r="C143" i="1"/>
  <c r="C150" i="1"/>
  <c r="C153" i="1" s="1"/>
  <c r="C96" i="1"/>
  <c r="C52" i="1" l="1"/>
  <c r="C53" i="1" s="1"/>
  <c r="C64" i="1" s="1"/>
  <c r="C42" i="1"/>
  <c r="C46" i="1" s="1"/>
  <c r="C62" i="1" s="1"/>
  <c r="C20" i="1"/>
  <c r="C18" i="2"/>
  <c r="C98" i="2"/>
  <c r="C99" i="2" s="1"/>
  <c r="C155" i="1"/>
  <c r="C66" i="1" l="1"/>
  <c r="C68" i="1" s="1"/>
  <c r="C49" i="1"/>
  <c r="D18" i="2"/>
  <c r="F18" i="2" s="1"/>
  <c r="C19" i="2" s="1"/>
  <c r="C67" i="1" l="1"/>
  <c r="D19" i="2"/>
  <c r="F19" i="2" s="1"/>
  <c r="C20" i="2" s="1"/>
  <c r="D20" i="2" l="1"/>
  <c r="F20" i="2"/>
  <c r="C21" i="2"/>
  <c r="D21" i="2" l="1"/>
  <c r="F21" i="2" s="1"/>
  <c r="C22" i="2" s="1"/>
  <c r="D22" i="2" l="1"/>
  <c r="F22" i="2" s="1"/>
  <c r="C23" i="2" s="1"/>
  <c r="D23" i="2" l="1"/>
  <c r="F23" i="2" s="1"/>
  <c r="C24" i="2" s="1"/>
  <c r="D24" i="2" l="1"/>
  <c r="F24" i="2"/>
  <c r="C25" i="2"/>
  <c r="D25" i="2" l="1"/>
  <c r="F25" i="2" s="1"/>
  <c r="C26" i="2" s="1"/>
  <c r="D26" i="2" l="1"/>
  <c r="F26" i="2"/>
  <c r="C27" i="2"/>
  <c r="D27" i="2" l="1"/>
  <c r="F27" i="2"/>
  <c r="C28" i="2"/>
  <c r="D28" i="2" l="1"/>
  <c r="F28" i="2" s="1"/>
  <c r="C29" i="2" s="1"/>
  <c r="D29" i="2" l="1"/>
  <c r="F29" i="2" s="1"/>
  <c r="C30" i="2" s="1"/>
  <c r="D30" i="2" l="1"/>
  <c r="F30" i="2" s="1"/>
  <c r="C31" i="2" s="1"/>
  <c r="D31" i="2" l="1"/>
  <c r="F31" i="2" s="1"/>
  <c r="C32" i="2" s="1"/>
  <c r="D32" i="2" l="1"/>
  <c r="F32" i="2" s="1"/>
  <c r="C33" i="2" s="1"/>
  <c r="D33" i="2" l="1"/>
  <c r="F33" i="2"/>
  <c r="C34" i="2" s="1"/>
  <c r="D34" i="2" l="1"/>
  <c r="F34" i="2"/>
  <c r="C35" i="2"/>
  <c r="D35" i="2" l="1"/>
  <c r="F35" i="2" s="1"/>
  <c r="C36" i="2" s="1"/>
  <c r="D36" i="2" l="1"/>
  <c r="F36" i="2"/>
  <c r="C37" i="2"/>
  <c r="D37" i="2" l="1"/>
  <c r="F37" i="2"/>
  <c r="C38" i="2"/>
  <c r="D38" i="2" l="1"/>
  <c r="F38" i="2"/>
  <c r="C39" i="2"/>
  <c r="D39" i="2" l="1"/>
  <c r="F39" i="2"/>
  <c r="C40" i="2"/>
  <c r="D40" i="2" l="1"/>
  <c r="F40" i="2" s="1"/>
  <c r="C41" i="2" s="1"/>
  <c r="D41" i="2" l="1"/>
  <c r="F41" i="2"/>
  <c r="C42" i="2" s="1"/>
  <c r="D42" i="2" l="1"/>
  <c r="F42" i="2"/>
  <c r="C43" i="2"/>
  <c r="D43" i="2" l="1"/>
  <c r="F43" i="2"/>
  <c r="C44" i="2"/>
  <c r="D44" i="2" l="1"/>
  <c r="F44" i="2"/>
  <c r="C45" i="2"/>
  <c r="D45" i="2" l="1"/>
  <c r="F45" i="2"/>
  <c r="C46" i="2"/>
  <c r="D46" i="2" l="1"/>
  <c r="F46" i="2"/>
  <c r="C47" i="2"/>
  <c r="D47" i="2" l="1"/>
  <c r="F47" i="2"/>
  <c r="C48" i="2"/>
  <c r="D48" i="2" l="1"/>
  <c r="F48" i="2"/>
  <c r="C49" i="2"/>
  <c r="D49" i="2" l="1"/>
  <c r="F49" i="2"/>
  <c r="C50" i="2"/>
  <c r="D50" i="2" l="1"/>
  <c r="F50" i="2"/>
  <c r="C51" i="2"/>
  <c r="D51" i="2" l="1"/>
  <c r="F51" i="2"/>
</calcChain>
</file>

<file path=xl/sharedStrings.xml><?xml version="1.0" encoding="utf-8"?>
<sst xmlns="http://schemas.openxmlformats.org/spreadsheetml/2006/main" count="270" uniqueCount="229">
  <si>
    <t>Corporate Finance</t>
  </si>
  <si>
    <t>PV</t>
  </si>
  <si>
    <t>PMT</t>
  </si>
  <si>
    <t>(b)</t>
  </si>
  <si>
    <t>FV</t>
  </si>
  <si>
    <t>=PMT(rate,nper,pv,fv,type)</t>
  </si>
  <si>
    <t>=PV(rate,nper,pmt,fv,type)</t>
  </si>
  <si>
    <t>Principal Paid</t>
  </si>
  <si>
    <t>(a)</t>
  </si>
  <si>
    <t>NPER</t>
  </si>
  <si>
    <t>(f)</t>
  </si>
  <si>
    <t>Question 1</t>
  </si>
  <si>
    <t>HW 5 Answers</t>
  </si>
  <si>
    <t>Item</t>
  </si>
  <si>
    <t>Increase/Decrease</t>
  </si>
  <si>
    <t>Operating/Investing/Financing</t>
  </si>
  <si>
    <t>Buy warehouse/land</t>
  </si>
  <si>
    <t>Investing</t>
  </si>
  <si>
    <t>Decrease (cash out)</t>
  </si>
  <si>
    <t>Increase (cash in)</t>
  </si>
  <si>
    <t>Operating</t>
  </si>
  <si>
    <t>Issuing more shares of stock</t>
  </si>
  <si>
    <t>Financing</t>
  </si>
  <si>
    <t>(c)</t>
  </si>
  <si>
    <t>(d)</t>
  </si>
  <si>
    <t>(g)</t>
  </si>
  <si>
    <t>(h)</t>
  </si>
  <si>
    <t>(i)</t>
  </si>
  <si>
    <t>(j)</t>
  </si>
  <si>
    <t>(k)</t>
  </si>
  <si>
    <t>Question 3</t>
  </si>
  <si>
    <t>Increase AR</t>
  </si>
  <si>
    <t>Increase (dep decrease NI but didn't use cash)</t>
  </si>
  <si>
    <t>Borrowing</t>
  </si>
  <si>
    <t>Share buyback</t>
  </si>
  <si>
    <t>Warehouse depreciation expense</t>
  </si>
  <si>
    <t>Increase in law firm payable</t>
  </si>
  <si>
    <t>Increase (payable lowers NI but no $ out)</t>
  </si>
  <si>
    <t>Payment of AP</t>
  </si>
  <si>
    <t>Current Ratio</t>
  </si>
  <si>
    <t>Current Assets</t>
  </si>
  <si>
    <t>Current Liabilities</t>
  </si>
  <si>
    <r>
      <rPr>
        <b/>
        <sz val="10"/>
        <rFont val="Verdana"/>
        <family val="2"/>
      </rPr>
      <t>Book Value:</t>
    </r>
    <r>
      <rPr>
        <sz val="10"/>
        <rFont val="Verdana"/>
        <family val="2"/>
      </rPr>
      <t xml:space="preserve">  Total Equity/Total Shares outstanding</t>
    </r>
  </si>
  <si>
    <t>Dividends paid</t>
  </si>
  <si>
    <r>
      <rPr>
        <b/>
        <sz val="10"/>
        <rFont val="Verdana"/>
        <family val="2"/>
      </rPr>
      <t>GPM:</t>
    </r>
    <r>
      <rPr>
        <sz val="10"/>
        <rFont val="Verdana"/>
        <family val="2"/>
      </rPr>
      <t xml:space="preserve"> (Net Sales-COGS) / Net Sales</t>
    </r>
  </si>
  <si>
    <t>Depreciation &amp; Amort  (from CF statement)</t>
  </si>
  <si>
    <t>EBITDA</t>
  </si>
  <si>
    <t>Cash Flow from Operations</t>
  </si>
  <si>
    <t>Free Cash Flow</t>
  </si>
  <si>
    <t>(l)</t>
  </si>
  <si>
    <t>Market value as of 17 Nov 21</t>
  </si>
  <si>
    <t>COGS (Inc. statement)</t>
  </si>
  <si>
    <r>
      <rPr>
        <b/>
        <sz val="10"/>
        <rFont val="Verdana"/>
        <family val="2"/>
      </rPr>
      <t>EBITDA</t>
    </r>
    <r>
      <rPr>
        <sz val="10"/>
        <rFont val="Verdana"/>
        <family val="2"/>
      </rPr>
      <t>: Earnings before Int, Taxes, Dep, and Amort</t>
    </r>
  </si>
  <si>
    <t>EBITDA Margin</t>
  </si>
  <si>
    <r>
      <rPr>
        <b/>
        <sz val="10"/>
        <rFont val="Verdana"/>
        <family val="2"/>
      </rPr>
      <t>EBITDA Margin</t>
    </r>
    <r>
      <rPr>
        <sz val="10"/>
        <rFont val="Verdana"/>
        <family val="2"/>
      </rPr>
      <t>: EBITDA / Sales rev</t>
    </r>
  </si>
  <si>
    <t>Operating Income (Inc. statement)</t>
  </si>
  <si>
    <t>OPM</t>
  </si>
  <si>
    <r>
      <rPr>
        <b/>
        <sz val="10"/>
        <rFont val="Verdana"/>
        <family val="2"/>
      </rPr>
      <t>Net Profit Margin:</t>
    </r>
    <r>
      <rPr>
        <sz val="10"/>
        <rFont val="Verdana"/>
        <family val="2"/>
      </rPr>
      <t xml:space="preserve"> Net Income/Revenue</t>
    </r>
  </si>
  <si>
    <t>Net Income (Inc. statement)</t>
  </si>
  <si>
    <t>Sale Revenue (Inc. statement)</t>
  </si>
  <si>
    <t>Net Profit Margin</t>
  </si>
  <si>
    <t>CFO (from CF statement; operating activities)</t>
  </si>
  <si>
    <t>All numbers in millions, except share prices</t>
  </si>
  <si>
    <r>
      <rPr>
        <b/>
        <sz val="10"/>
        <rFont val="Verdana"/>
        <family val="2"/>
      </rPr>
      <t>Operating Profit Margin</t>
    </r>
    <r>
      <rPr>
        <sz val="10"/>
        <rFont val="Verdana"/>
        <family val="2"/>
      </rPr>
      <t>: Oper Inc / Sales Rev</t>
    </r>
  </si>
  <si>
    <r>
      <t xml:space="preserve">Proxy advisors, such as ISS, have begun to focus on this.  </t>
    </r>
    <r>
      <rPr>
        <i/>
        <sz val="10"/>
        <rFont val="Verdana"/>
        <family val="2"/>
      </rPr>
      <t>See https://clsbluesky.law.columbia.edu/2021/11/18/iss-discusses-intangible-assets-and-company-valuation/</t>
    </r>
  </si>
  <si>
    <t>FCF</t>
  </si>
  <si>
    <t>CAPEX from CFS (Investing) (Query: should we included marketables securities? Probably not)</t>
  </si>
  <si>
    <t>CAPEX (CF Investing) (Generally only net purchases of PPE)</t>
  </si>
  <si>
    <t>EBIT (IS, Operating Inc)</t>
  </si>
  <si>
    <t>Note since taxes were subtacted to arrive at Net Income, which is the beginning # in Operating Activities in the CF statement</t>
  </si>
  <si>
    <t>This has been used by the Del. Ch. Ct. in doing appraisals, but requires some future estimates.</t>
  </si>
  <si>
    <t>Another issue is how to treat stock based comp (SBC), which is an add back to operating CFs.</t>
  </si>
  <si>
    <t>Dep (CF Operating); Note: I don't add back SBC here, but some do.</t>
  </si>
  <si>
    <t>Some measure FCF to equity holders (FCFE), while others focus on FCF to the firm (FCFF)</t>
  </si>
  <si>
    <r>
      <rPr>
        <b/>
        <sz val="10"/>
        <rFont val="Verdana"/>
        <family val="2"/>
      </rPr>
      <t>DRO</t>
    </r>
    <r>
      <rPr>
        <sz val="10"/>
        <rFont val="Verdana"/>
        <family val="2"/>
      </rPr>
      <t xml:space="preserve">: (365*Rec)/Net Sales </t>
    </r>
  </si>
  <si>
    <t>DRO</t>
  </si>
  <si>
    <t>Acc Rec (BS)</t>
  </si>
  <si>
    <t>DPO: (365*AP)/Sales</t>
  </si>
  <si>
    <t>AP (BS)</t>
  </si>
  <si>
    <t>Book Value</t>
  </si>
  <si>
    <t>OCF (Note, this adds back SBC)</t>
  </si>
  <si>
    <t>this approach implicitly uses the effective tax rate (accounting tax rate).</t>
  </si>
  <si>
    <t xml:space="preserve">Total Shares Outstanding.  </t>
  </si>
  <si>
    <t xml:space="preserve">Book value isn't generally isn't too useful, especially if the stock is publicly traded. </t>
  </si>
  <si>
    <t>Note, the definitions of many of these financial ratios and formulas are not set in stone.  Companies and analyts will often make certain adjustments.</t>
  </si>
  <si>
    <t>Amortization Table</t>
  </si>
  <si>
    <t>Loan Amount</t>
  </si>
  <si>
    <t>Interest Rate</t>
  </si>
  <si>
    <t>Beg. Bal</t>
  </si>
  <si>
    <t>Interest (BB*Int)</t>
  </si>
  <si>
    <t>Payment</t>
  </si>
  <si>
    <t>Ending Balance</t>
  </si>
  <si>
    <t>Using IRR</t>
  </si>
  <si>
    <t>Nominal Int</t>
  </si>
  <si>
    <t>Points</t>
  </si>
  <si>
    <t>True Amt Borrowed (Loan-Pts)</t>
  </si>
  <si>
    <t>#Per Loan Outstanding</t>
  </si>
  <si>
    <t>Final Balance</t>
  </si>
  <si>
    <t>&lt;--Loan Amount minus Prin. Paid (Excel CUMPRINC)</t>
  </si>
  <si>
    <t>IRR</t>
  </si>
  <si>
    <t>IRR(B53:B89,0.05)</t>
  </si>
  <si>
    <t>Interest (APR)</t>
  </si>
  <si>
    <t>&lt;--.07/12</t>
  </si>
  <si>
    <t>&lt;==.07/12</t>
  </si>
  <si>
    <t>&lt;==Monthly IRR*12</t>
  </si>
  <si>
    <t>Points (%)</t>
  </si>
  <si>
    <t>Points (Amt)</t>
  </si>
  <si>
    <t>Points(%) * Loan Amt</t>
  </si>
  <si>
    <t>Loan</t>
  </si>
  <si>
    <t xml:space="preserve"> = Loan - Points*Loan</t>
  </si>
  <si>
    <t>True Int (monthly)</t>
  </si>
  <si>
    <t>=RATE(nper,pmt,pv,fv,type,guess)</t>
  </si>
  <si>
    <t>APR</t>
  </si>
  <si>
    <t>EAR</t>
  </si>
  <si>
    <t>Begin Bal</t>
  </si>
  <si>
    <t>There are 3 ways to find the loan balance after 36 payments:</t>
  </si>
  <si>
    <t>N</t>
  </si>
  <si>
    <t>Nom. I</t>
  </si>
  <si>
    <t>PV (Bal after 36M)</t>
  </si>
  <si>
    <r>
      <t>[2]</t>
    </r>
    <r>
      <rPr>
        <sz val="10"/>
        <rFont val="Verdana"/>
        <family val="2"/>
      </rPr>
      <t xml:space="preserve"> Use Excel func. "CUMPRINC", which gives the cummulative principal paid between 2  periods.</t>
    </r>
  </si>
  <si>
    <t>CUMPRINC(rate,nper,pv,start_period,end_period,type)</t>
  </si>
  <si>
    <t>Ending Principal</t>
  </si>
  <si>
    <r>
      <t xml:space="preserve">[3] </t>
    </r>
    <r>
      <rPr>
        <sz val="10"/>
        <rFont val="Verdana"/>
        <family val="2"/>
      </rPr>
      <t>Create Amortization chart (see details tab)</t>
    </r>
  </si>
  <si>
    <t>Once you find the principal after 36 periods, you can now find the true 3-yr interest in 2 ways:</t>
  </si>
  <si>
    <r>
      <t xml:space="preserve">[1] </t>
    </r>
    <r>
      <rPr>
        <sz val="10"/>
        <rFont val="Verdana"/>
        <family val="2"/>
      </rPr>
      <t>IRR: inflows: Loan amt less points; outflows: monthly payments PLUS final principal</t>
    </r>
  </si>
  <si>
    <t>See details table</t>
  </si>
  <si>
    <r>
      <t xml:space="preserve">[2] </t>
    </r>
    <r>
      <rPr>
        <sz val="10"/>
        <rFont val="Verdana"/>
        <family val="2"/>
      </rPr>
      <t>Use RATE function but remember to adjust FV to reflect loan balance after 36 payments,</t>
    </r>
  </si>
  <si>
    <t>use loan amount less points for PV, and use 36 for NPER</t>
  </si>
  <si>
    <t>Balance after 36 monthly payments</t>
  </si>
  <si>
    <t>Loan - Points*Loan</t>
  </si>
  <si>
    <t>True I (monthly)</t>
  </si>
  <si>
    <t>=(1+true monthly)^12-1</t>
  </si>
  <si>
    <t>Question 2</t>
  </si>
  <si>
    <t>Fall 2022</t>
  </si>
  <si>
    <t xml:space="preserve"> = .07 /12</t>
  </si>
  <si>
    <r>
      <rPr>
        <b/>
        <sz val="10"/>
        <rFont val="Verdana"/>
        <family val="2"/>
      </rPr>
      <t xml:space="preserve">[1] </t>
    </r>
    <r>
      <rPr>
        <sz val="10"/>
        <rFont val="Verdana"/>
        <family val="2"/>
      </rPr>
      <t>Find PV(Ann) with payments of $3,327, 324 (360-36) periods, and a rate of 7.0%/12.</t>
    </r>
  </si>
  <si>
    <r>
      <rPr>
        <i/>
        <sz val="10"/>
        <rFont val="Verdana"/>
        <family val="2"/>
      </rPr>
      <t>Nominal</t>
    </r>
    <r>
      <rPr>
        <sz val="10"/>
        <rFont val="Verdana"/>
        <family val="2"/>
      </rPr>
      <t xml:space="preserve"> Int (monthly)</t>
    </r>
  </si>
  <si>
    <t>Nominal Yearly (APR)</t>
  </si>
  <si>
    <t xml:space="preserve"> = True Int (Monthly) * 12</t>
  </si>
  <si>
    <t xml:space="preserve"> = Note, the EAR would be (1+.0061)^12-1</t>
  </si>
  <si>
    <t>In this loan, each point increase the EAR by about 18 bps</t>
  </si>
  <si>
    <t>=7%/12</t>
  </si>
  <si>
    <t>Nominal I (monthly)</t>
  </si>
  <si>
    <t>Rate</t>
  </si>
  <si>
    <t>7% + 3 points--&gt;from above</t>
  </si>
  <si>
    <r>
      <t>=PMT(</t>
    </r>
    <r>
      <rPr>
        <b/>
        <sz val="10"/>
        <rFont val="Verdana"/>
        <family val="2"/>
      </rPr>
      <t>7.5%/12</t>
    </r>
    <r>
      <rPr>
        <sz val="10"/>
        <rFont val="Verdana"/>
        <family val="2"/>
      </rPr>
      <t>,nper,pv,fv,type); same inputs as above except 7.5% annual rate</t>
    </r>
  </si>
  <si>
    <t>Difference per Month</t>
  </si>
  <si>
    <t>Total Pts Paid</t>
  </si>
  <si>
    <t xml:space="preserve"># of Months to </t>
  </si>
  <si>
    <t>recover points paid</t>
  </si>
  <si>
    <t>=Points paid / monthly difference</t>
  </si>
  <si>
    <t>=INT(Months/12) &amp; "years and " &amp;ROUND(MOD(Months,12),0)&amp;  " months"</t>
  </si>
  <si>
    <t>Years to recover</t>
  </si>
  <si>
    <t>=500,000 - Principal Paid</t>
  </si>
  <si>
    <t>The effective rate would be greater.</t>
  </si>
  <si>
    <t>&lt;--Sum of final payment of 3,327 and Final Balance</t>
  </si>
  <si>
    <t>Q #1(c)</t>
  </si>
  <si>
    <t>Customer's payment of an AR</t>
  </si>
  <si>
    <t>Decrease: sale increased NI but no cash received</t>
  </si>
  <si>
    <t>Decrease (cash out); AP decreased NI but didn't use cash</t>
  </si>
  <si>
    <t>Thank goodness, it seems that COST will be able to cover its current liabilities.</t>
  </si>
  <si>
    <t>Interest Coverage Ratio = EBIT / Interest Exp</t>
  </si>
  <si>
    <t>Current Ratio = Current Assets/Current Liabilities</t>
  </si>
  <si>
    <t>=EBIT (5,844 + 1925 (taxes) + 158 (interest expense)</t>
  </si>
  <si>
    <t>Interest Exp (Inc Statement)</t>
  </si>
  <si>
    <t>ICR:  No problems here!</t>
  </si>
  <si>
    <t>Note: There are variations of this definition.  See, e.g., the Gen Tech Note definitions and discussion in Welch (p.485)</t>
  </si>
  <si>
    <t>Net Sales (Inc. statement); I would excluded membership fees</t>
  </si>
  <si>
    <t>GPM: also on p. 26</t>
  </si>
  <si>
    <t>Trick from the internet; months is rounded.  For all things Excel, Google is your friend</t>
  </si>
  <si>
    <t xml:space="preserve">Note: It is not uncommon to use the (weighted) average shares outstanding, especially if there has been a significant change during the year.   For COST, this is 443,651 (from the IS.) Nonvested shares aren't included in the basic EPS calculation, but can be included in the diluted EPS.  </t>
  </si>
  <si>
    <t>COST had 442MM outstanding at the end of 2022 (State of Equity)</t>
  </si>
  <si>
    <t>Either the weighted average (443MM) or the outstanding shares (442MM) is fine.</t>
  </si>
  <si>
    <t>For this calculation, I just use the shares on the BS (non diluated)</t>
  </si>
  <si>
    <t>Total Equity (from BS)  I included the noncontrolling interest but it could be excluded</t>
  </si>
  <si>
    <t>The difference btwn book and market value can partially attributed to fact that GAAP doesn't permit companies to show on the BS self-created intangibles, e.g., goodwill, customers relations, etc.  I assume that customers relations is important for COST.</t>
  </si>
  <si>
    <t>(e)</t>
  </si>
  <si>
    <t>P/E Ratio (TTM)</t>
  </si>
  <si>
    <t>Earnings (IS)</t>
  </si>
  <si>
    <t xml:space="preserve">Since finance is forward looking, it may be better to use the P/E </t>
  </si>
  <si>
    <r>
      <t xml:space="preserve">where "E" is projected or forward earnings.  On various finance sites, the </t>
    </r>
    <r>
      <rPr>
        <b/>
        <sz val="10"/>
        <rFont val="Verdana"/>
        <family val="2"/>
      </rPr>
      <t>P/Forward Es</t>
    </r>
    <r>
      <rPr>
        <sz val="10"/>
        <rFont val="Verdana"/>
        <family val="2"/>
      </rPr>
      <t xml:space="preserve"> is 33.94</t>
    </r>
  </si>
  <si>
    <t xml:space="preserve">COST paid 1.49B of dividends from the SoCF (financing). </t>
  </si>
  <si>
    <t>Price from above (your P/E will vary depending on price used)</t>
  </si>
  <si>
    <t>Price/Earnings Ratio</t>
  </si>
  <si>
    <t>Buybacks</t>
  </si>
  <si>
    <t>COST repurchased 439MM of shares (SoCF, Financing)</t>
  </si>
  <si>
    <t>439MM</t>
  </si>
  <si>
    <t>COST is not a cheap stock by traditional valuation metrics.  Hence buying back stock @ 511.46 may be a questionable use of capital.  But over the last 2 yrs, the average price has been 364 and 308, so it seems that management knows what it's doing!!</t>
  </si>
  <si>
    <t>Sales rev (from Inc. statement). Here I included membership fees.</t>
  </si>
  <si>
    <t>Earnings (net income) before Int Expense, Taxes (Inc. statement); Note: I add back interest income</t>
  </si>
  <si>
    <t>EBITDA; Note some would exclude interest income from EBITDA</t>
  </si>
  <si>
    <t>Sales Revenue (Inc. statement).  I include membership fees.</t>
  </si>
  <si>
    <t>(m)</t>
  </si>
  <si>
    <t xml:space="preserve">There are various definition of FCF.   </t>
  </si>
  <si>
    <t>Taxes: Unlevered NI * ETR   This is a bit tricky: should we use the statutory rates (21% + state?) or ETR from the IncS?  Here I use the ETR of 24.6% (p. 57)</t>
  </si>
  <si>
    <t>The one we saw in class (s32 in Acc'ting) is: EBIT+Dep-CAPEX-Taxes +/- Changes in WC</t>
  </si>
  <si>
    <t>Other common definitions of FCF are OCF - CAPEX .  You'll find this number on some financial reporting sites.</t>
  </si>
  <si>
    <t>(n)</t>
  </si>
  <si>
    <t>(o)</t>
  </si>
  <si>
    <t>(p)</t>
  </si>
  <si>
    <t>Return on Equity</t>
  </si>
  <si>
    <t>ROE = NI / Equity</t>
  </si>
  <si>
    <t>Equity (BS)</t>
  </si>
  <si>
    <t>Net Income (IS)</t>
  </si>
  <si>
    <t>COST gets cash from customers in 4 days but only pays its suppliers in 33 days.  Not too bad.</t>
  </si>
  <si>
    <t>Return on Invested Capital</t>
  </si>
  <si>
    <t>ROIC = NI / Invested Capital</t>
  </si>
  <si>
    <t>Net Income (IS).  Could use net operating profit (EBIT) less taxes.</t>
  </si>
  <si>
    <t>FCF   This is generally the definition of FCFF, but it is usually adjusted a lot.</t>
  </si>
  <si>
    <t>Problem with breakeven analysis on line is that its doesn't take into account the TVM</t>
  </si>
  <si>
    <t xml:space="preserve">or the tax savings associated with paying different amount of interest.  One site that does </t>
  </si>
  <si>
    <t>is the mortgage professor (mtgprofessor.com)</t>
  </si>
  <si>
    <t>https://www.mtgprofessor.com/A%20-%20Points/why_pay_points.htm</t>
  </si>
  <si>
    <t>Youcan also use an APR calculator, e.g., https://www.mtgprofessor.com/calculators/Calculator16.html</t>
  </si>
  <si>
    <t xml:space="preserve">=True (monthly) *12  </t>
  </si>
  <si>
    <t>Also, be skeptical of the reported ratios in finance sites, such as Yahoo, etc.  Oftentimes they don't detail how they arrived at the reported number.</t>
  </si>
  <si>
    <t>Since there are around  445MM shares, it's about $3.60/share or a yield of around 0.6% (Price / Div)</t>
  </si>
  <si>
    <t>The average price/share was around $511.46 (p. 55, Note 6-Equity)  The notes give a total cost of 442MM, which arises because some year end sales have not settled (exchange of stock for cash)</t>
  </si>
  <si>
    <t>I used the net changes in assets and liabilities from the SoCF (Operating).  There are other reasonable options.</t>
  </si>
  <si>
    <t>Fixed assets + net working capital (Cur ass - Cur liab)</t>
  </si>
  <si>
    <t>Note:  Both of these definitions have variaous permutations.</t>
  </si>
  <si>
    <t>Some use COGS in the denominator or other variations.</t>
  </si>
  <si>
    <r>
      <t xml:space="preserve">DRO:  </t>
    </r>
    <r>
      <rPr>
        <sz val="10"/>
        <rFont val="Verdana"/>
        <family val="2"/>
      </rPr>
      <t>I assume that this # is the time it takes for a credit card sale to clear.</t>
    </r>
  </si>
  <si>
    <t>Sales (IS); some use only credit sales.</t>
  </si>
  <si>
    <t>COGS  (IS).  Welch uses sales, but most use COGS.  The difference is gross profits from sales.</t>
  </si>
  <si>
    <t>`</t>
  </si>
  <si>
    <t xml:space="preserve">Decrease (cash out); but SoCF starts w/ P/L which already deducts int </t>
  </si>
  <si>
    <t>Payment of dividends</t>
  </si>
  <si>
    <t>Payment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</si>
</sst>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&quot;$&quot;#,##0"/>
    <numFmt numFmtId="167" formatCode="0.00000"/>
    <numFmt numFmtId="168" formatCode="_(* #,##0.0_);_(* \(#,##0.0\);_(* &quot;-&quot;??_);_(@_)"/>
    <numFmt numFmtId="169" formatCode="0.000000"/>
    <numFmt numFmtId="170" formatCode="0.000%"/>
    <numFmt numFmtId="171" formatCode="0.0"/>
  </numFmts>
  <fonts count="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i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B8EE6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0" fillId="0" borderId="0" xfId="0" quotePrefix="1"/>
    <xf numFmtId="0" fontId="1" fillId="0" borderId="3" xfId="0" applyFont="1" applyBorder="1" applyAlignment="1">
      <alignment horizontal="center"/>
    </xf>
    <xf numFmtId="0" fontId="0" fillId="0" borderId="6" xfId="0" quotePrefix="1" applyBorder="1"/>
    <xf numFmtId="164" fontId="0" fillId="0" borderId="0" xfId="1" applyNumberFormat="1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3" xfId="0" applyFont="1" applyBorder="1"/>
    <xf numFmtId="0" fontId="1" fillId="0" borderId="0" xfId="0" applyFont="1"/>
    <xf numFmtId="6" fontId="1" fillId="0" borderId="0" xfId="0" applyNumberFormat="1" applyFont="1"/>
    <xf numFmtId="0" fontId="2" fillId="0" borderId="3" xfId="0" applyFont="1" applyBorder="1" applyAlignment="1">
      <alignment horizontal="center"/>
    </xf>
    <xf numFmtId="10" fontId="1" fillId="0" borderId="0" xfId="0" applyNumberFormat="1" applyFont="1"/>
    <xf numFmtId="0" fontId="1" fillId="0" borderId="0" xfId="0" quotePrefix="1" applyFont="1"/>
    <xf numFmtId="0" fontId="1" fillId="0" borderId="4" xfId="0" applyFont="1" applyBorder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4" fontId="0" fillId="0" borderId="0" xfId="1" applyNumberFormat="1" applyFont="1" applyFill="1" applyBorder="1"/>
    <xf numFmtId="2" fontId="1" fillId="0" borderId="0" xfId="0" applyNumberFormat="1" applyFont="1"/>
    <xf numFmtId="10" fontId="0" fillId="0" borderId="0" xfId="3" applyNumberFormat="1" applyFont="1" applyFill="1" applyBorder="1"/>
    <xf numFmtId="10" fontId="1" fillId="0" borderId="0" xfId="3" applyNumberFormat="1" applyFont="1" applyFill="1" applyBorder="1"/>
    <xf numFmtId="166" fontId="1" fillId="0" borderId="0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quotePrefix="1" applyFont="1"/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8" fontId="1" fillId="0" borderId="0" xfId="0" applyNumberFormat="1" applyFont="1" applyAlignment="1">
      <alignment vertical="top"/>
    </xf>
    <xf numFmtId="0" fontId="2" fillId="0" borderId="0" xfId="0" quotePrefix="1" applyFont="1" applyAlignment="1">
      <alignment vertical="top"/>
    </xf>
    <xf numFmtId="6" fontId="2" fillId="0" borderId="0" xfId="0" applyNumberFormat="1" applyFont="1" applyAlignment="1">
      <alignment vertical="top"/>
    </xf>
    <xf numFmtId="0" fontId="2" fillId="0" borderId="0" xfId="0" quotePrefix="1" applyFont="1" applyAlignment="1">
      <alignment horizontal="center" vertical="top"/>
    </xf>
    <xf numFmtId="0" fontId="0" fillId="0" borderId="9" xfId="0" applyBorder="1"/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vertical="top" wrapText="1"/>
    </xf>
    <xf numFmtId="10" fontId="1" fillId="0" borderId="3" xfId="3" applyNumberFormat="1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1" xfId="0" applyBorder="1" applyAlignment="1">
      <alignment horizontal="center"/>
    </xf>
    <xf numFmtId="10" fontId="1" fillId="0" borderId="3" xfId="0" applyNumberFormat="1" applyFont="1" applyBorder="1" applyAlignment="1">
      <alignment horizontal="center" vertical="top"/>
    </xf>
    <xf numFmtId="165" fontId="2" fillId="0" borderId="0" xfId="3" applyNumberFormat="1" applyFont="1" applyFill="1" applyBorder="1" applyAlignment="1">
      <alignment wrapText="1"/>
    </xf>
    <xf numFmtId="0" fontId="2" fillId="0" borderId="0" xfId="1" applyNumberFormat="1" applyFont="1" applyFill="1" applyBorder="1" applyAlignment="1">
      <alignment horizontal="left" vertical="top" wrapText="1"/>
    </xf>
    <xf numFmtId="168" fontId="0" fillId="0" borderId="0" xfId="1" applyNumberFormat="1" applyFont="1" applyFill="1" applyBorder="1"/>
    <xf numFmtId="164" fontId="0" fillId="0" borderId="10" xfId="1" applyNumberFormat="1" applyFont="1" applyFill="1" applyBorder="1"/>
    <xf numFmtId="164" fontId="0" fillId="0" borderId="0" xfId="1" applyNumberFormat="1" applyFont="1" applyFill="1" applyBorder="1" applyAlignment="1">
      <alignment horizontal="right"/>
    </xf>
    <xf numFmtId="164" fontId="0" fillId="0" borderId="10" xfId="1" applyNumberFormat="1" applyFont="1" applyFill="1" applyBorder="1" applyAlignment="1">
      <alignment horizontal="right"/>
    </xf>
    <xf numFmtId="10" fontId="1" fillId="0" borderId="0" xfId="3" applyNumberFormat="1" applyFont="1" applyFill="1" applyBorder="1" applyAlignment="1">
      <alignment horizontal="right" vertical="center" wrapText="1"/>
    </xf>
    <xf numFmtId="164" fontId="1" fillId="0" borderId="0" xfId="1" applyNumberFormat="1" applyFont="1" applyFill="1" applyBorder="1"/>
    <xf numFmtId="0" fontId="2" fillId="0" borderId="4" xfId="0" applyFont="1" applyBorder="1" applyAlignment="1">
      <alignment horizontal="left" vertical="center" wrapText="1"/>
    </xf>
    <xf numFmtId="10" fontId="0" fillId="0" borderId="4" xfId="3" applyNumberFormat="1" applyFont="1" applyFill="1" applyBorder="1"/>
    <xf numFmtId="0" fontId="0" fillId="0" borderId="5" xfId="0" applyBorder="1" applyAlignment="1">
      <alignment horizontal="center"/>
    </xf>
    <xf numFmtId="164" fontId="2" fillId="0" borderId="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right" vertical="center" wrapText="1"/>
    </xf>
    <xf numFmtId="0" fontId="2" fillId="0" borderId="0" xfId="1" applyNumberFormat="1" applyFont="1" applyFill="1" applyBorder="1"/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8" xfId="0" applyFont="1" applyBorder="1"/>
    <xf numFmtId="166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8" xfId="0" applyFont="1" applyFill="1" applyBorder="1"/>
    <xf numFmtId="6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1" fillId="0" borderId="9" xfId="0" applyFont="1" applyBorder="1"/>
    <xf numFmtId="0" fontId="1" fillId="0" borderId="2" xfId="0" applyFont="1" applyBorder="1"/>
    <xf numFmtId="6" fontId="1" fillId="0" borderId="5" xfId="0" applyNumberFormat="1" applyFont="1" applyBorder="1"/>
    <xf numFmtId="166" fontId="1" fillId="0" borderId="7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quotePrefix="1" applyNumberFormat="1" applyFont="1"/>
    <xf numFmtId="10" fontId="1" fillId="0" borderId="0" xfId="3" applyNumberFormat="1" applyFont="1" applyAlignment="1">
      <alignment horizontal="center"/>
    </xf>
    <xf numFmtId="0" fontId="1" fillId="0" borderId="10" xfId="0" applyFont="1" applyBorder="1" applyAlignment="1">
      <alignment horizontal="center" wrapText="1"/>
    </xf>
    <xf numFmtId="164" fontId="0" fillId="2" borderId="0" xfId="0" applyNumberFormat="1" applyFill="1" applyAlignment="1">
      <alignment horizontal="center"/>
    </xf>
    <xf numFmtId="6" fontId="0" fillId="0" borderId="6" xfId="0" applyNumberFormat="1" applyBorder="1" applyAlignment="1">
      <alignment horizontal="center"/>
    </xf>
    <xf numFmtId="10" fontId="0" fillId="0" borderId="3" xfId="3" applyNumberFormat="1" applyFont="1" applyBorder="1" applyAlignment="1">
      <alignment horizontal="center"/>
    </xf>
    <xf numFmtId="10" fontId="0" fillId="0" borderId="0" xfId="3" applyNumberFormat="1" applyFont="1" applyBorder="1"/>
    <xf numFmtId="10" fontId="0" fillId="0" borderId="4" xfId="3" applyNumberFormat="1" applyFont="1" applyBorder="1"/>
    <xf numFmtId="166" fontId="0" fillId="0" borderId="0" xfId="3" applyNumberFormat="1" applyFont="1" applyBorder="1"/>
    <xf numFmtId="166" fontId="0" fillId="0" borderId="0" xfId="2" applyNumberFormat="1" applyFont="1" applyBorder="1" applyAlignment="1">
      <alignment horizontal="center"/>
    </xf>
    <xf numFmtId="10" fontId="1" fillId="0" borderId="0" xfId="3" applyNumberFormat="1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6" fontId="1" fillId="0" borderId="0" xfId="1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left" vertical="center" wrapText="1"/>
    </xf>
    <xf numFmtId="164" fontId="0" fillId="0" borderId="0" xfId="1" applyNumberFormat="1" applyFont="1" applyFill="1" applyBorder="1" applyAlignment="1">
      <alignment vertical="center"/>
    </xf>
    <xf numFmtId="10" fontId="2" fillId="0" borderId="0" xfId="0" applyNumberFormat="1" applyFo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/>
    <xf numFmtId="1" fontId="1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9" fontId="2" fillId="0" borderId="0" xfId="0" applyNumberFormat="1" applyFont="1" applyAlignment="1">
      <alignment horizontal="left" vertical="center" wrapText="1"/>
    </xf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8" fontId="1" fillId="0" borderId="0" xfId="0" applyNumberFormat="1" applyFont="1"/>
    <xf numFmtId="2" fontId="0" fillId="0" borderId="0" xfId="0" applyNumberFormat="1"/>
    <xf numFmtId="8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4" xfId="0" applyFont="1" applyBorder="1"/>
    <xf numFmtId="10" fontId="0" fillId="0" borderId="6" xfId="3" applyNumberFormat="1" applyFont="1" applyFill="1" applyBorder="1"/>
    <xf numFmtId="0" fontId="1" fillId="0" borderId="6" xfId="0" applyFont="1" applyBorder="1"/>
    <xf numFmtId="0" fontId="2" fillId="0" borderId="6" xfId="0" applyFont="1" applyBorder="1"/>
    <xf numFmtId="0" fontId="2" fillId="0" borderId="7" xfId="0" applyFont="1" applyBorder="1"/>
    <xf numFmtId="8" fontId="0" fillId="0" borderId="0" xfId="0" applyNumberFormat="1"/>
    <xf numFmtId="170" fontId="0" fillId="0" borderId="0" xfId="0" applyNumberFormat="1"/>
    <xf numFmtId="166" fontId="0" fillId="0" borderId="0" xfId="0" applyNumberFormat="1" applyAlignment="1">
      <alignment horizontal="center"/>
    </xf>
    <xf numFmtId="171" fontId="1" fillId="0" borderId="0" xfId="0" applyNumberFormat="1" applyFont="1" applyAlignment="1">
      <alignment horizontal="center"/>
    </xf>
    <xf numFmtId="0" fontId="4" fillId="0" borderId="0" xfId="14" applyBorder="1"/>
    <xf numFmtId="170" fontId="1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0" fillId="0" borderId="0" xfId="0" quotePrefix="1" applyAlignment="1">
      <alignment vertical="top"/>
    </xf>
    <xf numFmtId="0" fontId="2" fillId="0" borderId="0" xfId="0" applyFont="1" applyAlignment="1">
      <alignment horizontal="left" vertical="center" wrapText="1"/>
    </xf>
  </cellXfs>
  <cellStyles count="15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DB8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tgprofessor.com/A%20-%20Points/why_pay_poin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9"/>
  <sheetViews>
    <sheetView showGridLines="0" tabSelected="1" topLeftCell="A67" zoomScale="109" zoomScaleNormal="80" workbookViewId="0">
      <selection activeCell="D78" sqref="D78"/>
    </sheetView>
  </sheetViews>
  <sheetFormatPr baseColWidth="10" defaultColWidth="11" defaultRowHeight="13" x14ac:dyDescent="0.15"/>
  <cols>
    <col min="1" max="1" width="3.83203125" customWidth="1"/>
    <col min="2" max="2" width="20.33203125" customWidth="1"/>
    <col min="3" max="3" width="51.1640625" customWidth="1"/>
    <col min="4" max="4" width="56.6640625" customWidth="1"/>
    <col min="5" max="5" width="20.6640625" customWidth="1"/>
    <col min="6" max="6" width="66.33203125" customWidth="1"/>
    <col min="7" max="7" width="19.33203125" customWidth="1"/>
    <col min="8" max="8" width="24.33203125" customWidth="1"/>
    <col min="11" max="11" width="12.83203125" customWidth="1"/>
  </cols>
  <sheetData>
    <row r="2" spans="2:6" x14ac:dyDescent="0.15">
      <c r="B2" s="101" t="s">
        <v>0</v>
      </c>
      <c r="C2" s="102"/>
    </row>
    <row r="3" spans="2:6" x14ac:dyDescent="0.15">
      <c r="B3" s="101" t="s">
        <v>12</v>
      </c>
      <c r="C3" s="102"/>
    </row>
    <row r="4" spans="2:6" x14ac:dyDescent="0.15">
      <c r="B4" s="101" t="s">
        <v>133</v>
      </c>
      <c r="C4" s="102"/>
    </row>
    <row r="5" spans="2:6" x14ac:dyDescent="0.15">
      <c r="B5" s="23"/>
    </row>
    <row r="6" spans="2:6" ht="14" thickBot="1" x14ac:dyDescent="0.2"/>
    <row r="7" spans="2:6" ht="14" thickBot="1" x14ac:dyDescent="0.2">
      <c r="B7" s="103" t="s">
        <v>11</v>
      </c>
      <c r="C7" s="1"/>
      <c r="D7" s="1"/>
      <c r="E7" s="1"/>
      <c r="F7" s="2"/>
    </row>
    <row r="8" spans="2:6" ht="14" thickBot="1" x14ac:dyDescent="0.2">
      <c r="B8" s="16"/>
      <c r="F8" s="4"/>
    </row>
    <row r="9" spans="2:6" ht="14" thickBot="1" x14ac:dyDescent="0.2">
      <c r="B9" s="104" t="s">
        <v>8</v>
      </c>
      <c r="F9" s="4"/>
    </row>
    <row r="10" spans="2:6" x14ac:dyDescent="0.15">
      <c r="B10" s="92" t="s">
        <v>105</v>
      </c>
      <c r="C10" s="9">
        <v>0.03</v>
      </c>
      <c r="D10" s="93"/>
      <c r="E10" s="93"/>
      <c r="F10" s="94"/>
    </row>
    <row r="11" spans="2:6" x14ac:dyDescent="0.15">
      <c r="B11" s="92" t="s">
        <v>106</v>
      </c>
      <c r="C11" s="25">
        <f>C10*C12</f>
        <v>15000</v>
      </c>
      <c r="D11" s="93" t="s">
        <v>107</v>
      </c>
      <c r="E11" s="95"/>
      <c r="F11" s="4"/>
    </row>
    <row r="12" spans="2:6" x14ac:dyDescent="0.15">
      <c r="B12" s="7" t="s">
        <v>108</v>
      </c>
      <c r="C12" s="25">
        <v>500000</v>
      </c>
      <c r="E12" s="138"/>
      <c r="F12" s="4"/>
    </row>
    <row r="13" spans="2:6" x14ac:dyDescent="0.15">
      <c r="B13" s="7" t="s">
        <v>2</v>
      </c>
      <c r="C13" s="24">
        <f>PMT(C17,C14,C12)</f>
        <v>-3326.5124758959159</v>
      </c>
      <c r="D13" s="10" t="s">
        <v>5</v>
      </c>
      <c r="E13" s="139"/>
      <c r="F13" s="4"/>
    </row>
    <row r="14" spans="2:6" x14ac:dyDescent="0.15">
      <c r="B14" s="7" t="s">
        <v>9</v>
      </c>
      <c r="C14" s="8">
        <v>360</v>
      </c>
      <c r="F14" s="4"/>
    </row>
    <row r="15" spans="2:6" x14ac:dyDescent="0.15">
      <c r="B15" s="7" t="s">
        <v>1</v>
      </c>
      <c r="C15" s="96">
        <f>C12-C12*C10</f>
        <v>485000</v>
      </c>
      <c r="D15" s="10" t="s">
        <v>109</v>
      </c>
      <c r="F15" s="4"/>
    </row>
    <row r="16" spans="2:6" x14ac:dyDescent="0.15">
      <c r="B16" s="19" t="s">
        <v>137</v>
      </c>
      <c r="C16" s="9">
        <v>7.0000000000000007E-2</v>
      </c>
      <c r="D16" s="10"/>
      <c r="F16" s="4"/>
    </row>
    <row r="17" spans="2:6" x14ac:dyDescent="0.15">
      <c r="B17" s="19" t="s">
        <v>136</v>
      </c>
      <c r="C17" s="9">
        <f>C16/12</f>
        <v>5.8333333333333336E-3</v>
      </c>
      <c r="D17" s="34" t="s">
        <v>134</v>
      </c>
      <c r="F17" s="4"/>
    </row>
    <row r="18" spans="2:6" x14ac:dyDescent="0.15">
      <c r="B18" s="11" t="s">
        <v>110</v>
      </c>
      <c r="C18" s="97">
        <f>RATE(C14,C13,C15)</f>
        <v>6.0871089941770132E-3</v>
      </c>
      <c r="D18" s="21" t="s">
        <v>111</v>
      </c>
      <c r="E18" s="17"/>
      <c r="F18" s="22"/>
    </row>
    <row r="19" spans="2:6" x14ac:dyDescent="0.15">
      <c r="B19" s="11" t="s">
        <v>112</v>
      </c>
      <c r="C19" s="97">
        <f>C18*12</f>
        <v>7.3045307930124162E-2</v>
      </c>
      <c r="D19" s="34" t="s">
        <v>138</v>
      </c>
      <c r="F19" s="4"/>
    </row>
    <row r="20" spans="2:6" x14ac:dyDescent="0.15">
      <c r="B20" s="19" t="s">
        <v>113</v>
      </c>
      <c r="C20" s="98">
        <f>(1+C18)^12-1</f>
        <v>7.5541105223523974E-2</v>
      </c>
      <c r="D20" s="33" t="s">
        <v>139</v>
      </c>
      <c r="F20" s="4"/>
    </row>
    <row r="21" spans="2:6" x14ac:dyDescent="0.15">
      <c r="B21" s="11"/>
      <c r="C21" s="8"/>
      <c r="D21" s="33" t="s">
        <v>140</v>
      </c>
      <c r="F21" s="4"/>
    </row>
    <row r="22" spans="2:6" x14ac:dyDescent="0.15">
      <c r="B22" s="11"/>
      <c r="C22" s="8"/>
      <c r="D22" s="33" t="s">
        <v>213</v>
      </c>
      <c r="F22" s="4"/>
    </row>
    <row r="23" spans="2:6" ht="14" thickBot="1" x14ac:dyDescent="0.2">
      <c r="B23" s="19"/>
      <c r="C23" s="8"/>
      <c r="D23" s="33"/>
      <c r="F23" s="4"/>
    </row>
    <row r="24" spans="2:6" ht="14" thickBot="1" x14ac:dyDescent="0.2">
      <c r="B24" s="104" t="s">
        <v>3</v>
      </c>
      <c r="C24" s="8"/>
      <c r="D24" s="33"/>
      <c r="F24" s="4"/>
    </row>
    <row r="25" spans="2:6" x14ac:dyDescent="0.15">
      <c r="B25" s="11"/>
      <c r="C25" s="8"/>
      <c r="D25" s="33"/>
      <c r="F25" s="4"/>
    </row>
    <row r="26" spans="2:6" x14ac:dyDescent="0.15">
      <c r="B26" s="11" t="s">
        <v>143</v>
      </c>
      <c r="C26" s="8"/>
      <c r="D26" s="33"/>
      <c r="F26" s="4"/>
    </row>
    <row r="27" spans="2:6" x14ac:dyDescent="0.15">
      <c r="B27" s="105">
        <v>7.0000000000000007E-2</v>
      </c>
      <c r="C27" s="24">
        <f>C13</f>
        <v>-3326.5124758959159</v>
      </c>
      <c r="D27" s="33" t="s">
        <v>144</v>
      </c>
      <c r="F27" s="4"/>
    </row>
    <row r="28" spans="2:6" x14ac:dyDescent="0.15">
      <c r="B28" s="106">
        <v>7.4999999999999997E-2</v>
      </c>
      <c r="C28" s="24">
        <f>PMT(B28/12,360, 500000)</f>
        <v>-3496.0725427638963</v>
      </c>
      <c r="D28" s="34" t="s">
        <v>145</v>
      </c>
      <c r="F28" s="4"/>
    </row>
    <row r="29" spans="2:6" x14ac:dyDescent="0.15">
      <c r="B29" s="19" t="s">
        <v>146</v>
      </c>
      <c r="C29" s="24">
        <f>C27-C28</f>
        <v>169.56006686798037</v>
      </c>
      <c r="D29" s="33"/>
      <c r="F29" s="4"/>
    </row>
    <row r="30" spans="2:6" x14ac:dyDescent="0.15">
      <c r="B30" s="19" t="s">
        <v>147</v>
      </c>
      <c r="C30" s="140">
        <f>C11</f>
        <v>15000</v>
      </c>
      <c r="D30" s="33"/>
      <c r="F30" s="4"/>
    </row>
    <row r="31" spans="2:6" x14ac:dyDescent="0.15">
      <c r="B31" s="11" t="s">
        <v>148</v>
      </c>
      <c r="C31" s="141">
        <f>C30/C29</f>
        <v>88.464225551874861</v>
      </c>
      <c r="D31" s="34" t="s">
        <v>150</v>
      </c>
      <c r="F31" s="4"/>
    </row>
    <row r="32" spans="2:6" x14ac:dyDescent="0.15">
      <c r="B32" s="11" t="s">
        <v>149</v>
      </c>
      <c r="D32" s="34" t="s">
        <v>151</v>
      </c>
      <c r="F32" s="4"/>
    </row>
    <row r="33" spans="2:6" x14ac:dyDescent="0.15">
      <c r="B33" s="19" t="s">
        <v>152</v>
      </c>
      <c r="C33" s="8" t="str">
        <f>INT(C31/12) &amp; " years and " &amp;ROUND(MOD(C31,12),0)&amp; " months"</f>
        <v>7 years and 4 months</v>
      </c>
      <c r="D33" s="33" t="s">
        <v>169</v>
      </c>
      <c r="F33" s="4"/>
    </row>
    <row r="34" spans="2:6" x14ac:dyDescent="0.15">
      <c r="B34" s="11"/>
      <c r="C34" s="8"/>
      <c r="D34" s="33"/>
      <c r="F34" s="4"/>
    </row>
    <row r="35" spans="2:6" x14ac:dyDescent="0.15">
      <c r="B35" s="3"/>
      <c r="D35" s="33" t="s">
        <v>209</v>
      </c>
      <c r="F35" s="4"/>
    </row>
    <row r="36" spans="2:6" x14ac:dyDescent="0.15">
      <c r="B36" s="3"/>
      <c r="D36" s="33" t="s">
        <v>210</v>
      </c>
      <c r="F36" s="4"/>
    </row>
    <row r="37" spans="2:6" x14ac:dyDescent="0.15">
      <c r="B37" s="11"/>
      <c r="C37" s="8"/>
      <c r="D37" s="33" t="s">
        <v>211</v>
      </c>
      <c r="F37" s="4"/>
    </row>
    <row r="38" spans="2:6" ht="14" thickBot="1" x14ac:dyDescent="0.2">
      <c r="B38" s="11"/>
      <c r="C38" s="8"/>
      <c r="D38" s="142" t="s">
        <v>212</v>
      </c>
      <c r="F38" s="4"/>
    </row>
    <row r="39" spans="2:6" ht="14" thickBot="1" x14ac:dyDescent="0.2">
      <c r="B39" s="104" t="s">
        <v>23</v>
      </c>
      <c r="C39" s="8"/>
      <c r="F39" s="4"/>
    </row>
    <row r="40" spans="2:6" x14ac:dyDescent="0.15">
      <c r="B40" s="19" t="s">
        <v>114</v>
      </c>
      <c r="C40" s="25">
        <v>500000</v>
      </c>
      <c r="F40" s="4"/>
    </row>
    <row r="41" spans="2:6" x14ac:dyDescent="0.15">
      <c r="B41" s="19" t="s">
        <v>142</v>
      </c>
      <c r="C41" s="9">
        <f>C17</f>
        <v>5.8333333333333336E-3</v>
      </c>
      <c r="D41" s="34" t="s">
        <v>141</v>
      </c>
      <c r="F41" s="4"/>
    </row>
    <row r="42" spans="2:6" x14ac:dyDescent="0.15">
      <c r="B42" s="7" t="s">
        <v>2</v>
      </c>
      <c r="C42" s="24">
        <f>PMT(C41,C43,C40)</f>
        <v>-3326.5124758959159</v>
      </c>
      <c r="F42" s="4"/>
    </row>
    <row r="43" spans="2:6" x14ac:dyDescent="0.15">
      <c r="B43" s="7" t="s">
        <v>9</v>
      </c>
      <c r="C43" s="8">
        <v>360</v>
      </c>
      <c r="F43" s="4"/>
    </row>
    <row r="44" spans="2:6" x14ac:dyDescent="0.15">
      <c r="B44" s="7"/>
      <c r="C44" s="8"/>
      <c r="F44" s="4"/>
    </row>
    <row r="45" spans="2:6" x14ac:dyDescent="0.15">
      <c r="B45" s="7"/>
      <c r="C45" s="8"/>
      <c r="E45" s="17"/>
      <c r="F45" s="22"/>
    </row>
    <row r="46" spans="2:6" x14ac:dyDescent="0.15">
      <c r="B46" s="7" t="s">
        <v>2</v>
      </c>
      <c r="C46" s="24">
        <f>C42</f>
        <v>-3326.5124758959159</v>
      </c>
      <c r="D46" t="s">
        <v>115</v>
      </c>
      <c r="F46" s="4"/>
    </row>
    <row r="47" spans="2:6" x14ac:dyDescent="0.15">
      <c r="B47" s="7" t="s">
        <v>116</v>
      </c>
      <c r="C47" s="8">
        <f>360-(12*3)</f>
        <v>324</v>
      </c>
      <c r="D47" s="33" t="s">
        <v>135</v>
      </c>
      <c r="F47" s="4"/>
    </row>
    <row r="48" spans="2:6" x14ac:dyDescent="0.15">
      <c r="B48" s="7" t="s">
        <v>117</v>
      </c>
      <c r="C48" s="9">
        <f>C41</f>
        <v>5.8333333333333336E-3</v>
      </c>
      <c r="F48" s="4"/>
    </row>
    <row r="49" spans="2:6" x14ac:dyDescent="0.15">
      <c r="B49" s="11" t="s">
        <v>118</v>
      </c>
      <c r="C49" s="30">
        <f>PV(C48,C47,C46)</f>
        <v>483634.81556176976</v>
      </c>
      <c r="D49" s="21" t="s">
        <v>6</v>
      </c>
      <c r="F49" s="4"/>
    </row>
    <row r="50" spans="2:6" x14ac:dyDescent="0.15">
      <c r="B50" s="7"/>
      <c r="C50" s="8"/>
      <c r="F50" s="4"/>
    </row>
    <row r="51" spans="2:6" x14ac:dyDescent="0.15">
      <c r="B51" s="7"/>
      <c r="C51" s="140"/>
      <c r="D51" s="17" t="s">
        <v>119</v>
      </c>
      <c r="E51" s="17"/>
      <c r="F51" s="22"/>
    </row>
    <row r="52" spans="2:6" x14ac:dyDescent="0.15">
      <c r="B52" s="11" t="s">
        <v>7</v>
      </c>
      <c r="C52" s="99">
        <f>CUMPRINC(C41,C14,C12,1,36,0)</f>
        <v>-16365.184438230755</v>
      </c>
      <c r="D52" s="21" t="s">
        <v>120</v>
      </c>
      <c r="F52" s="4"/>
    </row>
    <row r="53" spans="2:6" x14ac:dyDescent="0.15">
      <c r="B53" s="7" t="s">
        <v>121</v>
      </c>
      <c r="C53" s="30">
        <f>C40+C52</f>
        <v>483634.81556176924</v>
      </c>
      <c r="D53" s="34" t="s">
        <v>153</v>
      </c>
      <c r="F53" s="4"/>
    </row>
    <row r="54" spans="2:6" x14ac:dyDescent="0.15">
      <c r="B54" s="7"/>
      <c r="C54" s="25"/>
      <c r="F54" s="4"/>
    </row>
    <row r="55" spans="2:6" x14ac:dyDescent="0.15">
      <c r="B55" s="7"/>
      <c r="C55" s="25"/>
      <c r="D55" s="17" t="s">
        <v>122</v>
      </c>
      <c r="F55" s="4"/>
    </row>
    <row r="56" spans="2:6" x14ac:dyDescent="0.15">
      <c r="B56" s="7"/>
      <c r="C56" s="25"/>
      <c r="D56" s="10"/>
      <c r="F56" s="4"/>
    </row>
    <row r="57" spans="2:6" x14ac:dyDescent="0.15">
      <c r="B57" s="7"/>
      <c r="C57" s="25"/>
      <c r="D57" s="10" t="s">
        <v>123</v>
      </c>
      <c r="F57" s="4"/>
    </row>
    <row r="58" spans="2:6" x14ac:dyDescent="0.15">
      <c r="B58" s="7"/>
      <c r="C58" s="25"/>
      <c r="D58" s="10"/>
      <c r="F58" s="4"/>
    </row>
    <row r="59" spans="2:6" x14ac:dyDescent="0.15">
      <c r="B59" s="7"/>
      <c r="C59" s="140"/>
      <c r="D59" s="17" t="s">
        <v>124</v>
      </c>
      <c r="F59" s="4"/>
    </row>
    <row r="60" spans="2:6" x14ac:dyDescent="0.15">
      <c r="B60" s="7"/>
      <c r="C60" s="140"/>
      <c r="D60" t="s">
        <v>125</v>
      </c>
      <c r="F60" s="4"/>
    </row>
    <row r="61" spans="2:6" x14ac:dyDescent="0.15">
      <c r="B61" s="7"/>
      <c r="C61" s="8"/>
      <c r="D61" s="17" t="s">
        <v>126</v>
      </c>
      <c r="F61" s="4"/>
    </row>
    <row r="62" spans="2:6" x14ac:dyDescent="0.15">
      <c r="B62" s="7" t="s">
        <v>2</v>
      </c>
      <c r="C62" s="24">
        <f>C46</f>
        <v>-3326.5124758959159</v>
      </c>
      <c r="D62" t="s">
        <v>127</v>
      </c>
      <c r="F62" s="4"/>
    </row>
    <row r="63" spans="2:6" x14ac:dyDescent="0.15">
      <c r="B63" s="7" t="s">
        <v>9</v>
      </c>
      <c r="C63" s="8">
        <v>36</v>
      </c>
      <c r="F63" s="4"/>
    </row>
    <row r="64" spans="2:6" x14ac:dyDescent="0.15">
      <c r="B64" s="7" t="s">
        <v>4</v>
      </c>
      <c r="C64" s="140">
        <f>C53</f>
        <v>483634.81556176924</v>
      </c>
      <c r="D64" t="s">
        <v>128</v>
      </c>
      <c r="F64" s="4"/>
    </row>
    <row r="65" spans="2:13" x14ac:dyDescent="0.15">
      <c r="B65" s="7" t="s">
        <v>1</v>
      </c>
      <c r="C65" s="25">
        <f>C15</f>
        <v>485000</v>
      </c>
      <c r="D65" t="s">
        <v>129</v>
      </c>
      <c r="F65" s="4"/>
    </row>
    <row r="66" spans="2:13" x14ac:dyDescent="0.15">
      <c r="B66" s="11" t="s">
        <v>130</v>
      </c>
      <c r="C66" s="143">
        <f>RATE(C63,C62,C65,-C64)</f>
        <v>6.7895022416849127E-3</v>
      </c>
      <c r="D66" s="21" t="s">
        <v>111</v>
      </c>
      <c r="E66" s="17"/>
      <c r="F66" s="22"/>
    </row>
    <row r="67" spans="2:13" x14ac:dyDescent="0.15">
      <c r="B67" s="11" t="s">
        <v>112</v>
      </c>
      <c r="C67" s="97">
        <f>C66*12</f>
        <v>8.147402690021896E-2</v>
      </c>
      <c r="D67" s="34" t="s">
        <v>214</v>
      </c>
      <c r="F67" s="4"/>
    </row>
    <row r="68" spans="2:13" ht="14" thickBot="1" x14ac:dyDescent="0.2">
      <c r="B68" s="65" t="s">
        <v>113</v>
      </c>
      <c r="C68" s="100">
        <f>(1+C66)^12-1</f>
        <v>8.4586369920465421E-2</v>
      </c>
      <c r="D68" s="12" t="s">
        <v>131</v>
      </c>
      <c r="E68" s="5"/>
      <c r="F68" s="6"/>
    </row>
    <row r="70" spans="2:13" ht="14" thickBot="1" x14ac:dyDescent="0.2">
      <c r="B70" s="11"/>
      <c r="C70" s="18"/>
      <c r="D70" s="10"/>
      <c r="M70" s="17"/>
    </row>
    <row r="71" spans="2:13" ht="14" thickBot="1" x14ac:dyDescent="0.2">
      <c r="B71" s="103" t="s">
        <v>132</v>
      </c>
      <c r="C71" s="1"/>
      <c r="D71" s="1"/>
      <c r="E71" s="1"/>
      <c r="F71" s="2"/>
      <c r="M71" s="17"/>
    </row>
    <row r="72" spans="2:13" x14ac:dyDescent="0.15">
      <c r="B72" s="44"/>
      <c r="C72" s="51" t="s">
        <v>13</v>
      </c>
      <c r="D72" s="51" t="s">
        <v>14</v>
      </c>
      <c r="E72" s="52" t="s">
        <v>15</v>
      </c>
      <c r="F72" s="53"/>
      <c r="M72" s="17"/>
    </row>
    <row r="73" spans="2:13" x14ac:dyDescent="0.15">
      <c r="B73" s="45" t="s">
        <v>8</v>
      </c>
      <c r="C73" s="38" t="s">
        <v>16</v>
      </c>
      <c r="D73" s="36" t="s">
        <v>18</v>
      </c>
      <c r="E73" s="36" t="s">
        <v>17</v>
      </c>
      <c r="F73" s="4"/>
      <c r="M73" s="17"/>
    </row>
    <row r="74" spans="2:13" x14ac:dyDescent="0.15">
      <c r="B74" s="45" t="s">
        <v>3</v>
      </c>
      <c r="C74" s="38" t="s">
        <v>157</v>
      </c>
      <c r="D74" s="36" t="s">
        <v>19</v>
      </c>
      <c r="E74" s="36" t="s">
        <v>20</v>
      </c>
      <c r="F74" s="4"/>
      <c r="M74" s="17"/>
    </row>
    <row r="75" spans="2:13" x14ac:dyDescent="0.15">
      <c r="B75" s="45" t="s">
        <v>23</v>
      </c>
      <c r="C75" s="38" t="s">
        <v>21</v>
      </c>
      <c r="D75" s="36" t="s">
        <v>19</v>
      </c>
      <c r="E75" s="36" t="s">
        <v>22</v>
      </c>
      <c r="F75" s="4"/>
      <c r="M75" s="17"/>
    </row>
    <row r="76" spans="2:13" ht="14" x14ac:dyDescent="0.15">
      <c r="B76" s="45" t="s">
        <v>24</v>
      </c>
      <c r="C76" s="46" t="s">
        <v>35</v>
      </c>
      <c r="D76" s="39" t="s">
        <v>32</v>
      </c>
      <c r="E76" s="36" t="s">
        <v>20</v>
      </c>
      <c r="F76" s="4"/>
      <c r="M76" s="17"/>
    </row>
    <row r="77" spans="2:13" ht="14" x14ac:dyDescent="0.15">
      <c r="B77" s="45" t="s">
        <v>176</v>
      </c>
      <c r="C77" s="46" t="s">
        <v>227</v>
      </c>
      <c r="D77" s="36" t="s">
        <v>18</v>
      </c>
      <c r="E77" s="36" t="s">
        <v>22</v>
      </c>
      <c r="M77" s="17"/>
    </row>
    <row r="78" spans="2:13" ht="28" x14ac:dyDescent="0.15">
      <c r="B78" s="45" t="s">
        <v>10</v>
      </c>
      <c r="C78" s="38" t="s">
        <v>228</v>
      </c>
      <c r="D78" s="39" t="s">
        <v>226</v>
      </c>
      <c r="E78" s="36" t="s">
        <v>20</v>
      </c>
      <c r="F78" s="4"/>
      <c r="M78" s="17"/>
    </row>
    <row r="79" spans="2:13" ht="14" x14ac:dyDescent="0.15">
      <c r="B79" s="47" t="s">
        <v>25</v>
      </c>
      <c r="C79" s="41" t="s">
        <v>31</v>
      </c>
      <c r="D79" s="39" t="s">
        <v>158</v>
      </c>
      <c r="E79" s="36" t="s">
        <v>20</v>
      </c>
      <c r="F79" s="4"/>
      <c r="M79" s="17"/>
    </row>
    <row r="80" spans="2:13" x14ac:dyDescent="0.15">
      <c r="B80" s="47" t="s">
        <v>26</v>
      </c>
      <c r="C80" s="38" t="s">
        <v>33</v>
      </c>
      <c r="D80" s="36" t="s">
        <v>19</v>
      </c>
      <c r="E80" s="36" t="s">
        <v>22</v>
      </c>
      <c r="F80" s="4"/>
      <c r="M80" s="17"/>
    </row>
    <row r="81" spans="2:13" x14ac:dyDescent="0.15">
      <c r="B81" s="45" t="s">
        <v>27</v>
      </c>
      <c r="C81" s="38" t="s">
        <v>34</v>
      </c>
      <c r="D81" s="36" t="s">
        <v>18</v>
      </c>
      <c r="E81" s="36" t="s">
        <v>22</v>
      </c>
      <c r="F81" s="4"/>
      <c r="M81" s="17"/>
    </row>
    <row r="82" spans="2:13" x14ac:dyDescent="0.15">
      <c r="B82" s="45" t="s">
        <v>28</v>
      </c>
      <c r="C82" s="38" t="s">
        <v>38</v>
      </c>
      <c r="D82" s="36" t="s">
        <v>159</v>
      </c>
      <c r="E82" s="36" t="s">
        <v>20</v>
      </c>
      <c r="F82" s="4"/>
      <c r="M82" s="17"/>
    </row>
    <row r="83" spans="2:13" x14ac:dyDescent="0.15">
      <c r="B83" s="45" t="s">
        <v>29</v>
      </c>
      <c r="C83" s="42" t="s">
        <v>36</v>
      </c>
      <c r="D83" s="43" t="s">
        <v>37</v>
      </c>
      <c r="E83" s="36" t="s">
        <v>20</v>
      </c>
      <c r="F83" s="4"/>
      <c r="M83" s="17"/>
    </row>
    <row r="84" spans="2:13" ht="14" thickBot="1" x14ac:dyDescent="0.2">
      <c r="B84" s="48"/>
      <c r="C84" s="49"/>
      <c r="D84" s="50"/>
      <c r="E84" s="50"/>
      <c r="F84" s="6"/>
      <c r="M84" s="17"/>
    </row>
    <row r="85" spans="2:13" x14ac:dyDescent="0.15">
      <c r="B85" s="37"/>
      <c r="C85" s="40"/>
      <c r="D85" s="145"/>
      <c r="E85" s="145"/>
      <c r="M85" s="17"/>
    </row>
    <row r="86" spans="2:13" ht="14" thickBot="1" x14ac:dyDescent="0.2">
      <c r="B86" s="8"/>
      <c r="M86" s="17"/>
    </row>
    <row r="87" spans="2:13" ht="14" thickBot="1" x14ac:dyDescent="0.2">
      <c r="B87" s="103" t="s">
        <v>30</v>
      </c>
      <c r="C87" s="1"/>
      <c r="D87" s="1"/>
      <c r="E87" s="1"/>
      <c r="F87" s="2"/>
      <c r="M87" s="17"/>
    </row>
    <row r="88" spans="2:13" x14ac:dyDescent="0.15">
      <c r="B88" s="7"/>
      <c r="F88" s="4"/>
      <c r="M88" s="17"/>
    </row>
    <row r="89" spans="2:13" x14ac:dyDescent="0.15">
      <c r="B89" s="7"/>
      <c r="C89" s="110" t="s">
        <v>84</v>
      </c>
      <c r="F89" s="4"/>
      <c r="M89" s="17"/>
    </row>
    <row r="90" spans="2:13" x14ac:dyDescent="0.15">
      <c r="B90" s="3"/>
      <c r="C90" s="33" t="s">
        <v>215</v>
      </c>
      <c r="F90" s="4"/>
    </row>
    <row r="91" spans="2:13" x14ac:dyDescent="0.15">
      <c r="B91" s="3"/>
      <c r="C91" s="33" t="s">
        <v>62</v>
      </c>
      <c r="F91" s="4"/>
    </row>
    <row r="92" spans="2:13" x14ac:dyDescent="0.15">
      <c r="B92" s="3"/>
      <c r="F92" s="4"/>
    </row>
    <row r="93" spans="2:13" ht="29" customHeight="1" x14ac:dyDescent="0.15">
      <c r="B93" s="45" t="s">
        <v>8</v>
      </c>
      <c r="C93" s="111" t="s">
        <v>162</v>
      </c>
      <c r="F93" s="4"/>
    </row>
    <row r="94" spans="2:13" x14ac:dyDescent="0.15">
      <c r="B94" s="3"/>
      <c r="C94" s="59">
        <v>32696</v>
      </c>
      <c r="D94" s="112" t="s">
        <v>40</v>
      </c>
      <c r="E94" s="10"/>
      <c r="F94" s="4"/>
    </row>
    <row r="95" spans="2:13" x14ac:dyDescent="0.15">
      <c r="B95" s="3"/>
      <c r="C95" s="60">
        <v>31998</v>
      </c>
      <c r="D95" s="113" t="s">
        <v>41</v>
      </c>
      <c r="F95" s="4"/>
    </row>
    <row r="96" spans="2:13" x14ac:dyDescent="0.15">
      <c r="B96" s="3"/>
      <c r="C96" s="114">
        <f>C94/C95</f>
        <v>1.0218138633664604</v>
      </c>
      <c r="D96" s="17" t="s">
        <v>39</v>
      </c>
      <c r="E96" s="17"/>
      <c r="F96" s="4"/>
    </row>
    <row r="97" spans="2:6" x14ac:dyDescent="0.15">
      <c r="B97" s="3"/>
      <c r="C97" s="33" t="s">
        <v>160</v>
      </c>
      <c r="F97" s="4"/>
    </row>
    <row r="98" spans="2:6" x14ac:dyDescent="0.15">
      <c r="B98" s="3"/>
      <c r="C98" s="33"/>
      <c r="F98" s="4"/>
    </row>
    <row r="99" spans="2:6" x14ac:dyDescent="0.15">
      <c r="B99" s="11" t="s">
        <v>3</v>
      </c>
      <c r="C99" s="17" t="s">
        <v>161</v>
      </c>
      <c r="D99" s="33" t="s">
        <v>166</v>
      </c>
      <c r="F99" s="4"/>
    </row>
    <row r="100" spans="2:6" x14ac:dyDescent="0.15">
      <c r="B100" s="3"/>
      <c r="C100" s="59">
        <f>5488 + 1925 + 158</f>
        <v>7571</v>
      </c>
      <c r="D100" s="34" t="s">
        <v>163</v>
      </c>
      <c r="F100" s="4"/>
    </row>
    <row r="101" spans="2:6" x14ac:dyDescent="0.15">
      <c r="B101" s="3"/>
      <c r="C101" s="60">
        <v>158</v>
      </c>
      <c r="D101" s="33" t="s">
        <v>164</v>
      </c>
      <c r="F101" s="4"/>
    </row>
    <row r="102" spans="2:6" x14ac:dyDescent="0.15">
      <c r="B102" s="3"/>
      <c r="C102" s="115">
        <f>C100/C101</f>
        <v>47.917721518987342</v>
      </c>
      <c r="D102" s="17" t="s">
        <v>165</v>
      </c>
      <c r="F102" s="4"/>
    </row>
    <row r="103" spans="2:6" x14ac:dyDescent="0.15">
      <c r="B103" s="3"/>
      <c r="C103" s="33"/>
      <c r="D103" s="33"/>
      <c r="F103" s="4"/>
    </row>
    <row r="104" spans="2:6" x14ac:dyDescent="0.15">
      <c r="B104" s="3"/>
      <c r="C104" s="33"/>
      <c r="F104" s="4"/>
    </row>
    <row r="105" spans="2:6" ht="84" x14ac:dyDescent="0.15">
      <c r="B105" s="45" t="s">
        <v>23</v>
      </c>
      <c r="C105" s="116" t="s">
        <v>42</v>
      </c>
      <c r="D105" s="117" t="s">
        <v>170</v>
      </c>
      <c r="E105" s="111"/>
      <c r="F105" s="70"/>
    </row>
    <row r="106" spans="2:6" x14ac:dyDescent="0.15">
      <c r="B106" s="45"/>
      <c r="C106" s="116"/>
      <c r="D106" s="111"/>
      <c r="E106" s="111"/>
      <c r="F106" s="70"/>
    </row>
    <row r="107" spans="2:6" x14ac:dyDescent="0.15">
      <c r="B107" s="45"/>
      <c r="C107" s="116"/>
      <c r="D107" s="118" t="s">
        <v>171</v>
      </c>
      <c r="E107" s="117"/>
      <c r="F107" s="71"/>
    </row>
    <row r="108" spans="2:6" x14ac:dyDescent="0.15">
      <c r="B108" s="45"/>
      <c r="C108" s="116"/>
      <c r="D108" s="118" t="s">
        <v>172</v>
      </c>
      <c r="E108" s="117"/>
      <c r="F108" s="71"/>
    </row>
    <row r="109" spans="2:6" x14ac:dyDescent="0.15">
      <c r="B109" s="45"/>
      <c r="C109" s="116"/>
      <c r="D109" s="118" t="s">
        <v>83</v>
      </c>
      <c r="E109" s="117"/>
      <c r="F109" s="71"/>
    </row>
    <row r="110" spans="2:6" ht="28" x14ac:dyDescent="0.15">
      <c r="B110" s="3"/>
      <c r="C110" s="116"/>
      <c r="D110" s="116" t="s">
        <v>173</v>
      </c>
      <c r="E110" s="116"/>
      <c r="F110" s="63"/>
    </row>
    <row r="111" spans="2:6" ht="28" x14ac:dyDescent="0.15">
      <c r="B111" s="3"/>
      <c r="C111" s="109">
        <v>20647</v>
      </c>
      <c r="D111" s="116" t="s">
        <v>174</v>
      </c>
      <c r="E111" s="116"/>
      <c r="F111" s="63"/>
    </row>
    <row r="112" spans="2:6" ht="14" x14ac:dyDescent="0.15">
      <c r="B112" s="3"/>
      <c r="C112" s="68">
        <v>443</v>
      </c>
      <c r="D112" s="116" t="s">
        <v>82</v>
      </c>
      <c r="E112" s="116"/>
      <c r="F112" s="63"/>
    </row>
    <row r="113" spans="2:6" ht="14" x14ac:dyDescent="0.15">
      <c r="B113" s="3"/>
      <c r="C113" s="119">
        <f>C111/C112</f>
        <v>46.607223476297968</v>
      </c>
      <c r="D113" s="111" t="s">
        <v>79</v>
      </c>
      <c r="E113" s="116"/>
      <c r="F113" s="63"/>
    </row>
    <row r="114" spans="2:6" x14ac:dyDescent="0.15">
      <c r="B114" s="3"/>
      <c r="C114" s="116"/>
      <c r="D114" s="116"/>
      <c r="E114" s="116"/>
      <c r="F114" s="63"/>
    </row>
    <row r="115" spans="2:6" ht="14" x14ac:dyDescent="0.15">
      <c r="B115" s="3"/>
      <c r="C115" s="108">
        <v>509.68</v>
      </c>
      <c r="D115" s="111" t="s">
        <v>50</v>
      </c>
      <c r="E115" s="116"/>
      <c r="F115" s="63"/>
    </row>
    <row r="116" spans="2:6" x14ac:dyDescent="0.15">
      <c r="B116" s="3"/>
      <c r="C116" s="116"/>
      <c r="D116" s="116"/>
      <c r="E116" s="116"/>
      <c r="F116" s="63"/>
    </row>
    <row r="117" spans="2:6" ht="54" customHeight="1" x14ac:dyDescent="0.15">
      <c r="B117" s="107" t="s">
        <v>24</v>
      </c>
      <c r="C117" s="146" t="s">
        <v>175</v>
      </c>
      <c r="D117" s="146"/>
      <c r="E117" s="116"/>
      <c r="F117" s="63"/>
    </row>
    <row r="118" spans="2:6" x14ac:dyDescent="0.15">
      <c r="B118" s="3"/>
      <c r="C118" s="146" t="s">
        <v>64</v>
      </c>
      <c r="D118" s="146"/>
      <c r="E118" s="116"/>
      <c r="F118" s="63"/>
    </row>
    <row r="119" spans="2:6" ht="12.75" customHeight="1" x14ac:dyDescent="0.15">
      <c r="B119" s="3"/>
      <c r="C119" s="146"/>
      <c r="D119" s="146"/>
      <c r="E119" s="116"/>
      <c r="F119" s="63"/>
    </row>
    <row r="120" spans="2:6" x14ac:dyDescent="0.15">
      <c r="B120" s="3"/>
      <c r="C120" s="146"/>
      <c r="D120" s="146"/>
      <c r="F120" s="4"/>
    </row>
    <row r="121" spans="2:6" x14ac:dyDescent="0.15">
      <c r="B121" s="3"/>
      <c r="C121" s="116"/>
      <c r="D121" s="116"/>
      <c r="F121" s="4"/>
    </row>
    <row r="122" spans="2:6" ht="14" x14ac:dyDescent="0.15">
      <c r="B122" s="11" t="s">
        <v>176</v>
      </c>
      <c r="C122" s="111" t="s">
        <v>183</v>
      </c>
      <c r="D122" s="116"/>
      <c r="F122" s="4"/>
    </row>
    <row r="123" spans="2:6" ht="14" x14ac:dyDescent="0.15">
      <c r="B123" s="3"/>
      <c r="C123" s="120">
        <v>510</v>
      </c>
      <c r="D123" s="116" t="s">
        <v>182</v>
      </c>
      <c r="F123" s="4"/>
    </row>
    <row r="124" spans="2:6" ht="14" x14ac:dyDescent="0.15">
      <c r="B124" s="3"/>
      <c r="C124" s="144">
        <v>13.17</v>
      </c>
      <c r="D124" s="116" t="s">
        <v>178</v>
      </c>
      <c r="F124" s="4"/>
    </row>
    <row r="125" spans="2:6" ht="14" x14ac:dyDescent="0.15">
      <c r="B125" s="3"/>
      <c r="C125" s="121">
        <f>C123/C124</f>
        <v>38.724373576309794</v>
      </c>
      <c r="D125" s="111" t="s">
        <v>177</v>
      </c>
      <c r="F125" s="4"/>
    </row>
    <row r="126" spans="2:6" x14ac:dyDescent="0.15">
      <c r="B126" s="3"/>
      <c r="F126" s="4"/>
    </row>
    <row r="127" spans="2:6" x14ac:dyDescent="0.15">
      <c r="B127" s="3"/>
      <c r="C127" s="122">
        <v>33.94</v>
      </c>
      <c r="D127" s="33" t="s">
        <v>179</v>
      </c>
      <c r="F127" s="4"/>
    </row>
    <row r="128" spans="2:6" ht="28" x14ac:dyDescent="0.15">
      <c r="B128" s="3"/>
      <c r="C128" s="122"/>
      <c r="D128" s="116" t="s">
        <v>180</v>
      </c>
      <c r="F128" s="4"/>
    </row>
    <row r="129" spans="2:6" x14ac:dyDescent="0.15">
      <c r="B129" s="3"/>
      <c r="C129" s="116"/>
      <c r="F129" s="4"/>
    </row>
    <row r="130" spans="2:6" ht="14" x14ac:dyDescent="0.15">
      <c r="B130" s="45" t="s">
        <v>10</v>
      </c>
      <c r="C130" s="111" t="s">
        <v>43</v>
      </c>
      <c r="F130" s="4"/>
    </row>
    <row r="131" spans="2:6" ht="14" x14ac:dyDescent="0.15">
      <c r="B131" s="3"/>
      <c r="C131" s="123">
        <v>1498</v>
      </c>
      <c r="D131" s="116" t="s">
        <v>181</v>
      </c>
      <c r="E131" s="116"/>
      <c r="F131" s="63"/>
    </row>
    <row r="132" spans="2:6" ht="28" x14ac:dyDescent="0.15">
      <c r="B132" s="45"/>
      <c r="C132" s="124"/>
      <c r="D132" s="116" t="s">
        <v>216</v>
      </c>
      <c r="E132" s="116"/>
      <c r="F132" s="63"/>
    </row>
    <row r="133" spans="2:6" x14ac:dyDescent="0.15">
      <c r="B133" s="3"/>
      <c r="C133" s="124"/>
      <c r="D133" s="116"/>
      <c r="E133" s="116"/>
      <c r="F133" s="63"/>
    </row>
    <row r="134" spans="2:6" ht="14" x14ac:dyDescent="0.15">
      <c r="B134" s="45" t="s">
        <v>25</v>
      </c>
      <c r="C134" s="124" t="s">
        <v>184</v>
      </c>
      <c r="E134" s="116"/>
      <c r="F134" s="63"/>
    </row>
    <row r="135" spans="2:6" ht="14" x14ac:dyDescent="0.15">
      <c r="B135" s="45"/>
      <c r="C135" s="125" t="s">
        <v>186</v>
      </c>
      <c r="D135" s="116" t="s">
        <v>185</v>
      </c>
      <c r="E135" s="116"/>
      <c r="F135" s="63"/>
    </row>
    <row r="136" spans="2:6" ht="56" x14ac:dyDescent="0.15">
      <c r="B136" s="45"/>
      <c r="C136" s="124"/>
      <c r="D136" s="116" t="s">
        <v>217</v>
      </c>
      <c r="E136" s="116"/>
      <c r="F136" s="63"/>
    </row>
    <row r="137" spans="2:6" ht="70" x14ac:dyDescent="0.15">
      <c r="B137" s="45"/>
      <c r="C137" s="124"/>
      <c r="D137" s="116" t="s">
        <v>187</v>
      </c>
      <c r="E137" s="116"/>
      <c r="F137" s="63"/>
    </row>
    <row r="138" spans="2:6" x14ac:dyDescent="0.15">
      <c r="B138" s="45"/>
      <c r="C138" s="124"/>
      <c r="D138" s="116"/>
      <c r="E138" s="116"/>
      <c r="F138" s="63"/>
    </row>
    <row r="139" spans="2:6" x14ac:dyDescent="0.15">
      <c r="B139" s="45"/>
      <c r="C139" s="124"/>
      <c r="D139" s="116"/>
      <c r="E139" s="116"/>
      <c r="F139" s="63"/>
    </row>
    <row r="140" spans="2:6" ht="14" x14ac:dyDescent="0.15">
      <c r="B140" s="45" t="s">
        <v>26</v>
      </c>
      <c r="C140" s="116" t="s">
        <v>44</v>
      </c>
      <c r="D140" s="116"/>
      <c r="E140" s="116"/>
      <c r="F140" s="63"/>
    </row>
    <row r="141" spans="2:6" ht="23" customHeight="1" x14ac:dyDescent="0.15">
      <c r="B141" s="3"/>
      <c r="C141" s="66">
        <v>222730</v>
      </c>
      <c r="D141" s="116" t="s">
        <v>167</v>
      </c>
      <c r="E141" s="116"/>
      <c r="F141" s="63"/>
    </row>
    <row r="142" spans="2:6" ht="14" x14ac:dyDescent="0.15">
      <c r="B142" s="3"/>
      <c r="C142" s="67">
        <v>199382</v>
      </c>
      <c r="D142" s="116" t="s">
        <v>51</v>
      </c>
      <c r="E142" s="116"/>
      <c r="F142" s="63"/>
    </row>
    <row r="143" spans="2:6" ht="14" x14ac:dyDescent="0.15">
      <c r="B143" s="3"/>
      <c r="C143" s="61">
        <f>(C141-C142)/C141</f>
        <v>0.10482647151259372</v>
      </c>
      <c r="D143" s="111" t="s">
        <v>168</v>
      </c>
      <c r="E143" s="116"/>
      <c r="F143" s="63"/>
    </row>
    <row r="144" spans="2:6" x14ac:dyDescent="0.15">
      <c r="B144" s="45"/>
      <c r="C144" s="124"/>
      <c r="D144" s="116"/>
      <c r="E144" s="116"/>
      <c r="F144" s="63"/>
    </row>
    <row r="145" spans="2:6" x14ac:dyDescent="0.15">
      <c r="B145" s="45"/>
      <c r="C145" s="124"/>
      <c r="D145" s="116"/>
      <c r="E145" s="116"/>
      <c r="F145" s="63"/>
    </row>
    <row r="146" spans="2:6" ht="14" x14ac:dyDescent="0.15">
      <c r="B146" s="45" t="s">
        <v>27</v>
      </c>
      <c r="C146" s="126" t="s">
        <v>52</v>
      </c>
      <c r="D146" s="10"/>
      <c r="E146" s="116"/>
      <c r="F146" s="63"/>
    </row>
    <row r="147" spans="2:6" x14ac:dyDescent="0.15">
      <c r="B147" s="3"/>
      <c r="E147" s="116"/>
      <c r="F147" s="63"/>
    </row>
    <row r="148" spans="2:6" x14ac:dyDescent="0.15">
      <c r="B148" s="3"/>
      <c r="C148" s="26">
        <f>7793+205</f>
        <v>7998</v>
      </c>
      <c r="D148" s="69" t="s">
        <v>189</v>
      </c>
      <c r="E148" s="116"/>
      <c r="F148" s="63"/>
    </row>
    <row r="149" spans="2:6" x14ac:dyDescent="0.15">
      <c r="B149" s="3"/>
      <c r="C149" s="58">
        <v>1900</v>
      </c>
      <c r="D149" s="33" t="s">
        <v>45</v>
      </c>
      <c r="E149" s="116"/>
      <c r="F149" s="63"/>
    </row>
    <row r="150" spans="2:6" x14ac:dyDescent="0.15">
      <c r="B150" s="3"/>
      <c r="C150" s="62">
        <f>C149+C148</f>
        <v>9898</v>
      </c>
      <c r="D150" s="17" t="s">
        <v>190</v>
      </c>
      <c r="E150" s="116"/>
      <c r="F150" s="63"/>
    </row>
    <row r="151" spans="2:6" x14ac:dyDescent="0.15">
      <c r="B151" s="3"/>
      <c r="C151" s="127"/>
      <c r="D151" s="34"/>
      <c r="E151" s="116"/>
      <c r="F151" s="63"/>
    </row>
    <row r="152" spans="2:6" ht="14" x14ac:dyDescent="0.15">
      <c r="B152" s="3"/>
      <c r="C152" s="128" t="s">
        <v>54</v>
      </c>
      <c r="E152" s="116"/>
      <c r="F152" s="63"/>
    </row>
    <row r="153" spans="2:6" ht="12.75" customHeight="1" x14ac:dyDescent="0.15">
      <c r="B153" s="3"/>
      <c r="C153" s="26">
        <f>C150</f>
        <v>9898</v>
      </c>
      <c r="D153" s="33" t="s">
        <v>46</v>
      </c>
      <c r="F153" s="4"/>
    </row>
    <row r="154" spans="2:6" x14ac:dyDescent="0.15">
      <c r="B154" s="3"/>
      <c r="C154" s="58">
        <v>226954</v>
      </c>
      <c r="D154" s="33" t="s">
        <v>188</v>
      </c>
      <c r="F154" s="4"/>
    </row>
    <row r="155" spans="2:6" x14ac:dyDescent="0.15">
      <c r="B155" s="3"/>
      <c r="C155" s="29">
        <f>C153/C154</f>
        <v>4.3612361976435754E-2</v>
      </c>
      <c r="D155" s="17" t="s">
        <v>53</v>
      </c>
      <c r="F155" s="4"/>
    </row>
    <row r="156" spans="2:6" x14ac:dyDescent="0.15">
      <c r="B156" s="3"/>
      <c r="F156" s="4"/>
    </row>
    <row r="157" spans="2:6" ht="14" x14ac:dyDescent="0.15">
      <c r="B157" s="54" t="s">
        <v>28</v>
      </c>
      <c r="C157" s="56" t="s">
        <v>63</v>
      </c>
      <c r="F157" s="4"/>
    </row>
    <row r="158" spans="2:6" x14ac:dyDescent="0.15">
      <c r="B158" s="3"/>
      <c r="C158" s="26">
        <v>7793</v>
      </c>
      <c r="D158" t="s">
        <v>55</v>
      </c>
      <c r="F158" s="4"/>
    </row>
    <row r="159" spans="2:6" x14ac:dyDescent="0.15">
      <c r="B159" s="3"/>
      <c r="C159" s="58">
        <v>226954</v>
      </c>
      <c r="D159" s="33" t="s">
        <v>191</v>
      </c>
      <c r="F159" s="4"/>
    </row>
    <row r="160" spans="2:6" x14ac:dyDescent="0.15">
      <c r="B160" s="3"/>
      <c r="C160" s="29">
        <f>C158/C159</f>
        <v>3.4337354706240032E-2</v>
      </c>
      <c r="D160" s="17" t="s">
        <v>56</v>
      </c>
      <c r="F160" s="4"/>
    </row>
    <row r="161" spans="2:6" x14ac:dyDescent="0.15">
      <c r="B161" s="3"/>
      <c r="F161" s="4"/>
    </row>
    <row r="162" spans="2:6" x14ac:dyDescent="0.15">
      <c r="B162" s="3"/>
      <c r="F162" s="4"/>
    </row>
    <row r="163" spans="2:6" ht="14" x14ac:dyDescent="0.15">
      <c r="B163" s="54" t="s">
        <v>29</v>
      </c>
      <c r="C163" s="55" t="s">
        <v>57</v>
      </c>
      <c r="F163" s="4"/>
    </row>
    <row r="164" spans="2:6" x14ac:dyDescent="0.15">
      <c r="B164" s="3"/>
      <c r="C164" s="26">
        <v>5844</v>
      </c>
      <c r="D164" t="s">
        <v>58</v>
      </c>
      <c r="F164" s="4"/>
    </row>
    <row r="165" spans="2:6" x14ac:dyDescent="0.15">
      <c r="B165" s="3"/>
      <c r="C165" s="58">
        <v>226954</v>
      </c>
      <c r="D165" t="s">
        <v>59</v>
      </c>
      <c r="F165" s="4"/>
    </row>
    <row r="166" spans="2:6" x14ac:dyDescent="0.15">
      <c r="B166" s="3"/>
      <c r="C166" s="29">
        <f>C164/C165</f>
        <v>2.5749711395260715E-2</v>
      </c>
      <c r="D166" s="17" t="s">
        <v>60</v>
      </c>
      <c r="F166" s="4"/>
    </row>
    <row r="167" spans="2:6" x14ac:dyDescent="0.15">
      <c r="B167" s="3"/>
      <c r="F167" s="4"/>
    </row>
    <row r="168" spans="2:6" x14ac:dyDescent="0.15">
      <c r="B168" s="3"/>
      <c r="F168" s="4"/>
    </row>
    <row r="169" spans="2:6" x14ac:dyDescent="0.15">
      <c r="B169" s="45" t="s">
        <v>49</v>
      </c>
      <c r="C169" s="129" t="s">
        <v>47</v>
      </c>
      <c r="F169" s="4"/>
    </row>
    <row r="170" spans="2:6" x14ac:dyDescent="0.15">
      <c r="B170" s="3"/>
      <c r="C170" s="62">
        <v>7392</v>
      </c>
      <c r="D170" s="21" t="s">
        <v>61</v>
      </c>
      <c r="F170" s="4"/>
    </row>
    <row r="171" spans="2:6" x14ac:dyDescent="0.15">
      <c r="B171" s="3"/>
      <c r="C171" s="62"/>
      <c r="D171" s="21"/>
      <c r="F171" s="4"/>
    </row>
    <row r="172" spans="2:6" x14ac:dyDescent="0.15">
      <c r="B172" s="11" t="s">
        <v>192</v>
      </c>
      <c r="C172" s="27" t="s">
        <v>48</v>
      </c>
      <c r="D172" s="33" t="s">
        <v>193</v>
      </c>
      <c r="F172" s="4"/>
    </row>
    <row r="173" spans="2:6" x14ac:dyDescent="0.15">
      <c r="B173" s="3"/>
      <c r="C173" s="27"/>
      <c r="D173" s="33" t="s">
        <v>73</v>
      </c>
      <c r="F173" s="4"/>
    </row>
    <row r="174" spans="2:6" x14ac:dyDescent="0.15">
      <c r="B174" s="3"/>
      <c r="C174" s="130"/>
      <c r="D174" s="33" t="s">
        <v>195</v>
      </c>
      <c r="F174" s="4"/>
    </row>
    <row r="175" spans="2:6" x14ac:dyDescent="0.15">
      <c r="B175" s="3"/>
      <c r="C175" s="57"/>
      <c r="D175" s="34" t="s">
        <v>70</v>
      </c>
      <c r="F175" s="4"/>
    </row>
    <row r="176" spans="2:6" x14ac:dyDescent="0.15">
      <c r="B176" s="3"/>
      <c r="D176" s="33" t="s">
        <v>71</v>
      </c>
      <c r="F176" s="4"/>
    </row>
    <row r="177" spans="2:6" x14ac:dyDescent="0.15">
      <c r="B177" s="3"/>
      <c r="C177" s="62"/>
      <c r="D177" s="21"/>
      <c r="F177" s="4"/>
    </row>
    <row r="178" spans="2:6" x14ac:dyDescent="0.15">
      <c r="B178" s="3"/>
      <c r="C178" s="26">
        <v>7793</v>
      </c>
      <c r="D178" s="33" t="s">
        <v>68</v>
      </c>
      <c r="F178" s="4"/>
    </row>
    <row r="179" spans="2:6" x14ac:dyDescent="0.15">
      <c r="B179" s="3"/>
      <c r="C179" s="26">
        <v>1900</v>
      </c>
      <c r="D179" s="34" t="s">
        <v>72</v>
      </c>
      <c r="F179" s="4"/>
    </row>
    <row r="180" spans="2:6" x14ac:dyDescent="0.15">
      <c r="B180" s="3"/>
      <c r="C180" s="26">
        <v>-3891</v>
      </c>
      <c r="D180" s="33" t="s">
        <v>67</v>
      </c>
      <c r="F180" s="4"/>
    </row>
    <row r="181" spans="2:6" x14ac:dyDescent="0.15">
      <c r="B181" s="3"/>
      <c r="C181" s="26">
        <f>-(0.246)*C178</f>
        <v>-1917.078</v>
      </c>
      <c r="D181" s="33" t="s">
        <v>194</v>
      </c>
      <c r="F181" s="4"/>
    </row>
    <row r="182" spans="2:6" x14ac:dyDescent="0.15">
      <c r="B182" s="3"/>
      <c r="C182" s="58">
        <v>-1563</v>
      </c>
      <c r="D182" s="33" t="s">
        <v>218</v>
      </c>
      <c r="F182" s="4"/>
    </row>
    <row r="183" spans="2:6" x14ac:dyDescent="0.15">
      <c r="B183" s="3"/>
      <c r="C183" s="62">
        <f>SUM(C178:C182)</f>
        <v>2321.922</v>
      </c>
      <c r="D183" s="21" t="s">
        <v>208</v>
      </c>
      <c r="F183" s="4"/>
    </row>
    <row r="184" spans="2:6" x14ac:dyDescent="0.15">
      <c r="B184" s="3"/>
      <c r="C184" s="62"/>
      <c r="D184" s="21"/>
      <c r="F184" s="4"/>
    </row>
    <row r="185" spans="2:6" x14ac:dyDescent="0.15">
      <c r="B185" s="3"/>
      <c r="C185" s="62"/>
      <c r="D185" s="21"/>
      <c r="F185" s="4"/>
    </row>
    <row r="186" spans="2:6" x14ac:dyDescent="0.15">
      <c r="B186" s="3"/>
      <c r="C186" s="62"/>
      <c r="D186" s="21"/>
      <c r="F186" s="4"/>
    </row>
    <row r="187" spans="2:6" x14ac:dyDescent="0.15">
      <c r="B187" s="3"/>
      <c r="C187" s="57"/>
      <c r="D187" s="33" t="s">
        <v>196</v>
      </c>
      <c r="E187" s="28"/>
      <c r="F187" s="64"/>
    </row>
    <row r="188" spans="2:6" x14ac:dyDescent="0.15">
      <c r="B188" s="3"/>
      <c r="C188" s="26">
        <v>7392</v>
      </c>
      <c r="D188" s="33" t="s">
        <v>80</v>
      </c>
      <c r="F188" s="4"/>
    </row>
    <row r="189" spans="2:6" x14ac:dyDescent="0.15">
      <c r="B189" s="3"/>
      <c r="C189" s="58">
        <v>-3891</v>
      </c>
      <c r="D189" s="33" t="s">
        <v>66</v>
      </c>
      <c r="F189" s="4"/>
    </row>
    <row r="190" spans="2:6" x14ac:dyDescent="0.15">
      <c r="B190" s="3"/>
      <c r="C190" s="62" t="s">
        <v>225</v>
      </c>
      <c r="D190" s="17" t="s">
        <v>65</v>
      </c>
      <c r="F190" s="4"/>
    </row>
    <row r="191" spans="2:6" x14ac:dyDescent="0.15">
      <c r="B191" s="3"/>
      <c r="C191" s="57"/>
      <c r="D191" s="33" t="s">
        <v>69</v>
      </c>
      <c r="F191" s="4"/>
    </row>
    <row r="192" spans="2:6" x14ac:dyDescent="0.15">
      <c r="B192" s="3"/>
      <c r="C192" s="57"/>
      <c r="D192" s="33" t="s">
        <v>81</v>
      </c>
      <c r="F192" s="4"/>
    </row>
    <row r="193" spans="2:6" x14ac:dyDescent="0.15">
      <c r="B193" s="3"/>
      <c r="C193" s="57"/>
      <c r="F193" s="4"/>
    </row>
    <row r="194" spans="2:6" x14ac:dyDescent="0.15">
      <c r="B194" s="3"/>
      <c r="C194" s="57"/>
      <c r="D194" s="33"/>
      <c r="F194" s="4"/>
    </row>
    <row r="195" spans="2:6" x14ac:dyDescent="0.15">
      <c r="B195" s="3"/>
      <c r="C195" s="57"/>
      <c r="D195" s="33" t="s">
        <v>220</v>
      </c>
      <c r="F195" s="4"/>
    </row>
    <row r="196" spans="2:6" x14ac:dyDescent="0.15">
      <c r="B196" s="3"/>
      <c r="C196" s="57"/>
      <c r="D196" s="33" t="s">
        <v>221</v>
      </c>
      <c r="F196" s="4"/>
    </row>
    <row r="197" spans="2:6" x14ac:dyDescent="0.15">
      <c r="B197" s="11" t="s">
        <v>197</v>
      </c>
      <c r="C197" s="33" t="s">
        <v>74</v>
      </c>
      <c r="D197" s="33"/>
      <c r="F197" s="4"/>
    </row>
    <row r="198" spans="2:6" x14ac:dyDescent="0.15">
      <c r="B198" s="3"/>
      <c r="C198" s="26">
        <v>2241</v>
      </c>
      <c r="D198" s="112" t="s">
        <v>76</v>
      </c>
      <c r="F198" s="4"/>
    </row>
    <row r="199" spans="2:6" x14ac:dyDescent="0.15">
      <c r="B199" s="11"/>
      <c r="C199" s="58">
        <v>226954</v>
      </c>
      <c r="D199" s="131" t="s">
        <v>223</v>
      </c>
      <c r="F199" s="4"/>
    </row>
    <row r="200" spans="2:6" x14ac:dyDescent="0.15">
      <c r="B200" s="7"/>
      <c r="C200" s="115">
        <f>(365*C198)/C199</f>
        <v>3.6041003903874795</v>
      </c>
      <c r="D200" s="132" t="s">
        <v>222</v>
      </c>
      <c r="F200" s="4"/>
    </row>
    <row r="201" spans="2:6" x14ac:dyDescent="0.15">
      <c r="B201" s="7"/>
      <c r="F201" s="4"/>
    </row>
    <row r="202" spans="2:6" x14ac:dyDescent="0.15">
      <c r="B202" s="7"/>
      <c r="C202" s="17" t="s">
        <v>77</v>
      </c>
      <c r="F202" s="4"/>
    </row>
    <row r="203" spans="2:6" x14ac:dyDescent="0.15">
      <c r="B203" s="7"/>
      <c r="C203" s="26">
        <v>17848</v>
      </c>
      <c r="D203" s="112" t="s">
        <v>78</v>
      </c>
      <c r="F203" s="4"/>
    </row>
    <row r="204" spans="2:6" x14ac:dyDescent="0.15">
      <c r="B204" s="7"/>
      <c r="C204" s="58">
        <v>199382</v>
      </c>
      <c r="D204" s="33" t="s">
        <v>224</v>
      </c>
      <c r="F204" s="4"/>
    </row>
    <row r="205" spans="2:6" x14ac:dyDescent="0.15">
      <c r="B205" s="7"/>
      <c r="C205" s="115">
        <f>(365*C203)/C204</f>
        <v>32.673561304430692</v>
      </c>
      <c r="D205" s="132" t="s">
        <v>75</v>
      </c>
      <c r="F205" s="4"/>
    </row>
    <row r="206" spans="2:6" x14ac:dyDescent="0.15">
      <c r="B206" s="7"/>
      <c r="C206" s="26"/>
      <c r="F206" s="4"/>
    </row>
    <row r="207" spans="2:6" x14ac:dyDescent="0.15">
      <c r="B207" s="7"/>
      <c r="C207" s="33" t="s">
        <v>204</v>
      </c>
      <c r="F207" s="4"/>
    </row>
    <row r="208" spans="2:6" x14ac:dyDescent="0.15">
      <c r="B208" s="3"/>
      <c r="F208" s="4"/>
    </row>
    <row r="209" spans="2:7" x14ac:dyDescent="0.15">
      <c r="B209" s="3"/>
      <c r="F209" s="4"/>
    </row>
    <row r="210" spans="2:7" x14ac:dyDescent="0.15">
      <c r="B210" s="11" t="s">
        <v>198</v>
      </c>
      <c r="C210" s="17" t="s">
        <v>200</v>
      </c>
      <c r="F210" s="4"/>
    </row>
    <row r="211" spans="2:7" x14ac:dyDescent="0.15">
      <c r="B211" s="3"/>
      <c r="C211" s="26">
        <v>5844</v>
      </c>
      <c r="D211" s="33" t="s">
        <v>203</v>
      </c>
      <c r="F211" s="4"/>
    </row>
    <row r="212" spans="2:7" x14ac:dyDescent="0.15">
      <c r="B212" s="3"/>
      <c r="C212" s="58">
        <v>20647</v>
      </c>
      <c r="D212" s="33" t="s">
        <v>202</v>
      </c>
      <c r="E212" s="33"/>
      <c r="F212" s="133"/>
      <c r="G212" s="33"/>
    </row>
    <row r="213" spans="2:7" x14ac:dyDescent="0.15">
      <c r="B213" s="3"/>
      <c r="C213" s="28">
        <f>C211/C212</f>
        <v>0.28304354143459098</v>
      </c>
      <c r="D213" s="17" t="s">
        <v>201</v>
      </c>
      <c r="E213" s="33"/>
      <c r="F213" s="133"/>
      <c r="G213" s="33"/>
    </row>
    <row r="214" spans="2:7" x14ac:dyDescent="0.15">
      <c r="B214" s="3"/>
      <c r="D214" s="33"/>
      <c r="E214" s="33"/>
      <c r="F214" s="133"/>
      <c r="G214" s="33"/>
    </row>
    <row r="215" spans="2:7" x14ac:dyDescent="0.15">
      <c r="B215" s="45"/>
      <c r="C215" s="129"/>
      <c r="D215" s="33"/>
      <c r="E215" s="33"/>
      <c r="F215" s="133"/>
      <c r="G215" s="33"/>
    </row>
    <row r="216" spans="2:7" x14ac:dyDescent="0.15">
      <c r="B216" s="11" t="s">
        <v>199</v>
      </c>
      <c r="C216" s="62" t="s">
        <v>205</v>
      </c>
      <c r="D216" s="33"/>
      <c r="E216" s="33"/>
      <c r="F216" s="133"/>
      <c r="G216" s="33"/>
    </row>
    <row r="217" spans="2:7" x14ac:dyDescent="0.15">
      <c r="B217" s="3"/>
      <c r="C217" s="26">
        <v>5844</v>
      </c>
      <c r="D217" s="33" t="s">
        <v>207</v>
      </c>
      <c r="E217" s="33"/>
      <c r="F217" s="133"/>
      <c r="G217" s="33"/>
    </row>
    <row r="218" spans="2:7" x14ac:dyDescent="0.15">
      <c r="B218" s="3"/>
      <c r="C218" s="58">
        <f>24646+2774+4050+698</f>
        <v>32168</v>
      </c>
      <c r="D218" s="33" t="s">
        <v>219</v>
      </c>
      <c r="E218" s="33"/>
      <c r="F218" s="133"/>
      <c r="G218" s="33"/>
    </row>
    <row r="219" spans="2:7" ht="14" thickBot="1" x14ac:dyDescent="0.2">
      <c r="B219" s="48"/>
      <c r="C219" s="134">
        <f>C217/C218</f>
        <v>0.18167122606316838</v>
      </c>
      <c r="D219" s="135" t="s">
        <v>206</v>
      </c>
      <c r="E219" s="136"/>
      <c r="F219" s="137"/>
      <c r="G219" s="33"/>
    </row>
    <row r="220" spans="2:7" x14ac:dyDescent="0.15">
      <c r="B220" s="11"/>
      <c r="C220" s="27"/>
      <c r="D220" s="33"/>
      <c r="E220" s="33"/>
      <c r="F220" s="33"/>
      <c r="G220" s="33"/>
    </row>
    <row r="221" spans="2:7" x14ac:dyDescent="0.15">
      <c r="D221" s="33"/>
      <c r="E221" s="33"/>
      <c r="F221" s="33"/>
      <c r="G221" s="33"/>
    </row>
    <row r="222" spans="2:7" x14ac:dyDescent="0.15">
      <c r="D222" s="33"/>
      <c r="E222" s="33"/>
      <c r="F222" s="33"/>
      <c r="G222" s="33"/>
    </row>
    <row r="223" spans="2:7" x14ac:dyDescent="0.15">
      <c r="D223" s="33"/>
      <c r="E223" s="33"/>
      <c r="F223" s="33"/>
      <c r="G223" s="33"/>
    </row>
    <row r="239" spans="7:8" x14ac:dyDescent="0.15">
      <c r="G239" s="28"/>
      <c r="H239" s="28"/>
    </row>
    <row r="257" spans="2:3" x14ac:dyDescent="0.15">
      <c r="B257" s="8"/>
      <c r="C257" s="15"/>
    </row>
    <row r="258" spans="2:3" x14ac:dyDescent="0.15">
      <c r="B258" s="8"/>
      <c r="C258" s="13"/>
    </row>
    <row r="259" spans="2:3" x14ac:dyDescent="0.15">
      <c r="B259" s="14"/>
      <c r="C259" s="20"/>
    </row>
  </sheetData>
  <mergeCells count="3">
    <mergeCell ref="D85:E85"/>
    <mergeCell ref="C118:D120"/>
    <mergeCell ref="C117:D117"/>
  </mergeCells>
  <phoneticPr fontId="3" type="noConversion"/>
  <hyperlinks>
    <hyperlink ref="D38" r:id="rId1" xr:uid="{D0E75DC9-5029-C44D-97E2-7633D0B3AB54}"/>
  </hyperlinks>
  <pageMargins left="0.5" right="0.5" top="0.5" bottom="0.5" header="0" footer="0"/>
  <pageSetup scale="80" orientation="landscape" horizontalDpi="4294967292" vertic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00"/>
  <sheetViews>
    <sheetView showGridLines="0" zoomScale="120" zoomScaleNormal="120" zoomScalePageLayoutView="150" workbookViewId="0">
      <selection activeCell="B5" sqref="B5"/>
    </sheetView>
  </sheetViews>
  <sheetFormatPr baseColWidth="10" defaultColWidth="11" defaultRowHeight="13" x14ac:dyDescent="0.15"/>
  <cols>
    <col min="1" max="1" width="5" customWidth="1"/>
    <col min="2" max="2" width="13.1640625" customWidth="1"/>
    <col min="3" max="3" width="19.1640625" customWidth="1"/>
    <col min="4" max="4" width="15.6640625" customWidth="1"/>
    <col min="5" max="5" width="15.1640625" customWidth="1"/>
    <col min="6" max="6" width="16.1640625" customWidth="1"/>
    <col min="7" max="7" width="13.1640625" customWidth="1"/>
    <col min="8" max="8" width="2.1640625" customWidth="1"/>
    <col min="9" max="9" width="9.5" bestFit="1" customWidth="1"/>
    <col min="10" max="10" width="9.33203125" bestFit="1" customWidth="1"/>
    <col min="11" max="11" width="9.83203125" bestFit="1" customWidth="1"/>
    <col min="13" max="13" width="12.83203125" bestFit="1" customWidth="1"/>
  </cols>
  <sheetData>
    <row r="3" spans="2:6" ht="14" thickBot="1" x14ac:dyDescent="0.2"/>
    <row r="4" spans="2:6" ht="14" thickBot="1" x14ac:dyDescent="0.2">
      <c r="B4" s="35" t="s">
        <v>156</v>
      </c>
    </row>
    <row r="8" spans="2:6" ht="14" thickBot="1" x14ac:dyDescent="0.2">
      <c r="B8" s="17"/>
    </row>
    <row r="9" spans="2:6" ht="14" thickBot="1" x14ac:dyDescent="0.2">
      <c r="C9" s="72" t="s">
        <v>85</v>
      </c>
    </row>
    <row r="10" spans="2:6" x14ac:dyDescent="0.15">
      <c r="C10" t="s">
        <v>86</v>
      </c>
      <c r="D10" s="73">
        <v>500000</v>
      </c>
    </row>
    <row r="11" spans="2:6" x14ac:dyDescent="0.15">
      <c r="C11" t="s">
        <v>87</v>
      </c>
      <c r="D11" s="31">
        <f>0.07/12</f>
        <v>5.8333333333333336E-3</v>
      </c>
      <c r="E11" s="33" t="s">
        <v>102</v>
      </c>
    </row>
    <row r="12" spans="2:6" x14ac:dyDescent="0.15">
      <c r="C12" t="s">
        <v>9</v>
      </c>
      <c r="D12" s="8">
        <v>360</v>
      </c>
    </row>
    <row r="13" spans="2:6" x14ac:dyDescent="0.15">
      <c r="C13" t="s">
        <v>2</v>
      </c>
      <c r="D13" s="24">
        <f>PMT(D11,D12,D10)</f>
        <v>-3326.5124758959159</v>
      </c>
    </row>
    <row r="15" spans="2:6" ht="28" x14ac:dyDescent="0.15">
      <c r="C15" s="51" t="s">
        <v>88</v>
      </c>
      <c r="D15" s="89" t="s">
        <v>89</v>
      </c>
      <c r="E15" s="51" t="s">
        <v>90</v>
      </c>
      <c r="F15" s="51" t="s">
        <v>91</v>
      </c>
    </row>
    <row r="16" spans="2:6" x14ac:dyDescent="0.15">
      <c r="B16" s="8">
        <v>1</v>
      </c>
      <c r="C16" s="74">
        <f>D10</f>
        <v>500000</v>
      </c>
      <c r="D16" s="75">
        <f>C16*$D$11</f>
        <v>2916.666666666667</v>
      </c>
      <c r="E16" s="75">
        <f>$D$13</f>
        <v>-3326.5124758959159</v>
      </c>
      <c r="F16" s="75">
        <f>C16+D16+E16</f>
        <v>499590.15419077076</v>
      </c>
    </row>
    <row r="17" spans="2:6" x14ac:dyDescent="0.15">
      <c r="B17" s="8">
        <v>2</v>
      </c>
      <c r="C17" s="75">
        <f>F16</f>
        <v>499590.15419077076</v>
      </c>
      <c r="D17" s="75">
        <f t="shared" ref="D17:D51" si="0">C17*$D$11</f>
        <v>2914.2758994461628</v>
      </c>
      <c r="E17" s="75">
        <f t="shared" ref="E17:E51" si="1">$D$13</f>
        <v>-3326.5124758959159</v>
      </c>
      <c r="F17" s="75">
        <f t="shared" ref="F17:F51" si="2">C17+D17+E17</f>
        <v>499177.91761432099</v>
      </c>
    </row>
    <row r="18" spans="2:6" x14ac:dyDescent="0.15">
      <c r="B18" s="8">
        <v>3</v>
      </c>
      <c r="C18" s="75">
        <f t="shared" ref="C18:C51" si="3">F17</f>
        <v>499177.91761432099</v>
      </c>
      <c r="D18" s="75">
        <f t="shared" si="0"/>
        <v>2911.8711860835392</v>
      </c>
      <c r="E18" s="75">
        <f t="shared" si="1"/>
        <v>-3326.5124758959159</v>
      </c>
      <c r="F18" s="75">
        <f t="shared" si="2"/>
        <v>498763.2763245086</v>
      </c>
    </row>
    <row r="19" spans="2:6" x14ac:dyDescent="0.15">
      <c r="B19" s="8">
        <v>4</v>
      </c>
      <c r="C19" s="75">
        <f t="shared" si="3"/>
        <v>498763.2763245086</v>
      </c>
      <c r="D19" s="75">
        <f t="shared" si="0"/>
        <v>2909.4524452263004</v>
      </c>
      <c r="E19" s="75">
        <f t="shared" si="1"/>
        <v>-3326.5124758959159</v>
      </c>
      <c r="F19" s="75">
        <f t="shared" si="2"/>
        <v>498346.21629383898</v>
      </c>
    </row>
    <row r="20" spans="2:6" x14ac:dyDescent="0.15">
      <c r="B20" s="8">
        <v>5</v>
      </c>
      <c r="C20" s="75">
        <f t="shared" si="3"/>
        <v>498346.21629383898</v>
      </c>
      <c r="D20" s="75">
        <f t="shared" si="0"/>
        <v>2907.019595047394</v>
      </c>
      <c r="E20" s="75">
        <f t="shared" si="1"/>
        <v>-3326.5124758959159</v>
      </c>
      <c r="F20" s="75">
        <f t="shared" si="2"/>
        <v>497926.72341299045</v>
      </c>
    </row>
    <row r="21" spans="2:6" x14ac:dyDescent="0.15">
      <c r="B21" s="8">
        <v>6</v>
      </c>
      <c r="C21" s="75">
        <f t="shared" si="3"/>
        <v>497926.72341299045</v>
      </c>
      <c r="D21" s="75">
        <f t="shared" si="0"/>
        <v>2904.5725532424444</v>
      </c>
      <c r="E21" s="75">
        <f t="shared" si="1"/>
        <v>-3326.5124758959159</v>
      </c>
      <c r="F21" s="75">
        <f t="shared" si="2"/>
        <v>497504.78349033697</v>
      </c>
    </row>
    <row r="22" spans="2:6" x14ac:dyDescent="0.15">
      <c r="B22" s="8">
        <v>7</v>
      </c>
      <c r="C22" s="75">
        <f t="shared" si="3"/>
        <v>497504.78349033697</v>
      </c>
      <c r="D22" s="75">
        <f t="shared" si="0"/>
        <v>2902.1112370269657</v>
      </c>
      <c r="E22" s="75">
        <f t="shared" si="1"/>
        <v>-3326.5124758959159</v>
      </c>
      <c r="F22" s="75">
        <f t="shared" si="2"/>
        <v>497080.38225146802</v>
      </c>
    </row>
    <row r="23" spans="2:6" x14ac:dyDescent="0.15">
      <c r="B23" s="8">
        <v>8</v>
      </c>
      <c r="C23" s="75">
        <f t="shared" si="3"/>
        <v>497080.38225146802</v>
      </c>
      <c r="D23" s="75">
        <f t="shared" si="0"/>
        <v>2899.6355631335637</v>
      </c>
      <c r="E23" s="75">
        <f t="shared" si="1"/>
        <v>-3326.5124758959159</v>
      </c>
      <c r="F23" s="75">
        <f t="shared" si="2"/>
        <v>496653.50533870567</v>
      </c>
    </row>
    <row r="24" spans="2:6" x14ac:dyDescent="0.15">
      <c r="B24" s="8">
        <v>9</v>
      </c>
      <c r="C24" s="75">
        <f t="shared" si="3"/>
        <v>496653.50533870567</v>
      </c>
      <c r="D24" s="75">
        <f t="shared" si="0"/>
        <v>2897.1454478091164</v>
      </c>
      <c r="E24" s="75">
        <f t="shared" si="1"/>
        <v>-3326.5124758959159</v>
      </c>
      <c r="F24" s="75">
        <f t="shared" si="2"/>
        <v>496224.13831061887</v>
      </c>
    </row>
    <row r="25" spans="2:6" x14ac:dyDescent="0.15">
      <c r="B25" s="8">
        <v>10</v>
      </c>
      <c r="C25" s="75">
        <f t="shared" si="3"/>
        <v>496224.13831061887</v>
      </c>
      <c r="D25" s="75">
        <f t="shared" si="0"/>
        <v>2894.6408068119435</v>
      </c>
      <c r="E25" s="75">
        <f t="shared" si="1"/>
        <v>-3326.5124758959159</v>
      </c>
      <c r="F25" s="75">
        <f t="shared" si="2"/>
        <v>495792.26664153486</v>
      </c>
    </row>
    <row r="26" spans="2:6" x14ac:dyDescent="0.15">
      <c r="B26" s="8">
        <v>11</v>
      </c>
      <c r="C26" s="75">
        <f t="shared" si="3"/>
        <v>495792.26664153486</v>
      </c>
      <c r="D26" s="75">
        <f t="shared" si="0"/>
        <v>2892.1215554089536</v>
      </c>
      <c r="E26" s="75">
        <f t="shared" si="1"/>
        <v>-3326.5124758959159</v>
      </c>
      <c r="F26" s="75">
        <f t="shared" si="2"/>
        <v>495357.87572104787</v>
      </c>
    </row>
    <row r="27" spans="2:6" x14ac:dyDescent="0.15">
      <c r="B27" s="8">
        <v>12</v>
      </c>
      <c r="C27" s="75">
        <f t="shared" si="3"/>
        <v>495357.87572104787</v>
      </c>
      <c r="D27" s="75">
        <f t="shared" si="0"/>
        <v>2889.5876083727794</v>
      </c>
      <c r="E27" s="75">
        <f t="shared" si="1"/>
        <v>-3326.5124758959159</v>
      </c>
      <c r="F27" s="75">
        <f t="shared" si="2"/>
        <v>494920.95085352473</v>
      </c>
    </row>
    <row r="28" spans="2:6" x14ac:dyDescent="0.15">
      <c r="B28" s="8">
        <v>13</v>
      </c>
      <c r="C28" s="75">
        <f t="shared" si="3"/>
        <v>494920.95085352473</v>
      </c>
      <c r="D28" s="75">
        <f t="shared" si="0"/>
        <v>2887.0388799788943</v>
      </c>
      <c r="E28" s="75">
        <f t="shared" si="1"/>
        <v>-3326.5124758959159</v>
      </c>
      <c r="F28" s="75">
        <f t="shared" si="2"/>
        <v>494481.47725760768</v>
      </c>
    </row>
    <row r="29" spans="2:6" x14ac:dyDescent="0.15">
      <c r="B29" s="8">
        <v>14</v>
      </c>
      <c r="C29" s="75">
        <f t="shared" si="3"/>
        <v>494481.47725760768</v>
      </c>
      <c r="D29" s="75">
        <f t="shared" si="0"/>
        <v>2884.4752840027118</v>
      </c>
      <c r="E29" s="75">
        <f t="shared" si="1"/>
        <v>-3326.5124758959159</v>
      </c>
      <c r="F29" s="75">
        <f t="shared" si="2"/>
        <v>494039.44006571447</v>
      </c>
    </row>
    <row r="30" spans="2:6" x14ac:dyDescent="0.15">
      <c r="B30" s="8">
        <v>15</v>
      </c>
      <c r="C30" s="75">
        <f t="shared" si="3"/>
        <v>494039.44006571447</v>
      </c>
      <c r="D30" s="75">
        <f t="shared" si="0"/>
        <v>2881.8967337166678</v>
      </c>
      <c r="E30" s="75">
        <f t="shared" si="1"/>
        <v>-3326.5124758959159</v>
      </c>
      <c r="F30" s="75">
        <f t="shared" si="2"/>
        <v>493594.8243235352</v>
      </c>
    </row>
    <row r="31" spans="2:6" x14ac:dyDescent="0.15">
      <c r="B31" s="8">
        <v>16</v>
      </c>
      <c r="C31" s="75">
        <f t="shared" si="3"/>
        <v>493594.8243235352</v>
      </c>
      <c r="D31" s="75">
        <f t="shared" si="0"/>
        <v>2879.3031418872888</v>
      </c>
      <c r="E31" s="75">
        <f t="shared" si="1"/>
        <v>-3326.5124758959159</v>
      </c>
      <c r="F31" s="75">
        <f t="shared" si="2"/>
        <v>493147.61498952657</v>
      </c>
    </row>
    <row r="32" spans="2:6" x14ac:dyDescent="0.15">
      <c r="B32" s="8">
        <v>17</v>
      </c>
      <c r="C32" s="75">
        <f t="shared" si="3"/>
        <v>493147.61498952657</v>
      </c>
      <c r="D32" s="75">
        <f t="shared" si="0"/>
        <v>2876.6944207722386</v>
      </c>
      <c r="E32" s="75">
        <f t="shared" si="1"/>
        <v>-3326.5124758959159</v>
      </c>
      <c r="F32" s="75">
        <f t="shared" si="2"/>
        <v>492697.7969344029</v>
      </c>
    </row>
    <row r="33" spans="2:6" x14ac:dyDescent="0.15">
      <c r="B33" s="8">
        <v>18</v>
      </c>
      <c r="C33" s="75">
        <f t="shared" si="3"/>
        <v>492697.7969344029</v>
      </c>
      <c r="D33" s="75">
        <f t="shared" si="0"/>
        <v>2874.0704821173504</v>
      </c>
      <c r="E33" s="75">
        <f t="shared" si="1"/>
        <v>-3326.5124758959159</v>
      </c>
      <c r="F33" s="75">
        <f t="shared" si="2"/>
        <v>492245.35494062433</v>
      </c>
    </row>
    <row r="34" spans="2:6" x14ac:dyDescent="0.15">
      <c r="B34" s="8">
        <v>19</v>
      </c>
      <c r="C34" s="75">
        <f t="shared" si="3"/>
        <v>492245.35494062433</v>
      </c>
      <c r="D34" s="75">
        <f t="shared" si="0"/>
        <v>2871.4312371536421</v>
      </c>
      <c r="E34" s="75">
        <f t="shared" si="1"/>
        <v>-3326.5124758959159</v>
      </c>
      <c r="F34" s="75">
        <f t="shared" si="2"/>
        <v>491790.27370188205</v>
      </c>
    </row>
    <row r="35" spans="2:6" x14ac:dyDescent="0.15">
      <c r="B35" s="8">
        <v>20</v>
      </c>
      <c r="C35" s="75">
        <f t="shared" si="3"/>
        <v>491790.27370188205</v>
      </c>
      <c r="D35" s="75">
        <f t="shared" si="0"/>
        <v>2868.7765965943122</v>
      </c>
      <c r="E35" s="75">
        <f t="shared" si="1"/>
        <v>-3326.5124758959159</v>
      </c>
      <c r="F35" s="75">
        <f t="shared" si="2"/>
        <v>491332.53782258043</v>
      </c>
    </row>
    <row r="36" spans="2:6" x14ac:dyDescent="0.15">
      <c r="B36" s="8">
        <v>21</v>
      </c>
      <c r="C36" s="75">
        <f t="shared" si="3"/>
        <v>491332.53782258043</v>
      </c>
      <c r="D36" s="75">
        <f t="shared" si="0"/>
        <v>2866.1064706317193</v>
      </c>
      <c r="E36" s="75">
        <f t="shared" si="1"/>
        <v>-3326.5124758959159</v>
      </c>
      <c r="F36" s="75">
        <f t="shared" si="2"/>
        <v>490872.13181731623</v>
      </c>
    </row>
    <row r="37" spans="2:6" x14ac:dyDescent="0.15">
      <c r="B37" s="8">
        <v>22</v>
      </c>
      <c r="C37" s="75">
        <f t="shared" si="3"/>
        <v>490872.13181731623</v>
      </c>
      <c r="D37" s="75">
        <f t="shared" si="0"/>
        <v>2863.4207689343448</v>
      </c>
      <c r="E37" s="75">
        <f t="shared" si="1"/>
        <v>-3326.5124758959159</v>
      </c>
      <c r="F37" s="75">
        <f t="shared" si="2"/>
        <v>490409.04011035466</v>
      </c>
    </row>
    <row r="38" spans="2:6" x14ac:dyDescent="0.15">
      <c r="B38" s="8">
        <v>23</v>
      </c>
      <c r="C38" s="75">
        <f t="shared" si="3"/>
        <v>490409.04011035466</v>
      </c>
      <c r="D38" s="75">
        <f t="shared" si="0"/>
        <v>2860.7194006437358</v>
      </c>
      <c r="E38" s="75">
        <f t="shared" si="1"/>
        <v>-3326.5124758959159</v>
      </c>
      <c r="F38" s="75">
        <f t="shared" si="2"/>
        <v>489943.24703510245</v>
      </c>
    </row>
    <row r="39" spans="2:6" x14ac:dyDescent="0.15">
      <c r="B39" s="8">
        <v>24</v>
      </c>
      <c r="C39" s="75">
        <f t="shared" si="3"/>
        <v>489943.24703510245</v>
      </c>
      <c r="D39" s="75">
        <f t="shared" si="0"/>
        <v>2858.0022743714312</v>
      </c>
      <c r="E39" s="75">
        <f t="shared" si="1"/>
        <v>-3326.5124758959159</v>
      </c>
      <c r="F39" s="75">
        <f t="shared" si="2"/>
        <v>489474.73683357798</v>
      </c>
    </row>
    <row r="40" spans="2:6" x14ac:dyDescent="0.15">
      <c r="B40" s="8">
        <v>25</v>
      </c>
      <c r="C40" s="75">
        <f t="shared" si="3"/>
        <v>489474.73683357798</v>
      </c>
      <c r="D40" s="75">
        <f t="shared" si="0"/>
        <v>2855.2692981958717</v>
      </c>
      <c r="E40" s="75">
        <f t="shared" si="1"/>
        <v>-3326.5124758959159</v>
      </c>
      <c r="F40" s="75">
        <f t="shared" si="2"/>
        <v>489003.49365587794</v>
      </c>
    </row>
    <row r="41" spans="2:6" x14ac:dyDescent="0.15">
      <c r="B41" s="8">
        <v>26</v>
      </c>
      <c r="C41" s="75">
        <f t="shared" si="3"/>
        <v>489003.49365587794</v>
      </c>
      <c r="D41" s="75">
        <f t="shared" si="0"/>
        <v>2852.5203796592882</v>
      </c>
      <c r="E41" s="75">
        <f t="shared" si="1"/>
        <v>-3326.5124758959159</v>
      </c>
      <c r="F41" s="75">
        <f t="shared" si="2"/>
        <v>488529.50155964133</v>
      </c>
    </row>
    <row r="42" spans="2:6" x14ac:dyDescent="0.15">
      <c r="B42" s="8">
        <v>27</v>
      </c>
      <c r="C42" s="75">
        <f t="shared" si="3"/>
        <v>488529.50155964133</v>
      </c>
      <c r="D42" s="75">
        <f t="shared" si="0"/>
        <v>2849.7554257645747</v>
      </c>
      <c r="E42" s="75">
        <f t="shared" si="1"/>
        <v>-3326.5124758959159</v>
      </c>
      <c r="F42" s="75">
        <f t="shared" si="2"/>
        <v>488052.74450951</v>
      </c>
    </row>
    <row r="43" spans="2:6" x14ac:dyDescent="0.15">
      <c r="B43" s="8">
        <v>28</v>
      </c>
      <c r="C43" s="75">
        <f t="shared" si="3"/>
        <v>488052.74450951</v>
      </c>
      <c r="D43" s="75">
        <f t="shared" si="0"/>
        <v>2846.9743429721416</v>
      </c>
      <c r="E43" s="75">
        <f t="shared" si="1"/>
        <v>-3326.5124758959159</v>
      </c>
      <c r="F43" s="75">
        <f t="shared" si="2"/>
        <v>487573.20637658623</v>
      </c>
    </row>
    <row r="44" spans="2:6" x14ac:dyDescent="0.15">
      <c r="B44" s="8">
        <v>29</v>
      </c>
      <c r="C44" s="75">
        <f t="shared" si="3"/>
        <v>487573.20637658623</v>
      </c>
      <c r="D44" s="75">
        <f t="shared" si="0"/>
        <v>2844.1770371967532</v>
      </c>
      <c r="E44" s="75">
        <f t="shared" si="1"/>
        <v>-3326.5124758959159</v>
      </c>
      <c r="F44" s="75">
        <f t="shared" si="2"/>
        <v>487090.87093788706</v>
      </c>
    </row>
    <row r="45" spans="2:6" x14ac:dyDescent="0.15">
      <c r="B45" s="8">
        <v>30</v>
      </c>
      <c r="C45" s="75">
        <f t="shared" si="3"/>
        <v>487090.87093788706</v>
      </c>
      <c r="D45" s="75">
        <f t="shared" si="0"/>
        <v>2841.3634138043412</v>
      </c>
      <c r="E45" s="75">
        <f t="shared" si="1"/>
        <v>-3326.5124758959159</v>
      </c>
      <c r="F45" s="75">
        <f t="shared" si="2"/>
        <v>486605.72187579545</v>
      </c>
    </row>
    <row r="46" spans="2:6" x14ac:dyDescent="0.15">
      <c r="B46" s="8">
        <v>31</v>
      </c>
      <c r="C46" s="75">
        <f t="shared" si="3"/>
        <v>486605.72187579545</v>
      </c>
      <c r="D46" s="75">
        <f t="shared" si="0"/>
        <v>2838.5333776088069</v>
      </c>
      <c r="E46" s="75">
        <f t="shared" si="1"/>
        <v>-3326.5124758959159</v>
      </c>
      <c r="F46" s="75">
        <f t="shared" si="2"/>
        <v>486117.74277750833</v>
      </c>
    </row>
    <row r="47" spans="2:6" x14ac:dyDescent="0.15">
      <c r="B47" s="8">
        <v>32</v>
      </c>
      <c r="C47" s="75">
        <f t="shared" si="3"/>
        <v>486117.74277750833</v>
      </c>
      <c r="D47" s="75">
        <f t="shared" si="0"/>
        <v>2835.6868328687988</v>
      </c>
      <c r="E47" s="75">
        <f t="shared" si="1"/>
        <v>-3326.5124758959159</v>
      </c>
      <c r="F47" s="75">
        <f t="shared" si="2"/>
        <v>485626.91713448119</v>
      </c>
    </row>
    <row r="48" spans="2:6" x14ac:dyDescent="0.15">
      <c r="B48" s="8">
        <v>33</v>
      </c>
      <c r="C48" s="75">
        <f t="shared" si="3"/>
        <v>485626.91713448119</v>
      </c>
      <c r="D48" s="75">
        <f t="shared" si="0"/>
        <v>2832.8236832844736</v>
      </c>
      <c r="E48" s="75">
        <f t="shared" si="1"/>
        <v>-3326.5124758959159</v>
      </c>
      <c r="F48" s="75">
        <f t="shared" si="2"/>
        <v>485133.22834186972</v>
      </c>
    </row>
    <row r="49" spans="2:7" x14ac:dyDescent="0.15">
      <c r="B49" s="8">
        <v>34</v>
      </c>
      <c r="C49" s="75">
        <f t="shared" si="3"/>
        <v>485133.22834186972</v>
      </c>
      <c r="D49" s="75">
        <f t="shared" si="0"/>
        <v>2829.9438319942401</v>
      </c>
      <c r="E49" s="75">
        <f t="shared" si="1"/>
        <v>-3326.5124758959159</v>
      </c>
      <c r="F49" s="75">
        <f t="shared" si="2"/>
        <v>484636.65969796805</v>
      </c>
    </row>
    <row r="50" spans="2:7" x14ac:dyDescent="0.15">
      <c r="B50" s="8">
        <v>35</v>
      </c>
      <c r="C50" s="75">
        <f t="shared" si="3"/>
        <v>484636.65969796805</v>
      </c>
      <c r="D50" s="75">
        <f t="shared" si="0"/>
        <v>2827.0471815714805</v>
      </c>
      <c r="E50" s="75">
        <f t="shared" si="1"/>
        <v>-3326.5124758959159</v>
      </c>
      <c r="F50" s="75">
        <f t="shared" si="2"/>
        <v>484137.1944036436</v>
      </c>
    </row>
    <row r="51" spans="2:7" x14ac:dyDescent="0.15">
      <c r="B51" s="8">
        <v>36</v>
      </c>
      <c r="C51" s="75">
        <f t="shared" si="3"/>
        <v>484137.1944036436</v>
      </c>
      <c r="D51" s="75">
        <f t="shared" si="0"/>
        <v>2824.1336340212547</v>
      </c>
      <c r="E51" s="75">
        <f t="shared" si="1"/>
        <v>-3326.5124758959159</v>
      </c>
      <c r="F51" s="90">
        <f t="shared" si="2"/>
        <v>483634.81556176895</v>
      </c>
    </row>
    <row r="52" spans="2:7" x14ac:dyDescent="0.15">
      <c r="B52" s="17"/>
    </row>
    <row r="53" spans="2:7" ht="14" thickBot="1" x14ac:dyDescent="0.2">
      <c r="B53" s="17"/>
    </row>
    <row r="54" spans="2:7" ht="14" thickBot="1" x14ac:dyDescent="0.2">
      <c r="B54" s="17"/>
      <c r="C54" s="76" t="s">
        <v>92</v>
      </c>
    </row>
    <row r="55" spans="2:7" x14ac:dyDescent="0.15">
      <c r="B55" s="17"/>
      <c r="C55" s="14" t="s">
        <v>86</v>
      </c>
      <c r="D55" s="77">
        <f>500000</f>
        <v>500000</v>
      </c>
      <c r="E55" s="17" t="s">
        <v>93</v>
      </c>
      <c r="F55" s="78">
        <f>0.07/12</f>
        <v>5.8333333333333336E-3</v>
      </c>
      <c r="G55" s="34" t="s">
        <v>103</v>
      </c>
    </row>
    <row r="56" spans="2:7" x14ac:dyDescent="0.15">
      <c r="B56" s="17"/>
      <c r="C56" s="14" t="s">
        <v>94</v>
      </c>
      <c r="D56" s="77">
        <f>0.03*500000</f>
        <v>15000</v>
      </c>
      <c r="E56" s="14" t="s">
        <v>9</v>
      </c>
      <c r="F56" s="8">
        <v>360</v>
      </c>
    </row>
    <row r="57" spans="2:7" ht="42" x14ac:dyDescent="0.15">
      <c r="B57" s="17"/>
      <c r="C57" s="32" t="s">
        <v>95</v>
      </c>
      <c r="D57" s="77">
        <f>D55-D56</f>
        <v>485000</v>
      </c>
      <c r="E57" s="32" t="s">
        <v>96</v>
      </c>
      <c r="F57" s="8">
        <v>36</v>
      </c>
    </row>
    <row r="58" spans="2:7" x14ac:dyDescent="0.15">
      <c r="C58" s="14" t="s">
        <v>2</v>
      </c>
      <c r="D58" s="24">
        <f>PMT(F55,F56,D55)</f>
        <v>-3326.5124758959159</v>
      </c>
    </row>
    <row r="59" spans="2:7" ht="14" thickBot="1" x14ac:dyDescent="0.2"/>
    <row r="60" spans="2:7" x14ac:dyDescent="0.15">
      <c r="B60" s="8">
        <v>1</v>
      </c>
      <c r="C60" s="79">
        <f>D57</f>
        <v>485000</v>
      </c>
      <c r="D60" s="80" t="s">
        <v>90</v>
      </c>
      <c r="E60" s="81" t="s">
        <v>97</v>
      </c>
    </row>
    <row r="61" spans="2:7" ht="14" thickBot="1" x14ac:dyDescent="0.2">
      <c r="B61" s="8">
        <v>2</v>
      </c>
      <c r="C61" s="24">
        <f>$D$61</f>
        <v>-3326.5124758959159</v>
      </c>
      <c r="D61" s="82">
        <f>D58</f>
        <v>-3326.5124758959159</v>
      </c>
      <c r="E61" s="83">
        <f>D55+CUMPRINC(F55,F56,D55,1,F57,0)</f>
        <v>483634.81556176924</v>
      </c>
      <c r="F61" t="s">
        <v>98</v>
      </c>
    </row>
    <row r="62" spans="2:7" x14ac:dyDescent="0.15">
      <c r="B62" s="8">
        <v>3</v>
      </c>
      <c r="C62" s="24">
        <f t="shared" ref="C62:C95" si="4">$D$61</f>
        <v>-3326.5124758959159</v>
      </c>
    </row>
    <row r="63" spans="2:7" x14ac:dyDescent="0.15">
      <c r="B63" s="8">
        <v>4</v>
      </c>
      <c r="C63" s="24">
        <f t="shared" si="4"/>
        <v>-3326.5124758959159</v>
      </c>
    </row>
    <row r="64" spans="2:7" x14ac:dyDescent="0.15">
      <c r="B64" s="8">
        <v>5</v>
      </c>
      <c r="C64" s="24">
        <f t="shared" si="4"/>
        <v>-3326.5124758959159</v>
      </c>
    </row>
    <row r="65" spans="2:3" x14ac:dyDescent="0.15">
      <c r="B65" s="8">
        <v>6</v>
      </c>
      <c r="C65" s="24">
        <f t="shared" si="4"/>
        <v>-3326.5124758959159</v>
      </c>
    </row>
    <row r="66" spans="2:3" x14ac:dyDescent="0.15">
      <c r="B66" s="8">
        <v>7</v>
      </c>
      <c r="C66" s="24">
        <f t="shared" si="4"/>
        <v>-3326.5124758959159</v>
      </c>
    </row>
    <row r="67" spans="2:3" x14ac:dyDescent="0.15">
      <c r="B67" s="8">
        <v>8</v>
      </c>
      <c r="C67" s="24">
        <f t="shared" si="4"/>
        <v>-3326.5124758959159</v>
      </c>
    </row>
    <row r="68" spans="2:3" x14ac:dyDescent="0.15">
      <c r="B68" s="8">
        <v>9</v>
      </c>
      <c r="C68" s="24">
        <f t="shared" si="4"/>
        <v>-3326.5124758959159</v>
      </c>
    </row>
    <row r="69" spans="2:3" x14ac:dyDescent="0.15">
      <c r="B69" s="8">
        <v>10</v>
      </c>
      <c r="C69" s="24">
        <f t="shared" si="4"/>
        <v>-3326.5124758959159</v>
      </c>
    </row>
    <row r="70" spans="2:3" x14ac:dyDescent="0.15">
      <c r="B70" s="8">
        <v>11</v>
      </c>
      <c r="C70" s="24">
        <f t="shared" si="4"/>
        <v>-3326.5124758959159</v>
      </c>
    </row>
    <row r="71" spans="2:3" x14ac:dyDescent="0.15">
      <c r="B71" s="8">
        <v>12</v>
      </c>
      <c r="C71" s="24">
        <f t="shared" si="4"/>
        <v>-3326.5124758959159</v>
      </c>
    </row>
    <row r="72" spans="2:3" x14ac:dyDescent="0.15">
      <c r="B72" s="8">
        <v>13</v>
      </c>
      <c r="C72" s="24">
        <f t="shared" si="4"/>
        <v>-3326.5124758959159</v>
      </c>
    </row>
    <row r="73" spans="2:3" x14ac:dyDescent="0.15">
      <c r="B73" s="8">
        <v>14</v>
      </c>
      <c r="C73" s="24">
        <f t="shared" si="4"/>
        <v>-3326.5124758959159</v>
      </c>
    </row>
    <row r="74" spans="2:3" x14ac:dyDescent="0.15">
      <c r="B74" s="8">
        <v>15</v>
      </c>
      <c r="C74" s="24">
        <f t="shared" si="4"/>
        <v>-3326.5124758959159</v>
      </c>
    </row>
    <row r="75" spans="2:3" x14ac:dyDescent="0.15">
      <c r="B75" s="8">
        <v>16</v>
      </c>
      <c r="C75" s="24">
        <f t="shared" si="4"/>
        <v>-3326.5124758959159</v>
      </c>
    </row>
    <row r="76" spans="2:3" x14ac:dyDescent="0.15">
      <c r="B76" s="8">
        <v>17</v>
      </c>
      <c r="C76" s="24">
        <f t="shared" si="4"/>
        <v>-3326.5124758959159</v>
      </c>
    </row>
    <row r="77" spans="2:3" x14ac:dyDescent="0.15">
      <c r="B77" s="8">
        <v>18</v>
      </c>
      <c r="C77" s="24">
        <f t="shared" si="4"/>
        <v>-3326.5124758959159</v>
      </c>
    </row>
    <row r="78" spans="2:3" x14ac:dyDescent="0.15">
      <c r="B78" s="8">
        <v>19</v>
      </c>
      <c r="C78" s="24">
        <f t="shared" si="4"/>
        <v>-3326.5124758959159</v>
      </c>
    </row>
    <row r="79" spans="2:3" x14ac:dyDescent="0.15">
      <c r="B79" s="8">
        <v>20</v>
      </c>
      <c r="C79" s="24">
        <f t="shared" si="4"/>
        <v>-3326.5124758959159</v>
      </c>
    </row>
    <row r="80" spans="2:3" x14ac:dyDescent="0.15">
      <c r="B80" s="8">
        <v>21</v>
      </c>
      <c r="C80" s="24">
        <f t="shared" si="4"/>
        <v>-3326.5124758959159</v>
      </c>
    </row>
    <row r="81" spans="2:4" x14ac:dyDescent="0.15">
      <c r="B81" s="8">
        <v>22</v>
      </c>
      <c r="C81" s="24">
        <f t="shared" si="4"/>
        <v>-3326.5124758959159</v>
      </c>
    </row>
    <row r="82" spans="2:4" x14ac:dyDescent="0.15">
      <c r="B82" s="8">
        <v>23</v>
      </c>
      <c r="C82" s="24">
        <f t="shared" si="4"/>
        <v>-3326.5124758959159</v>
      </c>
    </row>
    <row r="83" spans="2:4" x14ac:dyDescent="0.15">
      <c r="B83" s="8">
        <v>24</v>
      </c>
      <c r="C83" s="24">
        <f t="shared" si="4"/>
        <v>-3326.5124758959159</v>
      </c>
    </row>
    <row r="84" spans="2:4" x14ac:dyDescent="0.15">
      <c r="B84" s="8">
        <v>25</v>
      </c>
      <c r="C84" s="24">
        <f t="shared" si="4"/>
        <v>-3326.5124758959159</v>
      </c>
    </row>
    <row r="85" spans="2:4" x14ac:dyDescent="0.15">
      <c r="B85" s="8">
        <v>26</v>
      </c>
      <c r="C85" s="24">
        <f t="shared" si="4"/>
        <v>-3326.5124758959159</v>
      </c>
    </row>
    <row r="86" spans="2:4" x14ac:dyDescent="0.15">
      <c r="B86" s="8">
        <v>27</v>
      </c>
      <c r="C86" s="24">
        <f t="shared" si="4"/>
        <v>-3326.5124758959159</v>
      </c>
    </row>
    <row r="87" spans="2:4" x14ac:dyDescent="0.15">
      <c r="B87" s="8">
        <v>28</v>
      </c>
      <c r="C87" s="24">
        <f t="shared" si="4"/>
        <v>-3326.5124758959159</v>
      </c>
    </row>
    <row r="88" spans="2:4" x14ac:dyDescent="0.15">
      <c r="B88" s="8">
        <v>29</v>
      </c>
      <c r="C88" s="24">
        <f t="shared" si="4"/>
        <v>-3326.5124758959159</v>
      </c>
    </row>
    <row r="89" spans="2:4" x14ac:dyDescent="0.15">
      <c r="B89" s="8">
        <v>30</v>
      </c>
      <c r="C89" s="24">
        <f t="shared" si="4"/>
        <v>-3326.5124758959159</v>
      </c>
    </row>
    <row r="90" spans="2:4" x14ac:dyDescent="0.15">
      <c r="B90" s="8">
        <v>31</v>
      </c>
      <c r="C90" s="24">
        <f t="shared" si="4"/>
        <v>-3326.5124758959159</v>
      </c>
    </row>
    <row r="91" spans="2:4" x14ac:dyDescent="0.15">
      <c r="B91" s="8">
        <v>32</v>
      </c>
      <c r="C91" s="24">
        <f t="shared" si="4"/>
        <v>-3326.5124758959159</v>
      </c>
    </row>
    <row r="92" spans="2:4" x14ac:dyDescent="0.15">
      <c r="B92" s="8">
        <v>33</v>
      </c>
      <c r="C92" s="24">
        <f t="shared" si="4"/>
        <v>-3326.5124758959159</v>
      </c>
    </row>
    <row r="93" spans="2:4" x14ac:dyDescent="0.15">
      <c r="B93" s="8">
        <v>34</v>
      </c>
      <c r="C93" s="24">
        <f t="shared" si="4"/>
        <v>-3326.5124758959159</v>
      </c>
    </row>
    <row r="94" spans="2:4" x14ac:dyDescent="0.15">
      <c r="B94" s="8">
        <v>35</v>
      </c>
      <c r="C94" s="24">
        <f t="shared" si="4"/>
        <v>-3326.5124758959159</v>
      </c>
    </row>
    <row r="95" spans="2:4" x14ac:dyDescent="0.15">
      <c r="B95" s="8">
        <v>36</v>
      </c>
      <c r="C95" s="24">
        <f t="shared" si="4"/>
        <v>-3326.5124758959159</v>
      </c>
    </row>
    <row r="96" spans="2:4" ht="14" thickBot="1" x14ac:dyDescent="0.2">
      <c r="B96" s="84">
        <v>37</v>
      </c>
      <c r="C96" s="91">
        <f>-E61+D61</f>
        <v>-486961.32803766517</v>
      </c>
      <c r="D96" s="17" t="s">
        <v>155</v>
      </c>
    </row>
    <row r="97" spans="2:4" x14ac:dyDescent="0.15">
      <c r="C97" s="8"/>
    </row>
    <row r="98" spans="2:4" x14ac:dyDescent="0.15">
      <c r="B98" s="85" t="s">
        <v>99</v>
      </c>
      <c r="C98" s="86">
        <f>IRR(C60:C96,0.05)</f>
        <v>6.7895022416850637E-3</v>
      </c>
      <c r="D98" s="87" t="s">
        <v>100</v>
      </c>
    </row>
    <row r="99" spans="2:4" ht="28" x14ac:dyDescent="0.15">
      <c r="B99" s="32" t="s">
        <v>101</v>
      </c>
      <c r="C99" s="88">
        <f>C98*12</f>
        <v>8.1474026900220764E-2</v>
      </c>
      <c r="D99" s="33" t="s">
        <v>104</v>
      </c>
    </row>
    <row r="100" spans="2:4" x14ac:dyDescent="0.15">
      <c r="D100" s="33" t="s">
        <v>154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Answers</vt:lpstr>
      <vt:lpstr>Details</vt:lpstr>
      <vt:lpstr>Answers!Print_Area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J.M. Colon</cp:lastModifiedBy>
  <cp:lastPrinted>2014-10-22T01:49:51Z</cp:lastPrinted>
  <dcterms:created xsi:type="dcterms:W3CDTF">2007-02-19T03:24:13Z</dcterms:created>
  <dcterms:modified xsi:type="dcterms:W3CDTF">2022-12-02T13:55:47Z</dcterms:modified>
</cp:coreProperties>
</file>