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5"/>
  <workbookPr date1904="1" autoCompressPictures="0"/>
  <mc:AlternateContent xmlns:mc="http://schemas.openxmlformats.org/markup-compatibility/2006">
    <mc:Choice Requires="x15">
      <x15ac:absPath xmlns:x15ac="http://schemas.microsoft.com/office/spreadsheetml/2010/11/ac" url="/Users/jmcolon1/Dropbox/Corp Finance/CorpFin 20/"/>
    </mc:Choice>
  </mc:AlternateContent>
  <xr:revisionPtr revIDLastSave="0" documentId="13_ncr:1_{B3AEF592-195A-1D4B-9E01-19A12AB8C5A5}" xr6:coauthVersionLast="45" xr6:coauthVersionMax="45" xr10:uidLastSave="{00000000-0000-0000-0000-000000000000}"/>
  <bookViews>
    <workbookView xWindow="27620" yWindow="460" windowWidth="25660" windowHeight="25020" tabRatio="500" xr2:uid="{00000000-000D-0000-FFFF-FFFF00000000}"/>
  </bookViews>
  <sheets>
    <sheet name="Answers" sheetId="1" r:id="rId1"/>
    <sheet name="Details" sheetId="2" r:id="rId2"/>
    <sheet name="Data Table" sheetId="3" r:id="rId3"/>
  </sheets>
  <definedNames>
    <definedName name="_xlnm.Print_Area" localSheetId="0">Answers!$B$2:$F$209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136" i="1" l="1"/>
  <c r="C135" i="1"/>
  <c r="C134" i="1"/>
  <c r="C132" i="1"/>
  <c r="C131" i="1"/>
  <c r="D23" i="3"/>
  <c r="B36" i="1"/>
  <c r="B40" i="1"/>
  <c r="B33" i="1"/>
  <c r="E19" i="2"/>
  <c r="E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18" i="2"/>
  <c r="L12" i="2"/>
  <c r="M12" i="2"/>
  <c r="M13" i="2"/>
  <c r="M14" i="2"/>
  <c r="M15" i="2"/>
  <c r="M16" i="2"/>
  <c r="M17" i="2"/>
  <c r="M18" i="2"/>
  <c r="M11" i="2"/>
  <c r="D18" i="2"/>
  <c r="N11" i="2"/>
  <c r="K12" i="2" s="1"/>
  <c r="N12" i="2" l="1"/>
  <c r="K13" i="2" s="1"/>
  <c r="L13" i="2" s="1"/>
  <c r="G18" i="2"/>
  <c r="D19" i="2" s="1"/>
  <c r="C150" i="2"/>
  <c r="D108" i="2"/>
  <c r="F107" i="2"/>
  <c r="D63" i="2"/>
  <c r="G19" i="2" l="1"/>
  <c r="D20" i="2" s="1"/>
  <c r="E20" i="2" s="1"/>
  <c r="N13" i="2"/>
  <c r="K14" i="2" s="1"/>
  <c r="L14" i="2" s="1"/>
  <c r="C100" i="1"/>
  <c r="C49" i="1"/>
  <c r="C107" i="1"/>
  <c r="C52" i="1"/>
  <c r="C102" i="1"/>
  <c r="C112" i="1"/>
  <c r="C99" i="1"/>
  <c r="C98" i="1"/>
  <c r="C106" i="1"/>
  <c r="C108" i="1"/>
  <c r="C109" i="1"/>
  <c r="C110" i="1"/>
  <c r="C78" i="1"/>
  <c r="C81" i="1"/>
  <c r="C77" i="1"/>
  <c r="C82" i="1"/>
  <c r="C83" i="1"/>
  <c r="C141" i="1"/>
  <c r="C124" i="1"/>
  <c r="C67" i="1"/>
  <c r="C19" i="1"/>
  <c r="C24" i="1"/>
  <c r="C25" i="1"/>
  <c r="C12" i="1"/>
  <c r="B31" i="1"/>
  <c r="B32" i="1"/>
  <c r="C5" i="3"/>
  <c r="C10" i="3" s="1"/>
  <c r="C12" i="3"/>
  <c r="C13" i="3"/>
  <c r="C14" i="3"/>
  <c r="E10" i="3"/>
  <c r="F10" i="3"/>
  <c r="G10" i="3" s="1"/>
  <c r="C72" i="1"/>
  <c r="C73" i="1"/>
  <c r="C66" i="1"/>
  <c r="C60" i="1"/>
  <c r="C58" i="1"/>
  <c r="C59" i="1"/>
  <c r="D65" i="2"/>
  <c r="E71" i="2" s="1"/>
  <c r="E69" i="2"/>
  <c r="E70" i="2"/>
  <c r="E72" i="2"/>
  <c r="E73" i="2"/>
  <c r="E74" i="2"/>
  <c r="E76" i="2"/>
  <c r="E77" i="2"/>
  <c r="E78" i="2"/>
  <c r="E80" i="2"/>
  <c r="E81" i="2"/>
  <c r="E82" i="2"/>
  <c r="E84" i="2"/>
  <c r="E85" i="2"/>
  <c r="E86" i="2"/>
  <c r="E88" i="2"/>
  <c r="E89" i="2"/>
  <c r="E90" i="2"/>
  <c r="E92" i="2"/>
  <c r="E93" i="2"/>
  <c r="E94" i="2"/>
  <c r="E96" i="2"/>
  <c r="E97" i="2"/>
  <c r="E98" i="2"/>
  <c r="E100" i="2"/>
  <c r="E101" i="2"/>
  <c r="E102" i="2"/>
  <c r="C68" i="2"/>
  <c r="D68" i="2"/>
  <c r="F68" i="2" s="1"/>
  <c r="C69" i="2" s="1"/>
  <c r="E68" i="2"/>
  <c r="C121" i="1"/>
  <c r="C123" i="1"/>
  <c r="C164" i="1"/>
  <c r="D107" i="2"/>
  <c r="D110" i="2"/>
  <c r="D113" i="2"/>
  <c r="C133" i="2" s="1"/>
  <c r="E113" i="2"/>
  <c r="C148" i="2" s="1"/>
  <c r="C128" i="2"/>
  <c r="D109" i="2"/>
  <c r="C112" i="2"/>
  <c r="C146" i="1"/>
  <c r="C151" i="1"/>
  <c r="C152" i="1"/>
  <c r="C163" i="1"/>
  <c r="C142" i="1"/>
  <c r="C145" i="1"/>
  <c r="C161" i="1"/>
  <c r="C165" i="1"/>
  <c r="C147" i="1"/>
  <c r="C119" i="1"/>
  <c r="C89" i="1"/>
  <c r="C90" i="1"/>
  <c r="C88" i="1"/>
  <c r="C92" i="1"/>
  <c r="C167" i="1"/>
  <c r="C166" i="1"/>
  <c r="C148" i="1"/>
  <c r="C127" i="2"/>
  <c r="C143" i="2"/>
  <c r="C142" i="2"/>
  <c r="C137" i="2"/>
  <c r="C121" i="2"/>
  <c r="C116" i="2"/>
  <c r="C125" i="1"/>
  <c r="C141" i="2"/>
  <c r="C136" i="2"/>
  <c r="C120" i="2"/>
  <c r="C114" i="2"/>
  <c r="C134" i="2"/>
  <c r="C129" i="2"/>
  <c r="E103" i="2"/>
  <c r="E99" i="2"/>
  <c r="E95" i="2"/>
  <c r="E91" i="2"/>
  <c r="E87" i="2"/>
  <c r="E83" i="2"/>
  <c r="E79" i="2"/>
  <c r="E75" i="2"/>
  <c r="C127" i="1"/>
  <c r="C126" i="1"/>
  <c r="N14" i="2" l="1"/>
  <c r="K15" i="2" s="1"/>
  <c r="L15" i="2" s="1"/>
  <c r="G20" i="2"/>
  <c r="D21" i="2" s="1"/>
  <c r="E21" i="2" s="1"/>
  <c r="C139" i="2"/>
  <c r="C123" i="2"/>
  <c r="C115" i="2"/>
  <c r="C144" i="2"/>
  <c r="C122" i="2"/>
  <c r="C118" i="2"/>
  <c r="C140" i="2"/>
  <c r="C125" i="2"/>
  <c r="C146" i="2"/>
  <c r="C126" i="2"/>
  <c r="C113" i="2"/>
  <c r="C135" i="2"/>
  <c r="C119" i="2"/>
  <c r="C138" i="2"/>
  <c r="C117" i="2"/>
  <c r="C124" i="2"/>
  <c r="C145" i="2"/>
  <c r="C130" i="2"/>
  <c r="C132" i="2"/>
  <c r="C147" i="2"/>
  <c r="C131" i="2"/>
  <c r="D69" i="2"/>
  <c r="F69" i="2" s="1"/>
  <c r="C70" i="2" s="1"/>
  <c r="N15" i="2" l="1"/>
  <c r="K16" i="2" s="1"/>
  <c r="L16" i="2" s="1"/>
  <c r="G21" i="2"/>
  <c r="D22" i="2" s="1"/>
  <c r="E22" i="2" s="1"/>
  <c r="C151" i="2"/>
  <c r="D70" i="2"/>
  <c r="F70" i="2"/>
  <c r="C71" i="2" s="1"/>
  <c r="G22" i="2" l="1"/>
  <c r="D23" i="2" s="1"/>
  <c r="E23" i="2" s="1"/>
  <c r="N16" i="2"/>
  <c r="K17" i="2" s="1"/>
  <c r="L17" i="2" s="1"/>
  <c r="D71" i="2"/>
  <c r="F71" i="2" s="1"/>
  <c r="C72" i="2" s="1"/>
  <c r="N17" i="2" l="1"/>
  <c r="K18" i="2" s="1"/>
  <c r="L18" i="2" s="1"/>
  <c r="G23" i="2"/>
  <c r="D24" i="2" s="1"/>
  <c r="E24" i="2" s="1"/>
  <c r="D72" i="2"/>
  <c r="F72" i="2" s="1"/>
  <c r="C73" i="2" s="1"/>
  <c r="G24" i="2" l="1"/>
  <c r="D25" i="2" s="1"/>
  <c r="E25" i="2" s="1"/>
  <c r="N18" i="2"/>
  <c r="K19" i="2" s="1"/>
  <c r="L19" i="2" s="1"/>
  <c r="D73" i="2"/>
  <c r="F73" i="2" s="1"/>
  <c r="C74" i="2" s="1"/>
  <c r="N19" i="2" l="1"/>
  <c r="K20" i="2" s="1"/>
  <c r="L20" i="2" s="1"/>
  <c r="G25" i="2"/>
  <c r="D26" i="2" s="1"/>
  <c r="E26" i="2" s="1"/>
  <c r="D74" i="2"/>
  <c r="F74" i="2" s="1"/>
  <c r="C75" i="2" s="1"/>
  <c r="N20" i="2" l="1"/>
  <c r="K21" i="2" s="1"/>
  <c r="L21" i="2" s="1"/>
  <c r="G26" i="2"/>
  <c r="D27" i="2" s="1"/>
  <c r="E27" i="2" s="1"/>
  <c r="D75" i="2"/>
  <c r="F75" i="2" s="1"/>
  <c r="C76" i="2" s="1"/>
  <c r="G27" i="2" l="1"/>
  <c r="D28" i="2" s="1"/>
  <c r="E28" i="2" s="1"/>
  <c r="N21" i="2"/>
  <c r="K22" i="2" s="1"/>
  <c r="L22" i="2" s="1"/>
  <c r="D76" i="2"/>
  <c r="F76" i="2" s="1"/>
  <c r="C77" i="2" s="1"/>
  <c r="N22" i="2" l="1"/>
  <c r="K23" i="2" s="1"/>
  <c r="L23" i="2" s="1"/>
  <c r="G28" i="2"/>
  <c r="D29" i="2" s="1"/>
  <c r="E29" i="2" s="1"/>
  <c r="D77" i="2"/>
  <c r="F77" i="2" s="1"/>
  <c r="C78" i="2" s="1"/>
  <c r="G29" i="2" l="1"/>
  <c r="D30" i="2" s="1"/>
  <c r="E30" i="2" s="1"/>
  <c r="N23" i="2"/>
  <c r="K24" i="2" s="1"/>
  <c r="L24" i="2" s="1"/>
  <c r="D78" i="2"/>
  <c r="F78" i="2" s="1"/>
  <c r="C79" i="2" s="1"/>
  <c r="N24" i="2" l="1"/>
  <c r="K25" i="2" s="1"/>
  <c r="L25" i="2" s="1"/>
  <c r="G30" i="2"/>
  <c r="D31" i="2" s="1"/>
  <c r="E31" i="2" s="1"/>
  <c r="D79" i="2"/>
  <c r="F79" i="2" s="1"/>
  <c r="C80" i="2" s="1"/>
  <c r="G31" i="2" l="1"/>
  <c r="D32" i="2" s="1"/>
  <c r="E32" i="2" s="1"/>
  <c r="N25" i="2"/>
  <c r="K26" i="2" s="1"/>
  <c r="L26" i="2" s="1"/>
  <c r="D80" i="2"/>
  <c r="F80" i="2" s="1"/>
  <c r="C81" i="2" s="1"/>
  <c r="N26" i="2" l="1"/>
  <c r="K27" i="2" s="1"/>
  <c r="L27" i="2" s="1"/>
  <c r="G32" i="2"/>
  <c r="D33" i="2" s="1"/>
  <c r="E33" i="2" s="1"/>
  <c r="D81" i="2"/>
  <c r="F81" i="2" s="1"/>
  <c r="C82" i="2" s="1"/>
  <c r="N27" i="2" l="1"/>
  <c r="K28" i="2" s="1"/>
  <c r="L28" i="2" s="1"/>
  <c r="G33" i="2"/>
  <c r="D34" i="2" s="1"/>
  <c r="E34" i="2" s="1"/>
  <c r="D82" i="2"/>
  <c r="F82" i="2"/>
  <c r="C83" i="2" s="1"/>
  <c r="G34" i="2" l="1"/>
  <c r="D35" i="2" s="1"/>
  <c r="E35" i="2" s="1"/>
  <c r="N28" i="2"/>
  <c r="K29" i="2" s="1"/>
  <c r="L29" i="2" s="1"/>
  <c r="D83" i="2"/>
  <c r="F83" i="2"/>
  <c r="C84" i="2" s="1"/>
  <c r="G35" i="2" l="1"/>
  <c r="D36" i="2" s="1"/>
  <c r="E36" i="2" s="1"/>
  <c r="N29" i="2"/>
  <c r="K30" i="2" s="1"/>
  <c r="L30" i="2" s="1"/>
  <c r="D84" i="2"/>
  <c r="F84" i="2"/>
  <c r="C85" i="2" s="1"/>
  <c r="N30" i="2" l="1"/>
  <c r="K31" i="2" s="1"/>
  <c r="L31" i="2" s="1"/>
  <c r="G36" i="2"/>
  <c r="D37" i="2" s="1"/>
  <c r="E37" i="2" s="1"/>
  <c r="D85" i="2"/>
  <c r="F85" i="2"/>
  <c r="C86" i="2" s="1"/>
  <c r="N31" i="2" l="1"/>
  <c r="K32" i="2" s="1"/>
  <c r="L32" i="2" s="1"/>
  <c r="G37" i="2"/>
  <c r="D38" i="2" s="1"/>
  <c r="E38" i="2" s="1"/>
  <c r="D86" i="2"/>
  <c r="F86" i="2"/>
  <c r="C87" i="2" s="1"/>
  <c r="N32" i="2" l="1"/>
  <c r="K33" i="2" s="1"/>
  <c r="L33" i="2" s="1"/>
  <c r="G38" i="2"/>
  <c r="D39" i="2" s="1"/>
  <c r="E39" i="2" s="1"/>
  <c r="D87" i="2"/>
  <c r="F87" i="2"/>
  <c r="C88" i="2" s="1"/>
  <c r="G39" i="2" l="1"/>
  <c r="D40" i="2" s="1"/>
  <c r="E40" i="2" s="1"/>
  <c r="N33" i="2"/>
  <c r="K34" i="2" s="1"/>
  <c r="L34" i="2" s="1"/>
  <c r="D88" i="2"/>
  <c r="F88" i="2"/>
  <c r="C89" i="2" s="1"/>
  <c r="N34" i="2" l="1"/>
  <c r="K35" i="2" s="1"/>
  <c r="L35" i="2" s="1"/>
  <c r="G40" i="2"/>
  <c r="D41" i="2" s="1"/>
  <c r="E41" i="2" s="1"/>
  <c r="D89" i="2"/>
  <c r="F89" i="2"/>
  <c r="C90" i="2" s="1"/>
  <c r="G41" i="2" l="1"/>
  <c r="D42" i="2" s="1"/>
  <c r="E42" i="2" s="1"/>
  <c r="N35" i="2"/>
  <c r="K36" i="2" s="1"/>
  <c r="L36" i="2" s="1"/>
  <c r="D90" i="2"/>
  <c r="F90" i="2"/>
  <c r="C91" i="2" s="1"/>
  <c r="N36" i="2" l="1"/>
  <c r="K37" i="2" s="1"/>
  <c r="L37" i="2" s="1"/>
  <c r="G42" i="2"/>
  <c r="D43" i="2" s="1"/>
  <c r="E43" i="2" s="1"/>
  <c r="D91" i="2"/>
  <c r="F91" i="2" s="1"/>
  <c r="C92" i="2" s="1"/>
  <c r="G43" i="2" l="1"/>
  <c r="D44" i="2" s="1"/>
  <c r="E44" i="2" s="1"/>
  <c r="N37" i="2"/>
  <c r="K38" i="2" s="1"/>
  <c r="L38" i="2" s="1"/>
  <c r="D92" i="2"/>
  <c r="F92" i="2"/>
  <c r="C93" i="2" s="1"/>
  <c r="N38" i="2" l="1"/>
  <c r="K39" i="2" s="1"/>
  <c r="L39" i="2" s="1"/>
  <c r="G44" i="2"/>
  <c r="D45" i="2" s="1"/>
  <c r="E45" i="2" s="1"/>
  <c r="D93" i="2"/>
  <c r="F93" i="2"/>
  <c r="C94" i="2" s="1"/>
  <c r="N39" i="2" l="1"/>
  <c r="K40" i="2" s="1"/>
  <c r="L40" i="2" s="1"/>
  <c r="G45" i="2"/>
  <c r="D46" i="2" s="1"/>
  <c r="E46" i="2" s="1"/>
  <c r="D94" i="2"/>
  <c r="F94" i="2"/>
  <c r="C95" i="2" s="1"/>
  <c r="N40" i="2" l="1"/>
  <c r="K41" i="2" s="1"/>
  <c r="L41" i="2" s="1"/>
  <c r="G46" i="2"/>
  <c r="D47" i="2" s="1"/>
  <c r="E47" i="2" s="1"/>
  <c r="D95" i="2"/>
  <c r="F95" i="2" s="1"/>
  <c r="C96" i="2" s="1"/>
  <c r="G47" i="2" l="1"/>
  <c r="D48" i="2" s="1"/>
  <c r="E48" i="2" s="1"/>
  <c r="N41" i="2"/>
  <c r="K42" i="2" s="1"/>
  <c r="L42" i="2" s="1"/>
  <c r="D96" i="2"/>
  <c r="F96" i="2"/>
  <c r="C97" i="2" s="1"/>
  <c r="N42" i="2" l="1"/>
  <c r="K43" i="2" s="1"/>
  <c r="L43" i="2" s="1"/>
  <c r="G48" i="2"/>
  <c r="D49" i="2" s="1"/>
  <c r="E49" i="2" s="1"/>
  <c r="D97" i="2"/>
  <c r="F97" i="2"/>
  <c r="C98" i="2" s="1"/>
  <c r="N43" i="2" l="1"/>
  <c r="K44" i="2" s="1"/>
  <c r="L44" i="2" s="1"/>
  <c r="G49" i="2"/>
  <c r="D50" i="2" s="1"/>
  <c r="E50" i="2" s="1"/>
  <c r="D98" i="2"/>
  <c r="F98" i="2"/>
  <c r="C99" i="2" s="1"/>
  <c r="N44" i="2" l="1"/>
  <c r="K45" i="2" s="1"/>
  <c r="L45" i="2" s="1"/>
  <c r="G50" i="2"/>
  <c r="D51" i="2" s="1"/>
  <c r="E51" i="2" s="1"/>
  <c r="D99" i="2"/>
  <c r="F99" i="2"/>
  <c r="C100" i="2" s="1"/>
  <c r="G51" i="2" l="1"/>
  <c r="D52" i="2" s="1"/>
  <c r="E52" i="2" s="1"/>
  <c r="N45" i="2"/>
  <c r="K46" i="2" s="1"/>
  <c r="L46" i="2" s="1"/>
  <c r="D100" i="2"/>
  <c r="F100" i="2"/>
  <c r="C101" i="2" s="1"/>
  <c r="N46" i="2" l="1"/>
  <c r="K47" i="2" s="1"/>
  <c r="L47" i="2" s="1"/>
  <c r="G52" i="2"/>
  <c r="D53" i="2" s="1"/>
  <c r="E53" i="2" s="1"/>
  <c r="D101" i="2"/>
  <c r="F101" i="2"/>
  <c r="C102" i="2" s="1"/>
  <c r="N47" i="2" l="1"/>
  <c r="K48" i="2" s="1"/>
  <c r="L48" i="2" s="1"/>
  <c r="G53" i="2"/>
  <c r="D54" i="2" s="1"/>
  <c r="E54" i="2" s="1"/>
  <c r="D102" i="2"/>
  <c r="F102" i="2"/>
  <c r="C103" i="2" s="1"/>
  <c r="N48" i="2" l="1"/>
  <c r="K49" i="2" s="1"/>
  <c r="L49" i="2" s="1"/>
  <c r="G54" i="2"/>
  <c r="D55" i="2" s="1"/>
  <c r="E55" i="2" s="1"/>
  <c r="D103" i="2"/>
  <c r="F103" i="2" s="1"/>
  <c r="G55" i="2" l="1"/>
  <c r="D56" i="2" s="1"/>
  <c r="E56" i="2" s="1"/>
  <c r="N49" i="2"/>
  <c r="K50" i="2" s="1"/>
  <c r="L50" i="2" s="1"/>
  <c r="N50" i="2" l="1"/>
  <c r="K51" i="2" s="1"/>
  <c r="L51" i="2" s="1"/>
  <c r="G56" i="2"/>
  <c r="D57" i="2" s="1"/>
  <c r="E57" i="2" s="1"/>
  <c r="N51" i="2" l="1"/>
  <c r="K52" i="2" s="1"/>
  <c r="L52" i="2" s="1"/>
  <c r="G57" i="2"/>
  <c r="N52" i="2" l="1"/>
  <c r="K53" i="2" s="1"/>
  <c r="L53" i="2" s="1"/>
  <c r="N53" i="2" l="1"/>
  <c r="K54" i="2" s="1"/>
  <c r="L54" i="2" s="1"/>
  <c r="N54" i="2" l="1"/>
  <c r="K55" i="2" s="1"/>
  <c r="L55" i="2" s="1"/>
  <c r="N55" i="2" l="1"/>
  <c r="K56" i="2" s="1"/>
  <c r="L56" i="2" s="1"/>
  <c r="N56" i="2" l="1"/>
  <c r="K57" i="2" s="1"/>
  <c r="L57" i="2" s="1"/>
  <c r="N57" i="2" l="1"/>
</calcChain>
</file>

<file path=xl/sharedStrings.xml><?xml version="1.0" encoding="utf-8"?>
<sst xmlns="http://schemas.openxmlformats.org/spreadsheetml/2006/main" count="260" uniqueCount="176">
  <si>
    <t>Payment</t>
  </si>
  <si>
    <t>Rate</t>
  </si>
  <si>
    <t>(c)</t>
    <phoneticPr fontId="4" type="noConversion"/>
  </si>
  <si>
    <t xml:space="preserve"> From above</t>
    <phoneticPr fontId="4" type="noConversion"/>
  </si>
  <si>
    <t>12  * 30 years</t>
  </si>
  <si>
    <t>Corporate Finance</t>
  </si>
  <si>
    <t>PV</t>
  </si>
  <si>
    <t>PMT</t>
  </si>
  <si>
    <t>(b)</t>
  </si>
  <si>
    <t>N</t>
  </si>
  <si>
    <t>I</t>
  </si>
  <si>
    <t>FV</t>
  </si>
  <si>
    <t>=PMT(rate,nper,pv,fv,type)</t>
  </si>
  <si>
    <t>Ending Balance</t>
  </si>
  <si>
    <t>Final Balance</t>
  </si>
  <si>
    <t>IRR</t>
  </si>
  <si>
    <t>&lt;==IRR*12</t>
    <phoneticPr fontId="4" type="noConversion"/>
  </si>
  <si>
    <t>Points (%)</t>
  </si>
  <si>
    <t>Points (Amt)</t>
  </si>
  <si>
    <t>Points(%) * Loan Amt</t>
  </si>
  <si>
    <t>Loan</t>
  </si>
  <si>
    <t>Nominal I</t>
  </si>
  <si>
    <t>True I (monthly)</t>
  </si>
  <si>
    <t>APR</t>
  </si>
  <si>
    <t>EAR</t>
  </si>
  <si>
    <t>Begin Bal</t>
  </si>
  <si>
    <t>Nom. I</t>
  </si>
  <si>
    <t>=PV(rate,nper,pmt,fv,type)</t>
  </si>
  <si>
    <t>Principal Paid</t>
  </si>
  <si>
    <t>Ending Principal</t>
  </si>
  <si>
    <t>(a)</t>
  </si>
  <si>
    <t xml:space="preserve"> = Loan - Points*Loan</t>
  </si>
  <si>
    <r>
      <rPr>
        <i/>
        <sz val="10"/>
        <rFont val="Verdana"/>
        <family val="2"/>
      </rPr>
      <t>Nominal</t>
    </r>
    <r>
      <rPr>
        <sz val="10"/>
        <rFont val="Verdana"/>
        <family val="2"/>
      </rPr>
      <t xml:space="preserve"> I</t>
    </r>
  </si>
  <si>
    <t>Loan Amount</t>
  </si>
  <si>
    <t>Points</t>
  </si>
  <si>
    <t>Nominal Int</t>
  </si>
  <si>
    <t>NPER</t>
  </si>
  <si>
    <t>#Per Loan Outstanding</t>
  </si>
  <si>
    <t>=(1+true monthly)^12-1</t>
  </si>
  <si>
    <r>
      <t>&lt;--</t>
    </r>
    <r>
      <rPr>
        <sz val="10"/>
        <rFont val="Verdana"/>
        <family val="2"/>
      </rPr>
      <t>250</t>
    </r>
    <r>
      <rPr>
        <sz val="10"/>
        <rFont val="Verdana"/>
        <family val="2"/>
      </rPr>
      <t xml:space="preserve"> + PMT from above</t>
    </r>
  </si>
  <si>
    <t>True Int (monthly)</t>
  </si>
  <si>
    <t>Amortization Table</t>
  </si>
  <si>
    <t>Interest Rate</t>
  </si>
  <si>
    <t>Interest (BB*Int)</t>
  </si>
  <si>
    <t>Using IRR</t>
  </si>
  <si>
    <t>&lt;--Loan Amount minus Prin. Paid (Excel CUMPRINC)</t>
  </si>
  <si>
    <t>N (Years)</t>
  </si>
  <si>
    <t>You hope</t>
  </si>
  <si>
    <t>Extra $/month</t>
  </si>
  <si>
    <t>Bonus</t>
  </si>
  <si>
    <t>HW 4 Answers</t>
  </si>
  <si>
    <t>New PMT</t>
  </si>
  <si>
    <t>=NPER(rate,pmt,pv,fv,type)</t>
  </si>
  <si>
    <t>NPER Change</t>
  </si>
  <si>
    <t>There are 3 ways to find the loan balance after 36 payments:</t>
  </si>
  <si>
    <r>
      <t xml:space="preserve">[1] </t>
    </r>
    <r>
      <rPr>
        <sz val="10"/>
        <rFont val="Verdana"/>
        <family val="2"/>
      </rPr>
      <t>IRR: inflows: Loan amt less points; outflows: monthly payments PLUS final principal</t>
    </r>
  </si>
  <si>
    <t>use loan amount less points for PV, and use 36 for NPER</t>
  </si>
  <si>
    <t>Beg. Bal</t>
  </si>
  <si>
    <t>Change to 180 (15*12)</t>
  </si>
  <si>
    <t>=RATE(nper,pmt,pv,fv,type,guess)</t>
  </si>
  <si>
    <t>CUMPRINC(rate,nper,pv,start_period,end_period,type)</t>
  </si>
  <si>
    <t>Balance after 36 monthly payments</t>
  </si>
  <si>
    <t>Loan - Points*Loan</t>
  </si>
  <si>
    <t>=True (monthly) *12</t>
  </si>
  <si>
    <t>True Amt Borrowed (Loan-Pts)</t>
  </si>
  <si>
    <t>Interest (APR)</t>
  </si>
  <si>
    <t>IRR(B53:B89,0.05)</t>
  </si>
  <si>
    <t>PV (Bal after 36M)</t>
  </si>
  <si>
    <t xml:space="preserve">Payments </t>
  </si>
  <si>
    <t>Total Int</t>
  </si>
  <si>
    <t>(use negative sign to convert to positive)</t>
  </si>
  <si>
    <t>(2) Use COMPRINC function</t>
  </si>
  <si>
    <t>&lt;----Change to 180</t>
  </si>
  <si>
    <t>&lt;---Calculate PV using PV formula and changed inputs</t>
  </si>
  <si>
    <t>d</t>
  </si>
  <si>
    <t>=CUMIPMT(rate,nper,pv,start_period,end_period,type)</t>
  </si>
  <si>
    <t>=CUMPRINC(rate,nper,pv,start_period,end_period,type) (total principal paid)</t>
  </si>
  <si>
    <t>Balance = Beginning Balance (500k) - Principal paid</t>
  </si>
  <si>
    <t>Remaining Principal</t>
  </si>
  <si>
    <t>(e)</t>
  </si>
  <si>
    <t>(f)</t>
  </si>
  <si>
    <t>PV after 72 months minus bonus</t>
  </si>
  <si>
    <r>
      <t xml:space="preserve">[2] </t>
    </r>
    <r>
      <rPr>
        <sz val="10"/>
        <rFont val="Verdana"/>
        <family val="2"/>
      </rPr>
      <t>Use the RATE function but remember to adjust FV to reflect loan balance after 36 payments,</t>
    </r>
  </si>
  <si>
    <t>&lt;--Sum of: final payment + Final Balance (both have to be paid)</t>
  </si>
  <si>
    <t>Question 4</t>
  </si>
  <si>
    <t>See Data Table Tab</t>
  </si>
  <si>
    <t>Annual Interest Rate</t>
  </si>
  <si>
    <t>Term (Months)</t>
  </si>
  <si>
    <t>&lt;-----Calculate (if you use PMT, remember to divide RATE by 12)</t>
  </si>
  <si>
    <t>Annual Int Rate Delta</t>
  </si>
  <si>
    <t xml:space="preserve"> Loan Amount Delta</t>
  </si>
  <si>
    <t>Check Test</t>
  </si>
  <si>
    <t>&lt;--OK</t>
  </si>
  <si>
    <t>&lt;---</t>
  </si>
  <si>
    <r>
      <t>[2]</t>
    </r>
    <r>
      <rPr>
        <sz val="10"/>
        <rFont val="Verdana"/>
        <family val="2"/>
      </rPr>
      <t xml:space="preserve"> Use Excel func. "CUMPRINC", which gives the cummulative principal paid between 2 periods.</t>
    </r>
  </si>
  <si>
    <t>=500,000-Principal Paid</t>
  </si>
  <si>
    <t>Once you find the principal after 36 periods, you can now find the true 3-yr interest rate in 2 ways:</t>
  </si>
  <si>
    <r>
      <t xml:space="preserve">[3] </t>
    </r>
    <r>
      <rPr>
        <sz val="10"/>
        <rFont val="Verdana"/>
        <family val="2"/>
      </rPr>
      <t>Create an amortization table (see Details tab)</t>
    </r>
  </si>
  <si>
    <t>Question 2</t>
  </si>
  <si>
    <t>Amount Borrowed</t>
  </si>
  <si>
    <t>Interest</t>
  </si>
  <si>
    <t>EAR = (1+ IntRate2wks)^26 - 1</t>
  </si>
  <si>
    <t>Int Rate (2 weeks)= Int / Amt Borrowed</t>
  </si>
  <si>
    <t>Age</t>
  </si>
  <si>
    <t xml:space="preserve">Investment </t>
  </si>
  <si>
    <t>RoR</t>
  </si>
  <si>
    <t>BB</t>
  </si>
  <si>
    <t xml:space="preserve">Earnings </t>
  </si>
  <si>
    <t>EB</t>
  </si>
  <si>
    <t>Fall 2020</t>
  </si>
  <si>
    <t>APR =IntRate2wks * 26</t>
  </si>
  <si>
    <t>=(# Payments * PMT) - Principal</t>
  </si>
  <si>
    <t>Able</t>
  </si>
  <si>
    <t>Baker</t>
  </si>
  <si>
    <t>RATE</t>
  </si>
  <si>
    <t>FV end of 26</t>
  </si>
  <si>
    <t>NPER (19-26)</t>
  </si>
  <si>
    <t>Question 1</t>
  </si>
  <si>
    <t>Question 3(a)</t>
  </si>
  <si>
    <t>Question 5</t>
  </si>
  <si>
    <r>
      <t xml:space="preserve">See </t>
    </r>
    <r>
      <rPr>
        <b/>
        <i/>
        <sz val="10"/>
        <rFont val="Verdana"/>
        <family val="2"/>
      </rPr>
      <t>Details</t>
    </r>
    <r>
      <rPr>
        <b/>
        <sz val="10"/>
        <rFont val="Verdana"/>
        <family val="2"/>
      </rPr>
      <t xml:space="preserve"> tab</t>
    </r>
  </si>
  <si>
    <t xml:space="preserve">The reason Baker ends up with a greater final balance is that Baker's annual earnings are </t>
  </si>
  <si>
    <t>=FV(rate,nper,pmt,pv,type)</t>
  </si>
  <si>
    <t>Mortgage Rate</t>
  </si>
  <si>
    <t>There are two ways to determine this:</t>
  </si>
  <si>
    <t>(1)  Multiple total payments by 360 and subtract the principal, or (2) Use CUMIPMT function.</t>
  </si>
  <si>
    <t>Again, two ways to determine this.</t>
  </si>
  <si>
    <t>&lt;-----Copy from (a) and "Paste Special" as "Value"</t>
  </si>
  <si>
    <t xml:space="preserve"> (1) Use inputs from (a) but store PMT as 2,108 value, change NPER to 180 and recompute PV</t>
  </si>
  <si>
    <t>In practice, the 15 year interest rate would be less than the 30 year rate.</t>
  </si>
  <si>
    <t>By increasing the payment by 64%, you knock about 50% off the term.</t>
  </si>
  <si>
    <t>&lt;---Change to 288 (360-72 months)</t>
  </si>
  <si>
    <t>&lt;---=NPER(rate,pmt,pv,fv,type)</t>
  </si>
  <si>
    <t>Difference btwn 288 and 242</t>
  </si>
  <si>
    <t>Mortgage Rate/12</t>
  </si>
  <si>
    <t xml:space="preserve"> = Mortgage Rate /12 </t>
  </si>
  <si>
    <t xml:space="preserve"> = True  Int (monthly) * 12</t>
  </si>
  <si>
    <t xml:space="preserve"> = Note, the EAR would be (1+.0026)^12-1</t>
  </si>
  <si>
    <t>=Mortgage Rate/12</t>
  </si>
  <si>
    <t>After finding the new principal (PV), subtract the bonus and then redetermine NPER</t>
  </si>
  <si>
    <t>=INT rounds down number to nearest Integer and ROUND just rounds the MOD result to 2 decimal places.</t>
  </si>
  <si>
    <t>In this loan, each point increases the APR by about 8 bps and the EAR by about 10 bps</t>
  </si>
  <si>
    <t xml:space="preserve">Convert Months to Years: INT(NPER/12)&amp;" years and" "&amp;ROUND(MOD(NPER,12),2)&amp; " months" </t>
  </si>
  <si>
    <t xml:space="preserve">The loan is now repaid in roughly 25  years.  </t>
  </si>
  <si>
    <r>
      <rPr>
        <b/>
        <sz val="10"/>
        <rFont val="Verdana"/>
        <family val="2"/>
      </rPr>
      <t xml:space="preserve">[1] </t>
    </r>
    <r>
      <rPr>
        <sz val="10"/>
        <rFont val="Verdana"/>
        <family val="2"/>
      </rPr>
      <t>Find PV(Ann) with payments of $2,108, 324 (360-36) periods, and a rate of 3%/12.</t>
    </r>
  </si>
  <si>
    <t>Mortage Rate /12</t>
  </si>
  <si>
    <t>&lt;==.0300/12</t>
  </si>
  <si>
    <t>By increasing the payments by 11.8%, you knock about 16.66% off the term</t>
  </si>
  <si>
    <t>Year</t>
  </si>
  <si>
    <t>Q #1</t>
  </si>
  <si>
    <r>
      <t xml:space="preserve">always greater than Able's earnings plus investment.  See </t>
    </r>
    <r>
      <rPr>
        <i/>
        <sz val="10"/>
        <rFont val="Verdana"/>
        <family val="2"/>
      </rPr>
      <t>Details tab.</t>
    </r>
  </si>
  <si>
    <t>&lt;---This is just the FV at the end of 26 from above</t>
  </si>
  <si>
    <t>In class, we defined the the APR as the interest rate of the accrual period (month, day, etc) * the # of periods in a year (12, 365)</t>
  </si>
  <si>
    <t xml:space="preserve">APR = (1.0101)^12/26 - 1 *12 = </t>
  </si>
  <si>
    <t>Note, you would get a slightly lower answer if you used "24" instead of "26".</t>
  </si>
  <si>
    <t>To determine the principal after the 72nd payment, (1) change NPER to 288 and (2) then recompute PV.</t>
  </si>
  <si>
    <t>See above on how to convert Months (NPER Change) to Years and Months.  Trick from the internet.</t>
  </si>
  <si>
    <t xml:space="preserve">Finally, the Fed. Truth in Lending Act appears to mandate the following calculation: (1) Divide finance charge (40) by loan amount (3960); </t>
  </si>
  <si>
    <t>Apparently the Truth in Lending Act does the calculation a bit differently.</t>
  </si>
  <si>
    <t>&lt;--.0300/12</t>
  </si>
  <si>
    <t>which remains 2,108.  Using the calculated APR payment, a new RATE</t>
  </si>
  <si>
    <t>is calculated assuming the calculated APR payment and original balance.</t>
  </si>
  <si>
    <t>APR Principal</t>
  </si>
  <si>
    <r>
      <t xml:space="preserve">and then, using the </t>
    </r>
    <r>
      <rPr>
        <b/>
        <sz val="10"/>
        <rFont val="Verdana"/>
        <family val="2"/>
      </rPr>
      <t>quoted interest rate (3.00%)</t>
    </r>
    <r>
      <rPr>
        <sz val="10"/>
        <rFont val="Verdana"/>
        <family val="2"/>
      </rPr>
      <t>, a new "payment" is calculated</t>
    </r>
  </si>
  <si>
    <t>New APR "Payment"</t>
  </si>
  <si>
    <t>APR Rate (Month)</t>
  </si>
  <si>
    <t>APR Rate (Year)</t>
  </si>
  <si>
    <r>
      <t xml:space="preserve">The fees (only points in my example) are </t>
    </r>
    <r>
      <rPr>
        <b/>
        <sz val="10"/>
        <rFont val="Verdana"/>
        <family val="2"/>
      </rPr>
      <t xml:space="preserve">added </t>
    </r>
    <r>
      <rPr>
        <sz val="10"/>
        <rFont val="Verdana"/>
        <family val="2"/>
      </rPr>
      <t xml:space="preserve">to the loan amount </t>
    </r>
  </si>
  <si>
    <t>This number is very close but not exactly equal to my method.</t>
  </si>
  <si>
    <t>An OL APR calculator: https://bit.ly/3k7kYee</t>
  </si>
  <si>
    <t>Q# 4(b)</t>
  </si>
  <si>
    <t>(2) Multiply (1) by 365; Divide the result in (2) by the term of the loan (14).   In any case, it's very expensive.</t>
  </si>
  <si>
    <r>
      <t xml:space="preserve">on the APR "balance" (Loan amount  plus fees).  Note that this is </t>
    </r>
    <r>
      <rPr>
        <b/>
        <sz val="10"/>
        <rFont val="Verdana"/>
        <family val="2"/>
      </rPr>
      <t xml:space="preserve">not </t>
    </r>
    <r>
      <rPr>
        <sz val="10"/>
        <rFont val="Verdana"/>
        <family val="2"/>
      </rPr>
      <t xml:space="preserve">your actual payment, </t>
    </r>
  </si>
  <si>
    <t>using =Rate(nper,pmt,pv,fv,type,guess),</t>
  </si>
  <si>
    <t>See Details Tab</t>
  </si>
  <si>
    <t>Welch does it a bit differently in Ch2.  He converts the accrual interest rate into a monthly rate and multiplies it by 12.  In that case, the APR would 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</si>
</sst>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6" formatCode="&quot;$&quot;#,##0_);[Red]\(&quot;$&quot;#,##0\)"/>
    <numFmt numFmtId="8" formatCode="&quot;$&quot;#,##0.00_);[Red]\(&quot;$&quot;#,##0.00\)"/>
    <numFmt numFmtId="44" formatCode="_(&quot;$&quot;* #,##0.00_);_(&quot;$&quot;* \(#,##0.00\);_(&quot;$&quot;* &quot;-&quot;??_);_(@_)"/>
    <numFmt numFmtId="43" formatCode="_(* #,##0.00_);_(* \(#,##0.00\);_(* &quot;-&quot;??_);_(@_)"/>
    <numFmt numFmtId="164" formatCode="0.000000"/>
    <numFmt numFmtId="165" formatCode="_(* #,##0_);_(* \(#,##0\);_(* &quot;-&quot;??_);_(@_)"/>
    <numFmt numFmtId="166" formatCode="0.000%"/>
    <numFmt numFmtId="167" formatCode="0.0000%"/>
    <numFmt numFmtId="168" formatCode="&quot;$&quot;#,##0"/>
    <numFmt numFmtId="169" formatCode="0.00000"/>
    <numFmt numFmtId="170" formatCode="_(&quot;$&quot;* #,##0_);_(&quot;$&quot;* \(#,##0\);_(&quot;$&quot;* &quot;-&quot;??_);_(@_)"/>
    <numFmt numFmtId="171" formatCode="#,##0.0000_);[Red]\(#,##0.0000\)"/>
    <numFmt numFmtId="172" formatCode="0.0000"/>
  </numFmts>
  <fonts count="16" x14ac:knownFonts="1">
    <font>
      <sz val="10"/>
      <name val="Verdana"/>
    </font>
    <font>
      <b/>
      <sz val="10"/>
      <name val="Verdana"/>
      <family val="2"/>
    </font>
    <font>
      <i/>
      <sz val="10"/>
      <name val="Verdana"/>
      <family val="2"/>
    </font>
    <font>
      <sz val="10"/>
      <name val="Verdana"/>
      <family val="2"/>
    </font>
    <font>
      <sz val="8"/>
      <name val="Verdana"/>
      <family val="2"/>
    </font>
    <font>
      <b/>
      <sz val="10"/>
      <name val="Verdana"/>
      <family val="2"/>
    </font>
    <font>
      <b/>
      <sz val="10"/>
      <name val="Verdana"/>
      <family val="2"/>
    </font>
    <font>
      <u/>
      <sz val="10"/>
      <color theme="10"/>
      <name val="Verdana"/>
      <family val="2"/>
    </font>
    <font>
      <u/>
      <sz val="10"/>
      <color theme="11"/>
      <name val="Verdana"/>
      <family val="2"/>
    </font>
    <font>
      <b/>
      <sz val="12"/>
      <color theme="1"/>
      <name val="Calibri"/>
      <family val="2"/>
      <scheme val="minor"/>
    </font>
    <font>
      <b/>
      <i/>
      <sz val="12"/>
      <color theme="1"/>
      <name val="Calibri"/>
      <family val="2"/>
      <scheme val="minor"/>
    </font>
    <font>
      <b/>
      <sz val="10"/>
      <color theme="4" tint="0.59999389629810485"/>
      <name val="Verdana"/>
      <family val="2"/>
    </font>
    <font>
      <sz val="10"/>
      <color theme="4" tint="0.59999389629810485"/>
      <name val="Verdana"/>
      <family val="2"/>
    </font>
    <font>
      <sz val="10"/>
      <color theme="1"/>
      <name val="Verdana"/>
      <family val="2"/>
    </font>
    <font>
      <b/>
      <sz val="10"/>
      <color theme="1"/>
      <name val="Verdana"/>
      <family val="2"/>
    </font>
    <font>
      <b/>
      <i/>
      <sz val="10"/>
      <name val="Verdana"/>
      <family val="2"/>
    </font>
  </fonts>
  <fills count="9">
    <fill>
      <patternFill patternType="none"/>
    </fill>
    <fill>
      <patternFill patternType="gray125"/>
    </fill>
    <fill>
      <patternFill patternType="solid">
        <fgColor theme="5" tint="0.79998168889431442"/>
        <bgColor indexed="64"/>
      </patternFill>
    </fill>
    <fill>
      <patternFill patternType="solid">
        <fgColor theme="3" tint="0.79998168889431442"/>
        <bgColor indexed="64"/>
      </patternFill>
    </fill>
    <fill>
      <patternFill patternType="solid">
        <fgColor rgb="FFFFFF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8" tint="0.59999389629810485"/>
        <bgColor indexed="64"/>
      </patternFill>
    </fill>
  </fills>
  <borders count="13">
    <border>
      <left/>
      <right/>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4">
    <xf numFmtId="0" fontId="0"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13">
    <xf numFmtId="0" fontId="0" fillId="0" borderId="0" xfId="0"/>
    <xf numFmtId="0" fontId="1" fillId="0" borderId="0" xfId="0" applyFont="1" applyAlignment="1">
      <alignment horizontal="center"/>
    </xf>
    <xf numFmtId="0" fontId="0" fillId="0" borderId="1" xfId="0" applyBorder="1"/>
    <xf numFmtId="0" fontId="0" fillId="0" borderId="2" xfId="0" applyBorder="1"/>
    <xf numFmtId="0" fontId="0" fillId="0" borderId="3" xfId="0" applyBorder="1"/>
    <xf numFmtId="0" fontId="0" fillId="0" borderId="0" xfId="0" applyBorder="1"/>
    <xf numFmtId="0" fontId="0" fillId="0" borderId="4" xfId="0" applyBorder="1"/>
    <xf numFmtId="0" fontId="0" fillId="0" borderId="6" xfId="0" applyBorder="1"/>
    <xf numFmtId="0" fontId="0" fillId="0" borderId="7" xfId="0" applyBorder="1"/>
    <xf numFmtId="0" fontId="0" fillId="0" borderId="3" xfId="0" applyBorder="1" applyAlignment="1">
      <alignment horizontal="center"/>
    </xf>
    <xf numFmtId="0" fontId="0" fillId="0" borderId="0" xfId="0" applyBorder="1" applyAlignment="1">
      <alignment horizontal="center"/>
    </xf>
    <xf numFmtId="9" fontId="0" fillId="0" borderId="0" xfId="3" applyFont="1" applyBorder="1" applyAlignment="1">
      <alignment horizontal="center"/>
    </xf>
    <xf numFmtId="10" fontId="0" fillId="0" borderId="0" xfId="3" applyNumberFormat="1" applyFont="1" applyBorder="1" applyAlignment="1">
      <alignment horizontal="center"/>
    </xf>
    <xf numFmtId="0" fontId="0" fillId="0" borderId="0" xfId="0" quotePrefix="1" applyBorder="1"/>
    <xf numFmtId="0" fontId="1" fillId="0" borderId="3" xfId="0" applyFont="1" applyBorder="1" applyAlignment="1">
      <alignment horizontal="center"/>
    </xf>
    <xf numFmtId="0" fontId="0" fillId="0" borderId="6" xfId="0" quotePrefix="1" applyBorder="1"/>
    <xf numFmtId="9" fontId="0" fillId="0" borderId="0" xfId="0" applyNumberFormat="1" applyBorder="1" applyAlignment="1">
      <alignment horizontal="center"/>
    </xf>
    <xf numFmtId="165" fontId="0" fillId="0" borderId="0" xfId="1" applyNumberFormat="1" applyFont="1" applyBorder="1"/>
    <xf numFmtId="10" fontId="0" fillId="0" borderId="0" xfId="3" applyNumberFormat="1" applyFont="1" applyBorder="1"/>
    <xf numFmtId="0" fontId="1" fillId="0" borderId="5" xfId="0" applyFont="1" applyBorder="1" applyAlignment="1">
      <alignment horizontal="center"/>
    </xf>
    <xf numFmtId="0" fontId="1" fillId="0" borderId="0" xfId="0" applyFont="1" applyBorder="1" applyAlignment="1">
      <alignment horizontal="center"/>
    </xf>
    <xf numFmtId="8" fontId="0" fillId="0" borderId="0" xfId="0" applyNumberFormat="1" applyBorder="1"/>
    <xf numFmtId="0" fontId="0" fillId="0" borderId="0" xfId="0" quotePrefix="1" applyFill="1" applyBorder="1"/>
    <xf numFmtId="165" fontId="0" fillId="0" borderId="0" xfId="0" applyNumberFormat="1" applyBorder="1"/>
    <xf numFmtId="0" fontId="1" fillId="0" borderId="3" xfId="0" applyFont="1" applyBorder="1"/>
    <xf numFmtId="0" fontId="1" fillId="0" borderId="0" xfId="0" applyFont="1" applyBorder="1"/>
    <xf numFmtId="6" fontId="1" fillId="0" borderId="0" xfId="0" applyNumberFormat="1" applyFont="1" applyBorder="1"/>
    <xf numFmtId="0" fontId="0" fillId="0" borderId="0" xfId="0" applyFill="1" applyBorder="1"/>
    <xf numFmtId="0" fontId="3" fillId="0" borderId="3" xfId="0" applyFont="1" applyBorder="1" applyAlignment="1">
      <alignment horizontal="center"/>
    </xf>
    <xf numFmtId="10" fontId="1" fillId="0" borderId="0" xfId="0" applyNumberFormat="1" applyFont="1" applyBorder="1"/>
    <xf numFmtId="0" fontId="5" fillId="0" borderId="0" xfId="0" applyFont="1" applyBorder="1" applyAlignment="1">
      <alignment horizontal="center"/>
    </xf>
    <xf numFmtId="10" fontId="5" fillId="0" borderId="0" xfId="3" applyNumberFormat="1" applyFont="1" applyBorder="1" applyAlignment="1">
      <alignment horizontal="center"/>
    </xf>
    <xf numFmtId="0" fontId="0" fillId="0" borderId="0" xfId="0" applyAlignment="1">
      <alignment horizontal="center"/>
    </xf>
    <xf numFmtId="0" fontId="1" fillId="0" borderId="0" xfId="0" quotePrefix="1" applyFont="1" applyBorder="1"/>
    <xf numFmtId="6" fontId="1" fillId="0" borderId="6" xfId="0" applyNumberFormat="1" applyFont="1" applyBorder="1"/>
    <xf numFmtId="0" fontId="6" fillId="0" borderId="2" xfId="0" applyFont="1" applyBorder="1"/>
    <xf numFmtId="0" fontId="0" fillId="0" borderId="6" xfId="0" applyBorder="1" applyAlignment="1">
      <alignment horizontal="center"/>
    </xf>
    <xf numFmtId="10" fontId="6" fillId="0" borderId="0" xfId="3" applyNumberFormat="1" applyFont="1" applyAlignment="1">
      <alignment horizontal="center"/>
    </xf>
    <xf numFmtId="0" fontId="1" fillId="0" borderId="0" xfId="0" applyFont="1"/>
    <xf numFmtId="0" fontId="1" fillId="0" borderId="0" xfId="0" applyFont="1" applyFill="1" applyBorder="1" applyAlignment="1">
      <alignment horizontal="center"/>
    </xf>
    <xf numFmtId="10" fontId="0" fillId="0" borderId="3" xfId="3" applyNumberFormat="1" applyFont="1" applyBorder="1" applyAlignment="1">
      <alignment horizontal="center"/>
    </xf>
    <xf numFmtId="10" fontId="0" fillId="0" borderId="4" xfId="3" applyNumberFormat="1" applyFont="1" applyBorder="1"/>
    <xf numFmtId="0" fontId="1" fillId="0" borderId="3" xfId="0" applyFont="1" applyFill="1" applyBorder="1" applyAlignment="1">
      <alignment horizontal="center"/>
    </xf>
    <xf numFmtId="0" fontId="0" fillId="0" borderId="5" xfId="0" applyFill="1" applyBorder="1" applyAlignment="1">
      <alignment horizontal="center"/>
    </xf>
    <xf numFmtId="0" fontId="1" fillId="0" borderId="0" xfId="0" applyFont="1" applyFill="1"/>
    <xf numFmtId="164" fontId="0" fillId="0" borderId="0" xfId="0" applyNumberFormat="1" applyAlignment="1">
      <alignment horizontal="center"/>
    </xf>
    <xf numFmtId="0" fontId="1" fillId="2" borderId="8" xfId="0" applyFont="1" applyFill="1" applyBorder="1" applyAlignment="1">
      <alignment horizontal="center"/>
    </xf>
    <xf numFmtId="0" fontId="1" fillId="0" borderId="0" xfId="0" applyFont="1" applyAlignment="1">
      <alignment horizontal="center" wrapText="1"/>
    </xf>
    <xf numFmtId="0" fontId="0" fillId="0" borderId="0" xfId="0" applyBorder="1"/>
    <xf numFmtId="0" fontId="0" fillId="3" borderId="0" xfId="0" applyFill="1" applyAlignment="1">
      <alignment horizontal="center"/>
    </xf>
    <xf numFmtId="168" fontId="0" fillId="0" borderId="0" xfId="0" applyNumberFormat="1" applyBorder="1" applyAlignment="1">
      <alignment horizontal="center"/>
    </xf>
    <xf numFmtId="168" fontId="0" fillId="0" borderId="0" xfId="2" applyNumberFormat="1" applyFont="1" applyBorder="1" applyAlignment="1">
      <alignment horizontal="center"/>
    </xf>
    <xf numFmtId="0" fontId="0" fillId="0" borderId="0" xfId="0" applyFont="1" applyBorder="1"/>
    <xf numFmtId="8" fontId="0" fillId="0" borderId="0" xfId="0" applyNumberFormat="1" applyBorder="1" applyAlignment="1">
      <alignment horizontal="center"/>
    </xf>
    <xf numFmtId="8" fontId="0" fillId="0" borderId="6" xfId="0" applyNumberFormat="1" applyBorder="1" applyAlignment="1">
      <alignment horizontal="center"/>
    </xf>
    <xf numFmtId="3" fontId="0" fillId="0" borderId="0" xfId="1" applyNumberFormat="1" applyFont="1" applyBorder="1" applyAlignment="1">
      <alignment horizontal="center"/>
    </xf>
    <xf numFmtId="0" fontId="1" fillId="0" borderId="4" xfId="0" applyFont="1" applyBorder="1"/>
    <xf numFmtId="0" fontId="6" fillId="4" borderId="0" xfId="0" applyFont="1" applyFill="1" applyAlignment="1">
      <alignment horizontal="center"/>
    </xf>
    <xf numFmtId="0" fontId="1" fillId="0" borderId="8" xfId="0" applyFont="1" applyBorder="1"/>
    <xf numFmtId="0" fontId="1" fillId="0" borderId="0" xfId="0" applyFont="1" applyBorder="1"/>
    <xf numFmtId="0" fontId="1" fillId="0" borderId="0" xfId="0" applyFont="1" applyBorder="1"/>
    <xf numFmtId="0" fontId="1" fillId="3" borderId="0" xfId="0" applyFont="1" applyFill="1" applyAlignment="1">
      <alignment horizontal="left"/>
    </xf>
    <xf numFmtId="0" fontId="0" fillId="0" borderId="0" xfId="0" applyAlignment="1">
      <alignment horizontal="left"/>
    </xf>
    <xf numFmtId="0" fontId="0" fillId="0" borderId="3" xfId="0" applyFont="1" applyBorder="1" applyAlignment="1">
      <alignment horizontal="center"/>
    </xf>
    <xf numFmtId="6" fontId="0" fillId="0" borderId="0" xfId="0" applyNumberFormat="1" applyBorder="1" applyAlignment="1">
      <alignment horizontal="center"/>
    </xf>
    <xf numFmtId="168" fontId="0" fillId="0" borderId="0" xfId="1" applyNumberFormat="1" applyFont="1" applyBorder="1" applyAlignment="1">
      <alignment horizontal="center"/>
    </xf>
    <xf numFmtId="6" fontId="1" fillId="0" borderId="0" xfId="0" applyNumberFormat="1" applyFont="1" applyBorder="1" applyAlignment="1">
      <alignment horizontal="center"/>
    </xf>
    <xf numFmtId="168" fontId="3" fillId="0" borderId="0" xfId="0" applyNumberFormat="1" applyFont="1" applyBorder="1" applyAlignment="1">
      <alignment horizontal="center"/>
    </xf>
    <xf numFmtId="10" fontId="3" fillId="0" borderId="0" xfId="0" applyNumberFormat="1" applyFont="1" applyBorder="1" applyAlignment="1">
      <alignment horizontal="center"/>
    </xf>
    <xf numFmtId="40" fontId="1" fillId="0" borderId="0" xfId="0" applyNumberFormat="1" applyFont="1" applyBorder="1" applyAlignment="1">
      <alignment horizontal="center"/>
    </xf>
    <xf numFmtId="6" fontId="3" fillId="0" borderId="0" xfId="0" applyNumberFormat="1" applyFont="1" applyBorder="1" applyAlignment="1">
      <alignment horizontal="center"/>
    </xf>
    <xf numFmtId="0" fontId="1" fillId="0" borderId="0" xfId="0" applyNumberFormat="1" applyFont="1" applyBorder="1" applyAlignment="1">
      <alignment horizontal="center"/>
    </xf>
    <xf numFmtId="38" fontId="1" fillId="0" borderId="0" xfId="0" applyNumberFormat="1" applyFont="1" applyBorder="1" applyAlignment="1">
      <alignment horizontal="center"/>
    </xf>
    <xf numFmtId="6" fontId="1" fillId="0" borderId="0" xfId="0" applyNumberFormat="1" applyFont="1" applyFill="1" applyBorder="1"/>
    <xf numFmtId="0" fontId="1" fillId="0" borderId="0" xfId="0" applyFont="1" applyFill="1" applyBorder="1"/>
    <xf numFmtId="0" fontId="0" fillId="0" borderId="0" xfId="0" applyFont="1" applyFill="1" applyBorder="1"/>
    <xf numFmtId="0" fontId="0" fillId="0" borderId="0" xfId="0" applyFill="1" applyBorder="1" applyAlignment="1">
      <alignment horizontal="center"/>
    </xf>
    <xf numFmtId="8" fontId="1" fillId="0" borderId="0" xfId="0" applyNumberFormat="1" applyFont="1" applyFill="1" applyBorder="1"/>
    <xf numFmtId="10" fontId="0" fillId="0" borderId="0" xfId="0" applyNumberFormat="1" applyFill="1" applyBorder="1"/>
    <xf numFmtId="0" fontId="3" fillId="0" borderId="0" xfId="0" applyFont="1" applyFill="1" applyBorder="1" applyAlignment="1">
      <alignment horizontal="left"/>
    </xf>
    <xf numFmtId="9" fontId="0" fillId="0" borderId="0" xfId="0" applyNumberFormat="1" applyFill="1" applyBorder="1" applyAlignment="1">
      <alignment horizontal="center"/>
    </xf>
    <xf numFmtId="165" fontId="0" fillId="0" borderId="0" xfId="1" applyNumberFormat="1" applyFont="1" applyFill="1" applyBorder="1"/>
    <xf numFmtId="0" fontId="0" fillId="0" borderId="0" xfId="0" applyNumberFormat="1" applyFill="1" applyBorder="1"/>
    <xf numFmtId="10" fontId="1" fillId="0" borderId="0" xfId="0" applyNumberFormat="1" applyFont="1" applyFill="1" applyBorder="1" applyAlignment="1">
      <alignment horizontal="center"/>
    </xf>
    <xf numFmtId="167" fontId="0" fillId="0" borderId="0" xfId="3" applyNumberFormat="1" applyFont="1" applyFill="1" applyBorder="1"/>
    <xf numFmtId="8" fontId="0" fillId="0" borderId="0" xfId="0" applyNumberFormat="1" applyFill="1" applyBorder="1"/>
    <xf numFmtId="2" fontId="1" fillId="0" borderId="0" xfId="0" applyNumberFormat="1" applyFont="1" applyFill="1" applyBorder="1"/>
    <xf numFmtId="2" fontId="0" fillId="0" borderId="0" xfId="0" applyNumberFormat="1" applyFill="1" applyBorder="1"/>
    <xf numFmtId="10" fontId="0" fillId="0" borderId="0" xfId="3" applyNumberFormat="1" applyFont="1" applyFill="1" applyBorder="1" applyAlignment="1">
      <alignment horizontal="center"/>
    </xf>
    <xf numFmtId="2" fontId="0" fillId="0" borderId="0" xfId="0" applyNumberFormat="1" applyFill="1" applyBorder="1" applyAlignment="1">
      <alignment horizontal="center"/>
    </xf>
    <xf numFmtId="2" fontId="1" fillId="0" borderId="0" xfId="0" applyNumberFormat="1" applyFont="1" applyFill="1" applyBorder="1" applyAlignment="1">
      <alignment horizontal="center"/>
    </xf>
    <xf numFmtId="10" fontId="0" fillId="0" borderId="0" xfId="3" applyNumberFormat="1" applyFont="1" applyFill="1" applyBorder="1"/>
    <xf numFmtId="164" fontId="0" fillId="0" borderId="0" xfId="0" applyNumberFormat="1" applyFill="1" applyBorder="1"/>
    <xf numFmtId="10" fontId="1" fillId="0" borderId="0" xfId="3" applyNumberFormat="1" applyFont="1" applyFill="1" applyBorder="1"/>
    <xf numFmtId="10" fontId="1" fillId="0" borderId="0" xfId="3" applyNumberFormat="1" applyFont="1" applyBorder="1" applyAlignment="1">
      <alignment horizontal="center"/>
    </xf>
    <xf numFmtId="10" fontId="3" fillId="0" borderId="0" xfId="3" applyNumberFormat="1" applyFont="1" applyBorder="1" applyAlignment="1">
      <alignment horizontal="center"/>
    </xf>
    <xf numFmtId="10" fontId="0" fillId="0" borderId="6" xfId="3" applyNumberFormat="1" applyFont="1" applyBorder="1" applyAlignment="1">
      <alignment horizontal="center"/>
    </xf>
    <xf numFmtId="6" fontId="0" fillId="0" borderId="0" xfId="1" applyNumberFormat="1" applyFont="1" applyAlignment="1">
      <alignment horizontal="center"/>
    </xf>
    <xf numFmtId="6" fontId="0" fillId="0" borderId="0" xfId="0" applyNumberFormat="1" applyAlignment="1">
      <alignment horizontal="center"/>
    </xf>
    <xf numFmtId="168" fontId="6" fillId="0" borderId="7" xfId="1" applyNumberFormat="1" applyFont="1" applyBorder="1" applyAlignment="1">
      <alignment horizontal="center"/>
    </xf>
    <xf numFmtId="169" fontId="0" fillId="0" borderId="0" xfId="0" applyNumberFormat="1" applyAlignment="1">
      <alignment horizontal="center"/>
    </xf>
    <xf numFmtId="168" fontId="0" fillId="0" borderId="0" xfId="1" applyNumberFormat="1" applyFont="1" applyAlignment="1">
      <alignment horizontal="center"/>
    </xf>
    <xf numFmtId="0" fontId="1" fillId="0" borderId="0" xfId="0" applyFont="1" applyBorder="1" applyAlignment="1"/>
    <xf numFmtId="0" fontId="1" fillId="0" borderId="4" xfId="0" applyFont="1" applyBorder="1" applyAlignment="1"/>
    <xf numFmtId="0" fontId="1" fillId="0" borderId="0" xfId="0" applyFont="1" applyFill="1" applyBorder="1"/>
    <xf numFmtId="166" fontId="0" fillId="0" borderId="0" xfId="0" applyNumberFormat="1" applyBorder="1"/>
    <xf numFmtId="0" fontId="1" fillId="0" borderId="0" xfId="0" quotePrefix="1" applyFont="1" applyFill="1" applyBorder="1"/>
    <xf numFmtId="168" fontId="1" fillId="0" borderId="0" xfId="1" applyNumberFormat="1" applyFont="1" applyBorder="1" applyAlignment="1">
      <alignment horizontal="center"/>
    </xf>
    <xf numFmtId="0" fontId="0" fillId="0" borderId="0" xfId="0" applyFill="1"/>
    <xf numFmtId="38" fontId="0" fillId="0" borderId="0" xfId="0" applyNumberFormat="1" applyFont="1" applyBorder="1" applyAlignment="1">
      <alignment horizontal="center"/>
    </xf>
    <xf numFmtId="6" fontId="1" fillId="0" borderId="0" xfId="1" applyNumberFormat="1" applyFont="1" applyBorder="1" applyAlignment="1">
      <alignment horizontal="center"/>
    </xf>
    <xf numFmtId="9" fontId="1" fillId="0" borderId="0" xfId="0" quotePrefix="1" applyNumberFormat="1" applyFont="1"/>
    <xf numFmtId="168" fontId="0" fillId="0" borderId="0" xfId="1" applyNumberFormat="1" applyFont="1" applyFill="1" applyBorder="1" applyAlignment="1">
      <alignment horizontal="center"/>
    </xf>
    <xf numFmtId="169" fontId="0" fillId="0" borderId="0" xfId="0" applyNumberFormat="1" applyFill="1" applyBorder="1" applyAlignment="1">
      <alignment horizontal="center"/>
    </xf>
    <xf numFmtId="6" fontId="0" fillId="0" borderId="0" xfId="0" applyNumberFormat="1" applyFill="1" applyBorder="1" applyAlignment="1">
      <alignment horizontal="center"/>
    </xf>
    <xf numFmtId="0" fontId="1" fillId="0" borderId="0" xfId="0" applyFont="1" applyFill="1" applyBorder="1" applyAlignment="1">
      <alignment horizontal="center" wrapText="1"/>
    </xf>
    <xf numFmtId="43" fontId="0" fillId="0" borderId="0" xfId="1" applyFont="1" applyFill="1" applyBorder="1" applyAlignment="1">
      <alignment horizontal="center"/>
    </xf>
    <xf numFmtId="43" fontId="0" fillId="0" borderId="0" xfId="0" applyNumberFormat="1" applyFill="1" applyBorder="1" applyAlignment="1">
      <alignment horizontal="center"/>
    </xf>
    <xf numFmtId="8" fontId="0" fillId="0" borderId="0" xfId="0" applyNumberFormat="1" applyFill="1" applyBorder="1" applyAlignment="1">
      <alignment horizontal="center"/>
    </xf>
    <xf numFmtId="43" fontId="1" fillId="0" borderId="0" xfId="0" applyNumberFormat="1" applyFont="1" applyFill="1" applyBorder="1" applyAlignment="1">
      <alignment horizontal="center"/>
    </xf>
    <xf numFmtId="0" fontId="1" fillId="4" borderId="8" xfId="0" applyFont="1" applyFill="1" applyBorder="1"/>
    <xf numFmtId="165" fontId="0" fillId="0" borderId="0" xfId="1" applyNumberFormat="1" applyFont="1" applyAlignment="1">
      <alignment horizontal="center"/>
    </xf>
    <xf numFmtId="165" fontId="0" fillId="0" borderId="0" xfId="0" applyNumberFormat="1" applyAlignment="1">
      <alignment horizontal="center"/>
    </xf>
    <xf numFmtId="165" fontId="1" fillId="4" borderId="0" xfId="0" applyNumberFormat="1" applyFont="1" applyFill="1" applyAlignment="1">
      <alignment horizontal="center"/>
    </xf>
    <xf numFmtId="168" fontId="0" fillId="0" borderId="0" xfId="3" applyNumberFormat="1" applyFont="1" applyBorder="1"/>
    <xf numFmtId="0" fontId="3" fillId="0" borderId="0" xfId="0" applyFont="1" applyBorder="1"/>
    <xf numFmtId="6" fontId="3" fillId="0" borderId="0" xfId="0" applyNumberFormat="1" applyFont="1" applyBorder="1" applyAlignment="1">
      <alignment horizontal="left"/>
    </xf>
    <xf numFmtId="1" fontId="3" fillId="0" borderId="0" xfId="0" applyNumberFormat="1" applyFont="1" applyBorder="1" applyAlignment="1">
      <alignment horizontal="center"/>
    </xf>
    <xf numFmtId="0" fontId="3" fillId="0" borderId="0" xfId="0" quotePrefix="1" applyFont="1"/>
    <xf numFmtId="0" fontId="3" fillId="0" borderId="0" xfId="0" quotePrefix="1" applyFont="1" applyBorder="1"/>
    <xf numFmtId="0" fontId="3" fillId="0" borderId="4" xfId="0" applyFont="1" applyBorder="1"/>
    <xf numFmtId="0" fontId="3" fillId="0" borderId="0" xfId="0" applyFont="1"/>
    <xf numFmtId="40" fontId="0" fillId="0" borderId="0" xfId="0" applyNumberFormat="1" applyBorder="1"/>
    <xf numFmtId="40" fontId="0" fillId="0" borderId="0" xfId="0" applyNumberFormat="1" applyFont="1" applyFill="1" applyBorder="1" applyAlignment="1">
      <alignment horizontal="center"/>
    </xf>
    <xf numFmtId="0" fontId="3" fillId="0" borderId="0" xfId="0" applyFont="1" applyFill="1" applyBorder="1"/>
    <xf numFmtId="10" fontId="0" fillId="0" borderId="0" xfId="0" applyNumberFormat="1"/>
    <xf numFmtId="0" fontId="10" fillId="0" borderId="0" xfId="0" applyFont="1"/>
    <xf numFmtId="0" fontId="9" fillId="0" borderId="0" xfId="0" applyFont="1" applyAlignment="1">
      <alignment horizontal="right"/>
    </xf>
    <xf numFmtId="170" fontId="0" fillId="0" borderId="0" xfId="2" applyNumberFormat="1" applyFont="1"/>
    <xf numFmtId="37" fontId="0" fillId="0" borderId="0" xfId="0" applyNumberFormat="1" applyAlignment="1">
      <alignment horizontal="center"/>
    </xf>
    <xf numFmtId="165" fontId="0" fillId="0" borderId="0" xfId="1" applyNumberFormat="1" applyFont="1"/>
    <xf numFmtId="37" fontId="0" fillId="4" borderId="0" xfId="0" applyNumberFormat="1" applyFill="1" applyAlignment="1">
      <alignment horizontal="center"/>
    </xf>
    <xf numFmtId="6" fontId="0" fillId="4" borderId="0" xfId="0" applyNumberFormat="1" applyFill="1"/>
    <xf numFmtId="6" fontId="3" fillId="0" borderId="0" xfId="0" applyNumberFormat="1" applyFont="1" applyFill="1" applyBorder="1"/>
    <xf numFmtId="6" fontId="3" fillId="0" borderId="0" xfId="0" applyNumberFormat="1" applyFont="1" applyBorder="1"/>
    <xf numFmtId="0" fontId="3" fillId="0" borderId="0" xfId="0" quotePrefix="1" applyFont="1" applyFill="1" applyBorder="1"/>
    <xf numFmtId="10" fontId="0" fillId="2" borderId="0" xfId="0" applyNumberFormat="1" applyFill="1" applyAlignment="1">
      <alignment horizontal="center"/>
    </xf>
    <xf numFmtId="6" fontId="0" fillId="0" borderId="0" xfId="0" applyNumberFormat="1"/>
    <xf numFmtId="6" fontId="0" fillId="3" borderId="0" xfId="0" applyNumberFormat="1" applyFill="1"/>
    <xf numFmtId="0" fontId="3" fillId="0" borderId="0" xfId="0" applyFont="1" applyFill="1" applyBorder="1" applyAlignment="1">
      <alignment horizontal="center"/>
    </xf>
    <xf numFmtId="6" fontId="1" fillId="0" borderId="1" xfId="0" applyNumberFormat="1" applyFont="1" applyFill="1" applyBorder="1"/>
    <xf numFmtId="0" fontId="0" fillId="0" borderId="1" xfId="0" quotePrefix="1" applyFill="1" applyBorder="1"/>
    <xf numFmtId="0" fontId="0" fillId="0" borderId="1" xfId="0" applyFill="1" applyBorder="1"/>
    <xf numFmtId="0" fontId="0" fillId="0" borderId="2" xfId="0" applyFill="1" applyBorder="1"/>
    <xf numFmtId="0" fontId="0" fillId="0" borderId="4" xfId="0" applyFill="1" applyBorder="1"/>
    <xf numFmtId="0" fontId="1" fillId="0" borderId="5" xfId="0" applyFont="1" applyFill="1" applyBorder="1" applyAlignment="1">
      <alignment horizontal="center"/>
    </xf>
    <xf numFmtId="0" fontId="0" fillId="0" borderId="6" xfId="0" applyFill="1" applyBorder="1"/>
    <xf numFmtId="0" fontId="0" fillId="0" borderId="7" xfId="0" applyFill="1" applyBorder="1"/>
    <xf numFmtId="0" fontId="1" fillId="0" borderId="3" xfId="0" applyFont="1" applyFill="1" applyBorder="1" applyAlignment="1">
      <alignment horizontal="left"/>
    </xf>
    <xf numFmtId="0" fontId="0" fillId="0" borderId="3" xfId="0" applyFill="1" applyBorder="1" applyAlignment="1">
      <alignment horizontal="center"/>
    </xf>
    <xf numFmtId="0" fontId="0" fillId="0" borderId="3" xfId="0" applyFill="1" applyBorder="1"/>
    <xf numFmtId="9" fontId="0" fillId="0" borderId="0" xfId="3" applyFont="1" applyFill="1" applyBorder="1" applyAlignment="1">
      <alignment horizontal="center"/>
    </xf>
    <xf numFmtId="10" fontId="1" fillId="0" borderId="3" xfId="3" applyNumberFormat="1" applyFont="1" applyFill="1" applyBorder="1" applyAlignment="1">
      <alignment horizontal="center"/>
    </xf>
    <xf numFmtId="0" fontId="1" fillId="0" borderId="0" xfId="0" applyFont="1" applyFill="1" applyBorder="1" applyAlignment="1">
      <alignment horizontal="left"/>
    </xf>
    <xf numFmtId="0" fontId="1" fillId="0" borderId="0" xfId="0" applyFont="1" applyFill="1" applyBorder="1"/>
    <xf numFmtId="3" fontId="0" fillId="0" borderId="0" xfId="0" applyNumberFormat="1" applyAlignment="1">
      <alignment horizontal="center"/>
    </xf>
    <xf numFmtId="0" fontId="1" fillId="0" borderId="6" xfId="0" applyFont="1" applyBorder="1" applyAlignment="1">
      <alignment horizontal="center"/>
    </xf>
    <xf numFmtId="9" fontId="1" fillId="0" borderId="0" xfId="0" applyNumberFormat="1" applyFont="1"/>
    <xf numFmtId="0" fontId="11" fillId="0" borderId="0" xfId="0" applyFont="1" applyFill="1" applyAlignment="1">
      <alignment horizontal="center"/>
    </xf>
    <xf numFmtId="0" fontId="13" fillId="0" borderId="0" xfId="0" applyFont="1"/>
    <xf numFmtId="3" fontId="13" fillId="0" borderId="0" xfId="0" applyNumberFormat="1" applyFont="1" applyFill="1" applyAlignment="1">
      <alignment horizontal="center"/>
    </xf>
    <xf numFmtId="0" fontId="13" fillId="0" borderId="0" xfId="0" applyFont="1" applyAlignment="1">
      <alignment horizontal="center"/>
    </xf>
    <xf numFmtId="3" fontId="12" fillId="5" borderId="0" xfId="0" applyNumberFormat="1" applyFont="1" applyFill="1" applyAlignment="1">
      <alignment horizontal="center"/>
    </xf>
    <xf numFmtId="0" fontId="3" fillId="0" borderId="0" xfId="0" applyFont="1" applyAlignment="1">
      <alignment horizontal="center"/>
    </xf>
    <xf numFmtId="0" fontId="1" fillId="0" borderId="3" xfId="0" applyFont="1" applyBorder="1" applyAlignment="1">
      <alignment horizontal="left"/>
    </xf>
    <xf numFmtId="6" fontId="1" fillId="0" borderId="6" xfId="0" applyNumberFormat="1" applyFont="1" applyBorder="1" applyAlignment="1">
      <alignment horizontal="center"/>
    </xf>
    <xf numFmtId="0" fontId="1" fillId="5" borderId="8" xfId="0" applyFont="1" applyFill="1" applyBorder="1" applyAlignment="1">
      <alignment horizontal="left"/>
    </xf>
    <xf numFmtId="0" fontId="1" fillId="5" borderId="8" xfId="0" applyFont="1" applyFill="1" applyBorder="1" applyAlignment="1">
      <alignment horizontal="center"/>
    </xf>
    <xf numFmtId="10" fontId="1" fillId="0" borderId="0" xfId="3" applyNumberFormat="1" applyFont="1" applyFill="1" applyBorder="1" applyAlignment="1">
      <alignment horizontal="center"/>
    </xf>
    <xf numFmtId="10" fontId="3" fillId="0" borderId="0" xfId="3" applyNumberFormat="1" applyFont="1" applyFill="1" applyBorder="1" applyAlignment="1">
      <alignment horizontal="center"/>
    </xf>
    <xf numFmtId="3" fontId="13" fillId="6" borderId="0" xfId="0" applyNumberFormat="1" applyFont="1" applyFill="1" applyAlignment="1">
      <alignment horizontal="center"/>
    </xf>
    <xf numFmtId="0" fontId="1" fillId="0" borderId="6" xfId="0" quotePrefix="1" applyFont="1" applyBorder="1"/>
    <xf numFmtId="0" fontId="1" fillId="7" borderId="3" xfId="0" applyFont="1" applyFill="1" applyBorder="1" applyAlignment="1">
      <alignment horizontal="center"/>
    </xf>
    <xf numFmtId="9" fontId="1" fillId="7" borderId="0" xfId="0" applyNumberFormat="1" applyFont="1" applyFill="1" applyBorder="1" applyAlignment="1">
      <alignment horizontal="center"/>
    </xf>
    <xf numFmtId="171" fontId="0" fillId="0" borderId="0" xfId="0" applyNumberFormat="1" applyBorder="1"/>
    <xf numFmtId="172" fontId="0" fillId="0" borderId="0" xfId="0" applyNumberFormat="1" applyBorder="1"/>
    <xf numFmtId="168" fontId="1" fillId="0" borderId="0" xfId="2" quotePrefix="1" applyNumberFormat="1" applyFont="1" applyBorder="1" applyAlignment="1">
      <alignment horizontal="center"/>
    </xf>
    <xf numFmtId="0" fontId="1" fillId="0" borderId="6" xfId="0" applyFont="1" applyBorder="1"/>
    <xf numFmtId="0" fontId="14" fillId="0" borderId="6" xfId="0" applyFont="1" applyFill="1" applyBorder="1" applyAlignment="1">
      <alignment horizontal="center"/>
    </xf>
    <xf numFmtId="3" fontId="0" fillId="4" borderId="0" xfId="0" applyNumberFormat="1" applyFill="1" applyAlignment="1">
      <alignment horizontal="center"/>
    </xf>
    <xf numFmtId="0" fontId="1" fillId="4" borderId="8" xfId="0" applyFont="1" applyFill="1" applyBorder="1" applyAlignment="1">
      <alignment horizontal="center"/>
    </xf>
    <xf numFmtId="0" fontId="1" fillId="8" borderId="1" xfId="0" applyFont="1" applyFill="1" applyBorder="1"/>
    <xf numFmtId="9" fontId="3" fillId="0" borderId="0" xfId="3" applyFont="1" applyFill="1" applyBorder="1" applyAlignment="1">
      <alignment horizontal="left"/>
    </xf>
    <xf numFmtId="168" fontId="0" fillId="0" borderId="0" xfId="2" applyNumberFormat="1" applyFont="1" applyBorder="1" applyAlignment="1">
      <alignment horizontal="left"/>
    </xf>
    <xf numFmtId="10" fontId="3" fillId="0" borderId="3" xfId="3" applyNumberFormat="1" applyFont="1" applyFill="1" applyBorder="1" applyAlignment="1">
      <alignment horizontal="center"/>
    </xf>
    <xf numFmtId="0" fontId="0" fillId="0" borderId="5" xfId="0" applyBorder="1" applyAlignment="1">
      <alignment horizontal="center"/>
    </xf>
    <xf numFmtId="168" fontId="0" fillId="0" borderId="6" xfId="2" applyNumberFormat="1" applyFont="1" applyBorder="1" applyAlignment="1">
      <alignment horizontal="left"/>
    </xf>
    <xf numFmtId="10" fontId="1" fillId="8" borderId="3" xfId="3" applyNumberFormat="1" applyFont="1" applyFill="1" applyBorder="1" applyAlignment="1">
      <alignment horizontal="center"/>
    </xf>
    <xf numFmtId="10" fontId="3" fillId="8" borderId="3" xfId="3" applyNumberFormat="1" applyFont="1" applyFill="1" applyBorder="1" applyAlignment="1">
      <alignment horizontal="center"/>
    </xf>
    <xf numFmtId="0" fontId="6" fillId="0" borderId="9" xfId="0" applyFont="1" applyBorder="1" applyAlignment="1">
      <alignment horizontal="center"/>
    </xf>
    <xf numFmtId="6" fontId="6" fillId="0" borderId="5" xfId="0" applyNumberFormat="1" applyFont="1" applyBorder="1" applyAlignment="1">
      <alignment horizontal="center"/>
    </xf>
    <xf numFmtId="6" fontId="0" fillId="0" borderId="6" xfId="1" applyNumberFormat="1" applyFont="1" applyBorder="1" applyAlignment="1">
      <alignment horizontal="center"/>
    </xf>
    <xf numFmtId="166" fontId="6" fillId="0" borderId="0" xfId="0" applyNumberFormat="1" applyFont="1" applyAlignment="1">
      <alignment horizontal="center"/>
    </xf>
    <xf numFmtId="165" fontId="0" fillId="6" borderId="0" xfId="1" applyNumberFormat="1" applyFont="1" applyFill="1"/>
    <xf numFmtId="168" fontId="0" fillId="0" borderId="10" xfId="0" applyNumberFormat="1" applyBorder="1" applyAlignment="1">
      <alignment horizontal="center"/>
    </xf>
    <xf numFmtId="167" fontId="0" fillId="0" borderId="0" xfId="0" applyNumberFormat="1" applyBorder="1" applyAlignment="1">
      <alignment horizontal="center"/>
    </xf>
    <xf numFmtId="166" fontId="1" fillId="0" borderId="0" xfId="0" applyNumberFormat="1" applyFont="1" applyBorder="1" applyAlignment="1">
      <alignment horizontal="center"/>
    </xf>
    <xf numFmtId="0" fontId="0"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0" fillId="0" borderId="0" xfId="0" quotePrefix="1" applyNumberFormat="1" applyFill="1" applyBorder="1"/>
    <xf numFmtId="0" fontId="1" fillId="0" borderId="0" xfId="0" applyFont="1" applyFill="1" applyBorder="1"/>
    <xf numFmtId="0" fontId="1" fillId="4" borderId="11" xfId="0" applyFont="1" applyFill="1" applyBorder="1"/>
    <xf numFmtId="0" fontId="0" fillId="4" borderId="12" xfId="0" applyFill="1" applyBorder="1"/>
  </cellXfs>
  <cellStyles count="14">
    <cellStyle name="Comma" xfId="1" builtinId="3"/>
    <cellStyle name="Currency" xfId="2" builtinId="4"/>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Normal" xfId="0" builtinId="0"/>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1016001</xdr:colOff>
      <xdr:row>12</xdr:row>
      <xdr:rowOff>95250</xdr:rowOff>
    </xdr:from>
    <xdr:to>
      <xdr:col>6</xdr:col>
      <xdr:colOff>296333</xdr:colOff>
      <xdr:row>17</xdr:row>
      <xdr:rowOff>127000</xdr:rowOff>
    </xdr:to>
    <xdr:cxnSp macro="">
      <xdr:nvCxnSpPr>
        <xdr:cNvPr id="3" name="Straight Arrow Connector 2">
          <a:extLst>
            <a:ext uri="{FF2B5EF4-FFF2-40B4-BE49-F238E27FC236}">
              <a16:creationId xmlns:a16="http://schemas.microsoft.com/office/drawing/2014/main" id="{D107B5EC-D8A8-BC4A-B573-90D5DBE26DE7}"/>
            </a:ext>
          </a:extLst>
        </xdr:cNvPr>
        <xdr:cNvCxnSpPr/>
      </xdr:nvCxnSpPr>
      <xdr:spPr>
        <a:xfrm flipH="1">
          <a:off x="4794251" y="1629833"/>
          <a:ext cx="1661582" cy="878417"/>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296333</xdr:colOff>
      <xdr:row>12</xdr:row>
      <xdr:rowOff>116417</xdr:rowOff>
    </xdr:from>
    <xdr:to>
      <xdr:col>11</xdr:col>
      <xdr:colOff>169333</xdr:colOff>
      <xdr:row>18</xdr:row>
      <xdr:rowOff>0</xdr:rowOff>
    </xdr:to>
    <xdr:cxnSp macro="">
      <xdr:nvCxnSpPr>
        <xdr:cNvPr id="6" name="Straight Arrow Connector 5">
          <a:extLst>
            <a:ext uri="{FF2B5EF4-FFF2-40B4-BE49-F238E27FC236}">
              <a16:creationId xmlns:a16="http://schemas.microsoft.com/office/drawing/2014/main" id="{DEA08B40-DEFE-584C-98E7-EEC1E044E8A1}"/>
            </a:ext>
          </a:extLst>
        </xdr:cNvPr>
        <xdr:cNvCxnSpPr/>
      </xdr:nvCxnSpPr>
      <xdr:spPr>
        <a:xfrm>
          <a:off x="6455833" y="1651000"/>
          <a:ext cx="3227917" cy="89958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395922</xdr:colOff>
      <xdr:row>7</xdr:row>
      <xdr:rowOff>97269</xdr:rowOff>
    </xdr:from>
    <xdr:to>
      <xdr:col>11</xdr:col>
      <xdr:colOff>290885</xdr:colOff>
      <xdr:row>29</xdr:row>
      <xdr:rowOff>87722</xdr:rowOff>
    </xdr:to>
    <xdr:sp macro="" textlink="">
      <xdr:nvSpPr>
        <xdr:cNvPr id="2" name="TextBox 1">
          <a:extLst>
            <a:ext uri="{FF2B5EF4-FFF2-40B4-BE49-F238E27FC236}">
              <a16:creationId xmlns:a16="http://schemas.microsoft.com/office/drawing/2014/main" id="{404F896E-6B2E-2041-849A-FDA510395465}"/>
            </a:ext>
          </a:extLst>
        </xdr:cNvPr>
        <xdr:cNvSpPr txBox="1"/>
      </xdr:nvSpPr>
      <xdr:spPr>
        <a:xfrm>
          <a:off x="7077638" y="1225105"/>
          <a:ext cx="3231083" cy="36488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a:t>
          </a:r>
          <a:r>
            <a:rPr lang="en-US" sz="1100" baseline="0"/>
            <a:t> couple of comments.  </a:t>
          </a:r>
        </a:p>
        <a:p>
          <a:endParaRPr lang="en-US" sz="1100" baseline="0"/>
        </a:p>
        <a:p>
          <a:r>
            <a:rPr lang="en-US" sz="1100" baseline="0"/>
            <a:t>For some reason, the table margins (Ann. Int. Rate &amp; Loan Amount  values) cannot refer to cells that are used to caculate the Payment amount.  For example, if C11 refers to C2, the table values are incorrect, but they are not so obviously incorrect.  That's why I do a couple of check tests to make sure that values are ok. The same  thing happens if D10 refers to cell C3.  Be careful. </a:t>
          </a:r>
        </a:p>
        <a:p>
          <a:endParaRPr lang="en-US" sz="1100" baseline="0"/>
        </a:p>
        <a:p>
          <a:r>
            <a:rPr lang="en-US" sz="1100" baseline="0"/>
            <a:t>But note that the cell C10 must refer to a calculated value (here C5), which will be changed in the table as the interest rate and loan amount change.</a:t>
          </a:r>
        </a:p>
        <a:p>
          <a:endParaRPr lang="en-US" sz="1100" baseline="0"/>
        </a:p>
        <a:p>
          <a:r>
            <a:rPr lang="en-US" sz="1100" baseline="0"/>
            <a:t>To complete the table, after setting up the table margins, including C10, select C10: G14, then select </a:t>
          </a:r>
          <a:r>
            <a:rPr lang="en-US" sz="1100" i="1" baseline="0"/>
            <a:t>Data / What-If Analysis /Data table</a:t>
          </a:r>
          <a:r>
            <a:rPr lang="en-US" sz="1100" baseline="0"/>
            <a:t>.  For row input, select $C$3 and for column input select $C$2.  The $ sign just creates an absolute reference to each cell.</a:t>
          </a:r>
        </a:p>
        <a:p>
          <a:endParaRPr lang="en-US" sz="1100" baseline="0"/>
        </a:p>
        <a:p>
          <a:endParaRPr lang="en-US" sz="1100"/>
        </a:p>
      </xdr:txBody>
    </xdr:sp>
    <xdr:clientData/>
  </xdr:twoCellAnchor>
  <xdr:twoCellAnchor>
    <xdr:from>
      <xdr:col>4</xdr:col>
      <xdr:colOff>9549</xdr:colOff>
      <xdr:row>12</xdr:row>
      <xdr:rowOff>9549</xdr:rowOff>
    </xdr:from>
    <xdr:to>
      <xdr:col>5</xdr:col>
      <xdr:colOff>200527</xdr:colOff>
      <xdr:row>22</xdr:row>
      <xdr:rowOff>19098</xdr:rowOff>
    </xdr:to>
    <xdr:cxnSp macro="">
      <xdr:nvCxnSpPr>
        <xdr:cNvPr id="5" name="Straight Connector 4">
          <a:extLst>
            <a:ext uri="{FF2B5EF4-FFF2-40B4-BE49-F238E27FC236}">
              <a16:creationId xmlns:a16="http://schemas.microsoft.com/office/drawing/2014/main" id="{2BC33445-16BC-C049-94BB-C0B9959B0139}"/>
            </a:ext>
          </a:extLst>
        </xdr:cNvPr>
        <xdr:cNvCxnSpPr/>
      </xdr:nvCxnSpPr>
      <xdr:spPr>
        <a:xfrm flipH="1">
          <a:off x="4163308" y="2033910"/>
          <a:ext cx="1012181" cy="1632857"/>
        </a:xfrm>
        <a:prstGeom prst="line">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Q297"/>
  <sheetViews>
    <sheetView showGridLines="0" tabSelected="1" topLeftCell="A146" zoomScale="130" zoomScaleNormal="130" workbookViewId="0">
      <selection activeCell="C37" sqref="C37"/>
    </sheetView>
  </sheetViews>
  <sheetFormatPr baseColWidth="10" defaultColWidth="11" defaultRowHeight="13" x14ac:dyDescent="0.15"/>
  <cols>
    <col min="1" max="1" width="2.5" customWidth="1"/>
    <col min="2" max="2" width="20.33203125" customWidth="1"/>
    <col min="3" max="3" width="29.1640625" customWidth="1"/>
    <col min="4" max="4" width="34.6640625" customWidth="1"/>
    <col min="5" max="5" width="20.6640625" customWidth="1"/>
    <col min="6" max="6" width="52" customWidth="1"/>
    <col min="7" max="7" width="19.33203125" customWidth="1"/>
    <col min="8" max="8" width="24.33203125" customWidth="1"/>
    <col min="11" max="11" width="12.83203125" customWidth="1"/>
  </cols>
  <sheetData>
    <row r="2" spans="2:7" x14ac:dyDescent="0.15">
      <c r="B2" s="61" t="s">
        <v>5</v>
      </c>
      <c r="C2" s="49"/>
    </row>
    <row r="3" spans="2:7" x14ac:dyDescent="0.15">
      <c r="B3" s="61" t="s">
        <v>50</v>
      </c>
      <c r="C3" s="49"/>
    </row>
    <row r="4" spans="2:7" x14ac:dyDescent="0.15">
      <c r="B4" s="61" t="s">
        <v>109</v>
      </c>
      <c r="C4" s="49"/>
      <c r="G4" s="48"/>
    </row>
    <row r="5" spans="2:7" ht="14" thickBot="1" x14ac:dyDescent="0.2">
      <c r="B5" s="62"/>
      <c r="G5" s="48"/>
    </row>
    <row r="6" spans="2:7" ht="14" thickBot="1" x14ac:dyDescent="0.2">
      <c r="B6" s="176" t="s">
        <v>117</v>
      </c>
      <c r="C6" s="191" t="s">
        <v>120</v>
      </c>
      <c r="D6" s="2"/>
      <c r="E6" s="2"/>
      <c r="F6" s="3"/>
      <c r="G6" s="48"/>
    </row>
    <row r="7" spans="2:7" x14ac:dyDescent="0.15">
      <c r="B7" s="174" t="s">
        <v>112</v>
      </c>
      <c r="C7" s="48"/>
      <c r="D7" s="48"/>
      <c r="E7" s="48"/>
      <c r="F7" s="6"/>
      <c r="G7" s="48"/>
    </row>
    <row r="8" spans="2:7" x14ac:dyDescent="0.15">
      <c r="B8" s="28" t="s">
        <v>36</v>
      </c>
      <c r="C8" s="10">
        <v>40</v>
      </c>
      <c r="D8" s="48"/>
      <c r="E8" s="48"/>
      <c r="F8" s="6"/>
      <c r="G8" s="48"/>
    </row>
    <row r="9" spans="2:7" x14ac:dyDescent="0.15">
      <c r="B9" s="28" t="s">
        <v>114</v>
      </c>
      <c r="C9" s="16">
        <v>0.1</v>
      </c>
      <c r="D9" s="48"/>
      <c r="E9" s="48"/>
      <c r="F9" s="6"/>
      <c r="G9" s="48"/>
    </row>
    <row r="10" spans="2:7" x14ac:dyDescent="0.15">
      <c r="B10" s="28" t="s">
        <v>7</v>
      </c>
      <c r="C10" s="64">
        <v>-2000</v>
      </c>
      <c r="D10" s="48"/>
      <c r="E10" s="48"/>
      <c r="F10" s="6"/>
      <c r="G10" s="48"/>
    </row>
    <row r="11" spans="2:7" x14ac:dyDescent="0.15">
      <c r="B11" s="28" t="s">
        <v>6</v>
      </c>
      <c r="C11" s="10">
        <v>0</v>
      </c>
      <c r="D11" s="48"/>
      <c r="E11" s="48"/>
      <c r="F11" s="6"/>
      <c r="G11" s="48"/>
    </row>
    <row r="12" spans="2:7" x14ac:dyDescent="0.15">
      <c r="B12" s="14" t="s">
        <v>11</v>
      </c>
      <c r="C12" s="66">
        <f>FV(C9,C8,C10,C11)</f>
        <v>885185.11136352143</v>
      </c>
      <c r="D12" s="33" t="s">
        <v>122</v>
      </c>
      <c r="E12" s="48"/>
      <c r="F12" s="6"/>
      <c r="G12" s="48"/>
    </row>
    <row r="13" spans="2:7" x14ac:dyDescent="0.15">
      <c r="B13" s="9"/>
      <c r="C13" s="10"/>
      <c r="D13" s="48"/>
      <c r="E13" s="48"/>
      <c r="F13" s="6"/>
      <c r="G13" s="48"/>
    </row>
    <row r="14" spans="2:7" x14ac:dyDescent="0.15">
      <c r="B14" s="174" t="s">
        <v>113</v>
      </c>
      <c r="C14" s="48"/>
      <c r="D14" s="48"/>
      <c r="E14" s="48"/>
      <c r="F14" s="6"/>
      <c r="G14" s="48"/>
    </row>
    <row r="15" spans="2:7" x14ac:dyDescent="0.15">
      <c r="B15" s="28" t="s">
        <v>116</v>
      </c>
      <c r="C15" s="10">
        <v>8</v>
      </c>
      <c r="D15" s="48"/>
      <c r="E15" s="48"/>
      <c r="F15" s="6"/>
      <c r="G15" s="48"/>
    </row>
    <row r="16" spans="2:7" x14ac:dyDescent="0.15">
      <c r="B16" s="28" t="s">
        <v>114</v>
      </c>
      <c r="C16" s="16">
        <v>0.1</v>
      </c>
      <c r="D16" s="48"/>
      <c r="E16" s="48"/>
      <c r="F16" s="6"/>
      <c r="G16" s="48"/>
    </row>
    <row r="17" spans="2:7" x14ac:dyDescent="0.15">
      <c r="B17" s="28" t="s">
        <v>7</v>
      </c>
      <c r="C17" s="64">
        <v>-2000</v>
      </c>
      <c r="D17" s="48"/>
      <c r="E17" s="48"/>
      <c r="F17" s="6"/>
      <c r="G17" s="48"/>
    </row>
    <row r="18" spans="2:7" x14ac:dyDescent="0.15">
      <c r="B18" s="28" t="s">
        <v>6</v>
      </c>
      <c r="C18" s="10">
        <v>0</v>
      </c>
      <c r="D18" s="48"/>
      <c r="E18" s="48"/>
      <c r="F18" s="6"/>
      <c r="G18" s="48"/>
    </row>
    <row r="19" spans="2:7" x14ac:dyDescent="0.15">
      <c r="B19" s="14" t="s">
        <v>115</v>
      </c>
      <c r="C19" s="66">
        <f>FV(C16,C15,C17,C18)</f>
        <v>22871.776200000022</v>
      </c>
      <c r="D19" s="33" t="s">
        <v>122</v>
      </c>
      <c r="E19" s="48"/>
      <c r="F19" s="6"/>
      <c r="G19" s="48"/>
    </row>
    <row r="20" spans="2:7" x14ac:dyDescent="0.15">
      <c r="B20" s="28"/>
      <c r="C20" s="64"/>
      <c r="D20" s="48"/>
      <c r="E20" s="48"/>
      <c r="F20" s="6"/>
      <c r="G20" s="48"/>
    </row>
    <row r="21" spans="2:7" x14ac:dyDescent="0.15">
      <c r="B21" s="28" t="s">
        <v>36</v>
      </c>
      <c r="C21" s="10">
        <v>39</v>
      </c>
      <c r="D21" s="125" t="s">
        <v>121</v>
      </c>
      <c r="E21" s="48"/>
      <c r="F21" s="6"/>
      <c r="G21" s="48"/>
    </row>
    <row r="22" spans="2:7" x14ac:dyDescent="0.15">
      <c r="B22" s="28" t="s">
        <v>114</v>
      </c>
      <c r="C22" s="16">
        <v>0.1</v>
      </c>
      <c r="D22" s="125" t="s">
        <v>150</v>
      </c>
      <c r="E22" s="48"/>
      <c r="F22" s="6"/>
      <c r="G22" s="48"/>
    </row>
    <row r="23" spans="2:7" x14ac:dyDescent="0.15">
      <c r="B23" s="28" t="s">
        <v>7</v>
      </c>
      <c r="C23" s="10">
        <v>0</v>
      </c>
      <c r="D23" s="48"/>
      <c r="E23" s="48"/>
      <c r="F23" s="6"/>
      <c r="G23" s="48"/>
    </row>
    <row r="24" spans="2:7" x14ac:dyDescent="0.15">
      <c r="B24" s="28" t="s">
        <v>6</v>
      </c>
      <c r="C24" s="64">
        <f>-C19</f>
        <v>-22871.776200000022</v>
      </c>
      <c r="D24" s="125" t="s">
        <v>151</v>
      </c>
      <c r="E24" s="48"/>
      <c r="F24" s="6"/>
      <c r="G24" s="48"/>
    </row>
    <row r="25" spans="2:7" ht="14" thickBot="1" x14ac:dyDescent="0.2">
      <c r="B25" s="19" t="s">
        <v>11</v>
      </c>
      <c r="C25" s="175">
        <f>FV(C22,C21,C23,C24)</f>
        <v>941054.14939448005</v>
      </c>
      <c r="D25" s="181" t="s">
        <v>122</v>
      </c>
      <c r="E25" s="7"/>
      <c r="F25" s="8"/>
      <c r="G25" s="48"/>
    </row>
    <row r="26" spans="2:7" ht="14" thickBot="1" x14ac:dyDescent="0.2">
      <c r="B26" s="173"/>
      <c r="C26" s="98"/>
      <c r="G26" s="48"/>
    </row>
    <row r="27" spans="2:7" ht="14" thickBot="1" x14ac:dyDescent="0.2">
      <c r="B27" s="46" t="s">
        <v>98</v>
      </c>
      <c r="C27" s="152"/>
      <c r="D27" s="152"/>
      <c r="E27" s="152"/>
      <c r="F27" s="153"/>
      <c r="G27" s="48"/>
    </row>
    <row r="28" spans="2:7" x14ac:dyDescent="0.15">
      <c r="B28" s="159"/>
      <c r="C28" s="27"/>
      <c r="D28" s="27"/>
      <c r="E28" s="27"/>
      <c r="F28" s="154"/>
      <c r="G28" s="48"/>
    </row>
    <row r="29" spans="2:7" x14ac:dyDescent="0.15">
      <c r="B29" s="159">
        <v>3960</v>
      </c>
      <c r="C29" s="76" t="s">
        <v>99</v>
      </c>
      <c r="D29" s="27"/>
      <c r="E29" s="27"/>
      <c r="F29" s="154"/>
      <c r="G29" s="48"/>
    </row>
    <row r="30" spans="2:7" x14ac:dyDescent="0.15">
      <c r="B30" s="159">
        <v>40</v>
      </c>
      <c r="C30" s="149" t="s">
        <v>100</v>
      </c>
      <c r="D30" s="27"/>
      <c r="E30" s="27"/>
      <c r="F30" s="154"/>
      <c r="G30" s="48"/>
    </row>
    <row r="31" spans="2:7" x14ac:dyDescent="0.15">
      <c r="B31" s="162">
        <f>B30/B29</f>
        <v>1.0101010101010102E-2</v>
      </c>
      <c r="C31" s="163" t="s">
        <v>102</v>
      </c>
      <c r="D31" s="27"/>
      <c r="E31" s="27"/>
      <c r="F31" s="154"/>
      <c r="G31" s="48"/>
    </row>
    <row r="32" spans="2:7" x14ac:dyDescent="0.15">
      <c r="B32" s="197">
        <f>B31*26</f>
        <v>0.26262626262626265</v>
      </c>
      <c r="C32" s="106" t="s">
        <v>110</v>
      </c>
      <c r="D32" s="27"/>
      <c r="E32" s="27"/>
      <c r="F32" s="154"/>
      <c r="G32" s="48"/>
    </row>
    <row r="33" spans="2:15" x14ac:dyDescent="0.15">
      <c r="B33" s="197">
        <f>(1+B31)^26 -1</f>
        <v>0.29862853198232742</v>
      </c>
      <c r="C33" s="134" t="s">
        <v>101</v>
      </c>
      <c r="D33" s="134"/>
      <c r="E33" s="27"/>
      <c r="F33" s="154"/>
      <c r="G33" s="48"/>
    </row>
    <row r="34" spans="2:15" x14ac:dyDescent="0.15">
      <c r="B34" s="162"/>
      <c r="C34" s="163"/>
      <c r="D34" s="27"/>
      <c r="E34" s="27"/>
      <c r="F34" s="154"/>
      <c r="G34" s="48"/>
    </row>
    <row r="35" spans="2:15" x14ac:dyDescent="0.15">
      <c r="B35" s="160"/>
      <c r="C35" s="192" t="s">
        <v>152</v>
      </c>
      <c r="D35" s="27"/>
      <c r="E35" s="27"/>
      <c r="F35" s="154"/>
      <c r="G35" s="48"/>
    </row>
    <row r="36" spans="2:15" x14ac:dyDescent="0.15">
      <c r="B36" s="198">
        <f>((1.0101^(26/12)) - 1) * 12</f>
        <v>0.26414801797071252</v>
      </c>
      <c r="C36" s="125" t="s">
        <v>175</v>
      </c>
      <c r="D36" s="27"/>
      <c r="E36" s="27"/>
      <c r="F36" s="154"/>
      <c r="G36" s="48"/>
    </row>
    <row r="37" spans="2:15" x14ac:dyDescent="0.15">
      <c r="B37" s="4"/>
      <c r="C37" s="134" t="s">
        <v>153</v>
      </c>
      <c r="D37" s="134" t="s">
        <v>154</v>
      </c>
      <c r="E37" s="27"/>
      <c r="F37" s="154"/>
      <c r="G37" s="48"/>
    </row>
    <row r="38" spans="2:15" x14ac:dyDescent="0.15">
      <c r="B38" s="194"/>
      <c r="C38" s="134"/>
      <c r="D38" s="134"/>
      <c r="E38" s="27"/>
      <c r="F38" s="154"/>
      <c r="G38" s="48"/>
    </row>
    <row r="39" spans="2:15" x14ac:dyDescent="0.15">
      <c r="B39" s="194"/>
      <c r="C39" s="48"/>
      <c r="D39" s="134"/>
      <c r="E39" s="27"/>
      <c r="F39" s="154"/>
      <c r="G39" s="48"/>
    </row>
    <row r="40" spans="2:15" x14ac:dyDescent="0.15">
      <c r="B40" s="198">
        <f>(40/3960) * 365 / 14</f>
        <v>0.26334776334776339</v>
      </c>
      <c r="C40" s="134" t="s">
        <v>157</v>
      </c>
      <c r="D40" s="134"/>
      <c r="E40" s="27"/>
      <c r="F40" s="154"/>
      <c r="G40" s="48"/>
    </row>
    <row r="41" spans="2:15" x14ac:dyDescent="0.15">
      <c r="B41" s="4"/>
      <c r="C41" s="134" t="s">
        <v>171</v>
      </c>
      <c r="D41" s="134"/>
      <c r="E41" s="27"/>
      <c r="F41" s="154"/>
      <c r="G41" s="48"/>
    </row>
    <row r="42" spans="2:15" ht="14" thickBot="1" x14ac:dyDescent="0.2">
      <c r="B42" s="195"/>
      <c r="C42" s="196"/>
      <c r="D42" s="7"/>
      <c r="E42" s="7"/>
      <c r="F42" s="8"/>
    </row>
    <row r="43" spans="2:15" x14ac:dyDescent="0.15">
      <c r="B43" s="10"/>
      <c r="C43" s="193"/>
      <c r="D43" s="48"/>
      <c r="E43" s="48"/>
      <c r="F43" s="48"/>
    </row>
    <row r="44" spans="2:15" ht="14" thickBot="1" x14ac:dyDescent="0.2">
      <c r="B44" s="10"/>
      <c r="C44" s="193"/>
      <c r="D44" s="48"/>
      <c r="E44" s="48"/>
      <c r="F44" s="48"/>
    </row>
    <row r="45" spans="2:15" ht="14" thickBot="1" x14ac:dyDescent="0.2">
      <c r="B45" s="46" t="s">
        <v>118</v>
      </c>
      <c r="C45" s="2"/>
      <c r="D45" s="2"/>
      <c r="E45" s="2"/>
      <c r="F45" s="3"/>
      <c r="H45" s="5"/>
      <c r="J45" s="5"/>
      <c r="K45" s="5"/>
      <c r="L45" s="5"/>
      <c r="M45" s="5"/>
      <c r="N45" s="5"/>
      <c r="O45" s="5"/>
    </row>
    <row r="46" spans="2:15" x14ac:dyDescent="0.15">
      <c r="B46" s="182" t="s">
        <v>123</v>
      </c>
      <c r="C46" s="183">
        <v>0.03</v>
      </c>
      <c r="D46" s="48"/>
      <c r="E46" s="48"/>
      <c r="F46" s="6"/>
      <c r="H46" s="48"/>
      <c r="J46" s="48"/>
      <c r="K46" s="48"/>
      <c r="L46" s="48"/>
      <c r="M46" s="48"/>
      <c r="N46" s="48"/>
      <c r="O46" s="48"/>
    </row>
    <row r="47" spans="2:15" x14ac:dyDescent="0.15">
      <c r="B47" s="24"/>
      <c r="C47" s="10"/>
      <c r="D47" s="48"/>
      <c r="E47" s="48"/>
      <c r="F47" s="6"/>
      <c r="H47" s="5"/>
      <c r="J47" s="5"/>
      <c r="K47" s="5"/>
      <c r="L47" s="5"/>
      <c r="M47" s="5"/>
      <c r="N47" s="5"/>
      <c r="O47" s="5"/>
    </row>
    <row r="48" spans="2:15" x14ac:dyDescent="0.15">
      <c r="B48" s="9" t="s">
        <v>6</v>
      </c>
      <c r="C48" s="65">
        <v>500000</v>
      </c>
      <c r="D48" s="48"/>
      <c r="E48" s="48"/>
      <c r="F48" s="6"/>
      <c r="H48" s="5"/>
      <c r="J48" s="5"/>
      <c r="K48" s="5"/>
      <c r="L48" s="5"/>
      <c r="M48" s="5"/>
      <c r="N48" s="5"/>
      <c r="O48" s="5"/>
    </row>
    <row r="49" spans="2:15" x14ac:dyDescent="0.15">
      <c r="B49" s="9" t="s">
        <v>1</v>
      </c>
      <c r="C49" s="12">
        <f>$C$46/12</f>
        <v>2.5000000000000001E-3</v>
      </c>
      <c r="D49" s="125" t="s">
        <v>134</v>
      </c>
      <c r="E49" s="48"/>
      <c r="F49" s="6"/>
      <c r="H49" s="5"/>
      <c r="J49" s="5"/>
      <c r="K49" s="5"/>
      <c r="L49" s="5"/>
      <c r="M49" s="5"/>
      <c r="N49" s="5"/>
      <c r="O49" s="5"/>
    </row>
    <row r="50" spans="2:15" x14ac:dyDescent="0.15">
      <c r="B50" s="9" t="s">
        <v>36</v>
      </c>
      <c r="C50" s="10">
        <v>360</v>
      </c>
      <c r="D50" s="48" t="s">
        <v>4</v>
      </c>
      <c r="E50" s="48"/>
      <c r="F50" s="6"/>
      <c r="H50" s="5"/>
      <c r="J50" s="5"/>
      <c r="K50" s="5"/>
      <c r="L50" s="5"/>
      <c r="M50" s="5"/>
      <c r="N50" s="5"/>
      <c r="O50" s="5"/>
    </row>
    <row r="51" spans="2:15" x14ac:dyDescent="0.15">
      <c r="B51" s="9" t="s">
        <v>11</v>
      </c>
      <c r="C51" s="10">
        <v>0</v>
      </c>
      <c r="D51" s="48" t="s">
        <v>47</v>
      </c>
      <c r="E51" s="48"/>
      <c r="F51" s="6"/>
      <c r="H51" s="5"/>
      <c r="J51" s="5"/>
      <c r="K51" s="5"/>
      <c r="L51" s="5"/>
      <c r="M51" s="5"/>
      <c r="N51" s="5"/>
      <c r="O51" s="5"/>
    </row>
    <row r="52" spans="2:15" x14ac:dyDescent="0.15">
      <c r="B52" s="14" t="s">
        <v>7</v>
      </c>
      <c r="C52" s="66">
        <f>PMT(C49,C50,C48)</f>
        <v>-2108.0201686472524</v>
      </c>
      <c r="D52" s="33" t="s">
        <v>12</v>
      </c>
      <c r="E52" s="48"/>
      <c r="F52" s="6"/>
      <c r="H52" s="5"/>
      <c r="J52" s="5"/>
      <c r="K52" s="5"/>
      <c r="L52" s="5"/>
      <c r="M52" s="5"/>
      <c r="N52" s="5"/>
      <c r="O52" s="5"/>
    </row>
    <row r="53" spans="2:15" ht="14" thickBot="1" x14ac:dyDescent="0.2">
      <c r="B53" s="14"/>
      <c r="C53" s="66"/>
      <c r="D53" s="33"/>
      <c r="E53" s="48"/>
      <c r="F53" s="6"/>
      <c r="H53" s="48"/>
      <c r="J53" s="48"/>
      <c r="K53" s="48"/>
      <c r="L53" s="48"/>
      <c r="M53" s="48"/>
      <c r="N53" s="48"/>
      <c r="O53" s="48"/>
    </row>
    <row r="54" spans="2:15" ht="14" thickBot="1" x14ac:dyDescent="0.2">
      <c r="B54" s="177" t="s">
        <v>8</v>
      </c>
      <c r="E54" s="48"/>
      <c r="F54" s="6"/>
      <c r="H54" s="48"/>
      <c r="J54" s="48"/>
      <c r="K54" s="48"/>
      <c r="L54" s="48"/>
      <c r="M54" s="48"/>
      <c r="N54" s="48"/>
      <c r="O54" s="48"/>
    </row>
    <row r="55" spans="2:15" x14ac:dyDescent="0.15">
      <c r="B55" s="14"/>
      <c r="C55" s="126"/>
      <c r="D55" s="126" t="s">
        <v>124</v>
      </c>
      <c r="E55" s="48"/>
      <c r="F55" s="6"/>
      <c r="H55" s="48"/>
      <c r="J55" s="48"/>
      <c r="K55" s="48"/>
      <c r="L55" s="48"/>
      <c r="M55" s="48"/>
      <c r="N55" s="48"/>
      <c r="O55" s="48"/>
    </row>
    <row r="56" spans="2:15" x14ac:dyDescent="0.15">
      <c r="B56" s="14"/>
      <c r="C56" s="126"/>
      <c r="D56" s="126" t="s">
        <v>125</v>
      </c>
      <c r="E56" s="48"/>
      <c r="F56" s="6"/>
      <c r="H56" s="48"/>
      <c r="J56" s="48"/>
      <c r="K56" s="48"/>
      <c r="L56" s="48"/>
      <c r="M56" s="48"/>
      <c r="N56" s="48"/>
      <c r="O56" s="48"/>
    </row>
    <row r="57" spans="2:15" x14ac:dyDescent="0.15">
      <c r="B57" s="28" t="s">
        <v>68</v>
      </c>
      <c r="C57" s="127">
        <v>360</v>
      </c>
      <c r="D57" s="33"/>
      <c r="E57" s="48"/>
      <c r="F57" s="6"/>
      <c r="H57" s="48"/>
      <c r="J57" s="48"/>
      <c r="K57" s="48"/>
      <c r="L57" s="48"/>
      <c r="M57" s="48"/>
      <c r="N57" s="48"/>
      <c r="O57" s="48"/>
    </row>
    <row r="58" spans="2:15" x14ac:dyDescent="0.15">
      <c r="B58" s="28" t="s">
        <v>7</v>
      </c>
      <c r="C58" s="70">
        <f>-C52</f>
        <v>2108.0201686472524</v>
      </c>
      <c r="D58" s="33"/>
      <c r="E58" s="48"/>
      <c r="F58" s="6"/>
      <c r="H58" s="48"/>
      <c r="J58" s="48"/>
      <c r="K58" s="48"/>
      <c r="L58" s="48"/>
      <c r="M58" s="48"/>
      <c r="N58" s="48"/>
      <c r="O58" s="48"/>
    </row>
    <row r="59" spans="2:15" x14ac:dyDescent="0.15">
      <c r="B59" s="14" t="s">
        <v>69</v>
      </c>
      <c r="C59" s="66">
        <f>C58*C57-C48</f>
        <v>258887.26071301091</v>
      </c>
      <c r="D59" s="33" t="s">
        <v>111</v>
      </c>
      <c r="E59" s="48"/>
      <c r="F59" s="6"/>
      <c r="H59" s="48"/>
      <c r="J59" s="48"/>
      <c r="K59" s="48"/>
      <c r="L59" s="48"/>
      <c r="M59" s="48"/>
      <c r="N59" s="48"/>
      <c r="O59" s="48"/>
    </row>
    <row r="60" spans="2:15" x14ac:dyDescent="0.15">
      <c r="B60" s="14" t="s">
        <v>69</v>
      </c>
      <c r="C60" s="186">
        <f>-CUMIPMT(C49,C50,C48,1,360,0)</f>
        <v>258887.26071301091</v>
      </c>
      <c r="D60" s="33" t="s">
        <v>75</v>
      </c>
      <c r="F60" s="125" t="s">
        <v>70</v>
      </c>
      <c r="H60" s="48"/>
      <c r="J60" s="48"/>
      <c r="K60" s="48"/>
      <c r="L60" s="48"/>
      <c r="M60" s="48"/>
      <c r="N60" s="48"/>
      <c r="O60" s="48"/>
    </row>
    <row r="61" spans="2:15" ht="14" thickBot="1" x14ac:dyDescent="0.2">
      <c r="B61" s="14"/>
      <c r="C61" s="66"/>
      <c r="D61" s="33"/>
      <c r="E61" s="48"/>
      <c r="F61" s="6"/>
      <c r="H61" s="48"/>
      <c r="J61" s="48"/>
      <c r="K61" s="48"/>
      <c r="L61" s="48"/>
      <c r="M61" s="48"/>
      <c r="N61" s="48"/>
      <c r="O61" s="48"/>
    </row>
    <row r="62" spans="2:15" ht="14" thickBot="1" x14ac:dyDescent="0.2">
      <c r="B62" s="177" t="s">
        <v>2</v>
      </c>
      <c r="E62" s="125"/>
      <c r="F62" s="130"/>
      <c r="H62" s="48"/>
      <c r="J62" s="48"/>
      <c r="K62" s="48"/>
      <c r="L62" s="48"/>
      <c r="M62" s="48"/>
      <c r="N62" s="48"/>
      <c r="O62" s="48"/>
    </row>
    <row r="63" spans="2:15" x14ac:dyDescent="0.15">
      <c r="B63" s="42"/>
      <c r="D63" s="126" t="s">
        <v>126</v>
      </c>
      <c r="E63" s="125"/>
      <c r="F63" s="130"/>
      <c r="H63" s="48"/>
      <c r="J63" s="48"/>
      <c r="K63" s="48"/>
      <c r="L63" s="48"/>
      <c r="M63" s="48"/>
      <c r="N63" s="48"/>
      <c r="O63" s="48"/>
    </row>
    <row r="64" spans="2:15" x14ac:dyDescent="0.15">
      <c r="B64" s="42"/>
      <c r="D64" s="126" t="s">
        <v>128</v>
      </c>
      <c r="E64" s="125"/>
      <c r="F64" s="130"/>
      <c r="H64" s="48"/>
      <c r="J64" s="48"/>
      <c r="K64" s="48"/>
      <c r="L64" s="48"/>
      <c r="M64" s="48"/>
      <c r="N64" s="48"/>
      <c r="O64" s="48"/>
    </row>
    <row r="65" spans="2:15" x14ac:dyDescent="0.15">
      <c r="B65" s="28"/>
      <c r="D65" s="126" t="s">
        <v>71</v>
      </c>
      <c r="E65" s="125"/>
      <c r="F65" s="130"/>
      <c r="H65" s="48"/>
      <c r="J65" s="48"/>
      <c r="K65" s="48"/>
      <c r="L65" s="48"/>
      <c r="M65" s="48"/>
      <c r="N65" s="48"/>
      <c r="O65" s="48"/>
    </row>
    <row r="66" spans="2:15" x14ac:dyDescent="0.15">
      <c r="B66" s="14" t="s">
        <v>6</v>
      </c>
      <c r="C66" s="107">
        <f>PV(C67,C68,C70)</f>
        <v>305252.85436181736</v>
      </c>
      <c r="D66" s="33" t="s">
        <v>73</v>
      </c>
      <c r="E66" s="125"/>
      <c r="F66" s="130"/>
      <c r="H66" s="48"/>
      <c r="J66" s="48"/>
      <c r="K66" s="48"/>
      <c r="L66" s="48"/>
      <c r="M66" s="48"/>
      <c r="N66" s="48"/>
      <c r="O66" s="48"/>
    </row>
    <row r="67" spans="2:15" x14ac:dyDescent="0.15">
      <c r="B67" s="9" t="s">
        <v>1</v>
      </c>
      <c r="C67" s="12">
        <f>$C$46/12</f>
        <v>2.5000000000000001E-3</v>
      </c>
      <c r="D67" s="129"/>
      <c r="E67" s="125"/>
      <c r="F67" s="130"/>
      <c r="H67" s="48"/>
      <c r="J67" s="48"/>
      <c r="K67" s="48"/>
      <c r="L67" s="48"/>
      <c r="M67" s="48"/>
      <c r="N67" s="48"/>
      <c r="O67" s="48"/>
    </row>
    <row r="68" spans="2:15" x14ac:dyDescent="0.15">
      <c r="B68" s="9" t="s">
        <v>36</v>
      </c>
      <c r="C68" s="10">
        <v>180</v>
      </c>
      <c r="D68" s="129" t="s">
        <v>72</v>
      </c>
      <c r="E68" s="125"/>
      <c r="F68" s="130"/>
      <c r="H68" s="48"/>
      <c r="J68" s="48"/>
      <c r="K68" s="48"/>
      <c r="L68" s="48"/>
      <c r="M68" s="48"/>
      <c r="N68" s="48"/>
      <c r="O68" s="48"/>
    </row>
    <row r="69" spans="2:15" x14ac:dyDescent="0.15">
      <c r="B69" s="9" t="s">
        <v>11</v>
      </c>
      <c r="C69" s="10">
        <v>0</v>
      </c>
      <c r="D69" s="129"/>
      <c r="E69" s="125"/>
      <c r="F69" s="130"/>
      <c r="H69" s="48"/>
      <c r="J69" s="48"/>
      <c r="K69" s="48"/>
      <c r="L69" s="48"/>
      <c r="M69" s="48"/>
      <c r="N69" s="48"/>
      <c r="O69" s="48"/>
    </row>
    <row r="70" spans="2:15" x14ac:dyDescent="0.15">
      <c r="B70" s="28" t="s">
        <v>7</v>
      </c>
      <c r="C70" s="70">
        <v>-2108.0201686472524</v>
      </c>
      <c r="D70" s="129" t="s">
        <v>127</v>
      </c>
      <c r="E70" s="125"/>
      <c r="F70" s="130"/>
      <c r="H70" s="48"/>
      <c r="J70" s="48"/>
      <c r="K70" s="48"/>
      <c r="L70" s="48"/>
      <c r="M70" s="48"/>
      <c r="N70" s="48"/>
      <c r="O70" s="48"/>
    </row>
    <row r="71" spans="2:15" x14ac:dyDescent="0.15">
      <c r="B71" s="28"/>
      <c r="C71" s="70"/>
      <c r="D71" s="129"/>
      <c r="E71" s="125"/>
      <c r="F71" s="130"/>
      <c r="H71" s="48"/>
      <c r="J71" s="48"/>
      <c r="K71" s="48"/>
      <c r="L71" s="48"/>
      <c r="M71" s="48"/>
      <c r="N71" s="48"/>
      <c r="O71" s="48"/>
    </row>
    <row r="72" spans="2:15" x14ac:dyDescent="0.15">
      <c r="B72" s="28" t="s">
        <v>28</v>
      </c>
      <c r="C72" s="70">
        <f>-CUMPRINC(C49,C50,C48,1,180,0)</f>
        <v>194747.14563817831</v>
      </c>
      <c r="D72" s="129" t="s">
        <v>76</v>
      </c>
      <c r="E72" s="125"/>
      <c r="F72" s="130"/>
      <c r="H72" s="48"/>
      <c r="J72" s="48"/>
      <c r="K72" s="48"/>
      <c r="L72" s="48"/>
      <c r="M72" s="48"/>
      <c r="N72" s="48"/>
      <c r="O72" s="48"/>
    </row>
    <row r="73" spans="2:15" x14ac:dyDescent="0.15">
      <c r="B73" s="14" t="s">
        <v>78</v>
      </c>
      <c r="C73" s="66">
        <f>C48-C72</f>
        <v>305252.85436182166</v>
      </c>
      <c r="D73" s="106" t="s">
        <v>77</v>
      </c>
      <c r="E73" s="125"/>
      <c r="F73" s="130"/>
      <c r="H73" s="48"/>
      <c r="J73" s="48"/>
      <c r="K73" s="48"/>
      <c r="L73" s="48"/>
      <c r="M73" s="48"/>
      <c r="N73" s="48"/>
      <c r="O73" s="48"/>
    </row>
    <row r="74" spans="2:15" x14ac:dyDescent="0.15">
      <c r="B74" s="14"/>
      <c r="C74" s="66"/>
      <c r="D74" s="33"/>
      <c r="E74" s="48"/>
      <c r="F74" s="6"/>
      <c r="H74" s="48"/>
      <c r="J74" s="48"/>
      <c r="K74" s="48"/>
      <c r="L74" s="48"/>
      <c r="M74" s="48"/>
      <c r="N74" s="48"/>
      <c r="O74" s="48"/>
    </row>
    <row r="75" spans="2:15" ht="14" thickBot="1" x14ac:dyDescent="0.2">
      <c r="B75" s="14"/>
      <c r="C75" s="66"/>
      <c r="D75" s="13"/>
      <c r="E75" s="48"/>
      <c r="F75" s="6"/>
      <c r="H75" s="5"/>
      <c r="J75" s="5"/>
      <c r="K75" s="5"/>
      <c r="L75" s="5"/>
      <c r="M75" s="5"/>
      <c r="N75" s="5"/>
      <c r="O75" s="5"/>
    </row>
    <row r="76" spans="2:15" ht="14" thickBot="1" x14ac:dyDescent="0.2">
      <c r="B76" s="177" t="s">
        <v>74</v>
      </c>
      <c r="C76" s="66"/>
      <c r="D76" s="13"/>
      <c r="E76" s="132"/>
      <c r="F76" s="6"/>
      <c r="H76" s="5"/>
      <c r="J76" s="5"/>
      <c r="K76" s="5"/>
      <c r="L76" s="5"/>
      <c r="M76" s="5"/>
      <c r="N76" s="5"/>
      <c r="O76" s="5"/>
    </row>
    <row r="77" spans="2:15" x14ac:dyDescent="0.15">
      <c r="B77" s="9" t="s">
        <v>6</v>
      </c>
      <c r="C77" s="67">
        <f>C48</f>
        <v>500000</v>
      </c>
      <c r="D77" s="13"/>
      <c r="E77" s="48"/>
      <c r="F77" s="6"/>
      <c r="H77" s="5"/>
      <c r="J77" s="5"/>
      <c r="K77" s="5"/>
      <c r="L77" s="5"/>
      <c r="M77" s="5"/>
      <c r="N77" s="5"/>
      <c r="O77" s="5"/>
    </row>
    <row r="78" spans="2:15" x14ac:dyDescent="0.15">
      <c r="B78" s="9" t="s">
        <v>1</v>
      </c>
      <c r="C78" s="68">
        <f>C49</f>
        <v>2.5000000000000001E-3</v>
      </c>
      <c r="D78" s="13"/>
      <c r="E78" s="48"/>
      <c r="F78" s="6"/>
      <c r="H78" s="5"/>
      <c r="J78" s="5"/>
      <c r="K78" s="5"/>
      <c r="L78" s="5"/>
      <c r="M78" s="5"/>
      <c r="N78" s="5"/>
      <c r="O78" s="5"/>
    </row>
    <row r="79" spans="2:15" x14ac:dyDescent="0.15">
      <c r="B79" s="9" t="s">
        <v>11</v>
      </c>
      <c r="C79" s="70">
        <v>0</v>
      </c>
      <c r="D79" s="48"/>
      <c r="E79" s="48"/>
      <c r="F79" s="6"/>
      <c r="H79" s="5"/>
      <c r="J79" s="25"/>
      <c r="K79" s="5"/>
      <c r="L79" s="5"/>
      <c r="M79" s="5"/>
      <c r="N79" s="5"/>
      <c r="O79" s="5"/>
    </row>
    <row r="80" spans="2:15" x14ac:dyDescent="0.15">
      <c r="B80" s="9" t="s">
        <v>48</v>
      </c>
      <c r="C80" s="70">
        <v>250</v>
      </c>
      <c r="D80" s="48"/>
      <c r="E80" s="109"/>
      <c r="F80" s="6"/>
      <c r="H80" s="48"/>
      <c r="J80" s="59"/>
      <c r="K80" s="48"/>
      <c r="L80" s="48"/>
      <c r="M80" s="48"/>
      <c r="N80" s="48"/>
      <c r="O80" s="48"/>
    </row>
    <row r="81" spans="2:15" x14ac:dyDescent="0.15">
      <c r="B81" s="63" t="s">
        <v>51</v>
      </c>
      <c r="C81" s="66">
        <f>C52-C80</f>
        <v>-2358.0201686472524</v>
      </c>
      <c r="D81" s="52" t="s">
        <v>39</v>
      </c>
      <c r="E81" s="48"/>
      <c r="F81" s="6"/>
      <c r="H81" s="5"/>
      <c r="J81" s="10"/>
      <c r="K81" s="16"/>
      <c r="L81" s="5"/>
      <c r="M81" s="5"/>
      <c r="N81" s="5"/>
      <c r="O81" s="5"/>
    </row>
    <row r="82" spans="2:15" x14ac:dyDescent="0.15">
      <c r="B82" s="14" t="s">
        <v>36</v>
      </c>
      <c r="C82" s="69">
        <f>NPER(C78,C81,C77,C79)</f>
        <v>302.47649241714595</v>
      </c>
      <c r="D82" s="33" t="s">
        <v>52</v>
      </c>
      <c r="E82" s="48"/>
      <c r="F82" s="6"/>
      <c r="H82" s="48"/>
      <c r="J82" s="10"/>
      <c r="K82" s="16"/>
      <c r="L82" s="48"/>
      <c r="M82" s="48"/>
      <c r="N82" s="48"/>
      <c r="O82" s="48"/>
    </row>
    <row r="83" spans="2:15" x14ac:dyDescent="0.15">
      <c r="B83" s="14" t="s">
        <v>46</v>
      </c>
      <c r="C83" s="133" t="str">
        <f>INT(C82/12)&amp; " yrs and " &amp;ROUND(MOD(C82,12),2)&amp; " months"</f>
        <v>25 yrs and 2.48 months</v>
      </c>
      <c r="D83" s="134" t="s">
        <v>142</v>
      </c>
      <c r="E83" s="48"/>
      <c r="F83" s="6"/>
      <c r="H83" s="5"/>
      <c r="J83" s="10"/>
      <c r="K83" s="11"/>
      <c r="L83" s="5"/>
      <c r="M83" s="5"/>
      <c r="N83" s="5"/>
      <c r="O83" s="5"/>
    </row>
    <row r="84" spans="2:15" x14ac:dyDescent="0.15">
      <c r="B84" s="4"/>
      <c r="C84" s="27"/>
      <c r="D84" s="145" t="s">
        <v>140</v>
      </c>
      <c r="E84" s="48"/>
      <c r="F84" s="6"/>
      <c r="H84" s="48"/>
      <c r="J84" s="30"/>
      <c r="K84" s="31"/>
      <c r="L84" s="48"/>
      <c r="M84" s="48"/>
      <c r="N84" s="48"/>
      <c r="O84" s="48"/>
    </row>
    <row r="85" spans="2:15" x14ac:dyDescent="0.15">
      <c r="B85" s="14"/>
      <c r="C85" s="66"/>
      <c r="D85" s="143" t="s">
        <v>143</v>
      </c>
      <c r="E85" s="48"/>
      <c r="F85" s="6"/>
      <c r="H85" s="5"/>
      <c r="J85" s="30"/>
      <c r="K85" s="31"/>
      <c r="L85" s="5"/>
      <c r="M85" s="5"/>
    </row>
    <row r="86" spans="2:15" ht="14" thickBot="1" x14ac:dyDescent="0.2">
      <c r="B86" s="14"/>
      <c r="C86" s="66"/>
      <c r="D86" s="143" t="s">
        <v>147</v>
      </c>
      <c r="E86" s="48"/>
      <c r="F86" s="6"/>
      <c r="H86" s="48"/>
      <c r="J86" s="30"/>
      <c r="K86" s="31"/>
      <c r="L86" s="48"/>
      <c r="M86" s="48"/>
    </row>
    <row r="87" spans="2:15" ht="14" thickBot="1" x14ac:dyDescent="0.2">
      <c r="B87" s="177" t="s">
        <v>79</v>
      </c>
      <c r="C87" s="66"/>
      <c r="D87" s="13"/>
      <c r="E87" s="48"/>
      <c r="F87" s="6"/>
      <c r="H87" s="5"/>
      <c r="J87" s="30"/>
      <c r="K87" s="31"/>
      <c r="L87" s="5"/>
      <c r="M87" s="5"/>
    </row>
    <row r="88" spans="2:15" x14ac:dyDescent="0.15">
      <c r="B88" s="9" t="s">
        <v>6</v>
      </c>
      <c r="C88" s="67">
        <f>C77</f>
        <v>500000</v>
      </c>
      <c r="D88" s="13"/>
      <c r="E88" s="185"/>
      <c r="F88" s="6"/>
      <c r="H88" s="5"/>
      <c r="J88" s="30"/>
      <c r="K88" s="31"/>
      <c r="L88" s="5"/>
      <c r="M88" s="5"/>
    </row>
    <row r="89" spans="2:15" x14ac:dyDescent="0.15">
      <c r="B89" s="9" t="s">
        <v>10</v>
      </c>
      <c r="C89" s="68">
        <f>C49</f>
        <v>2.5000000000000001E-3</v>
      </c>
      <c r="D89" s="13"/>
      <c r="E89" s="184"/>
      <c r="F89" s="6"/>
      <c r="H89" s="5"/>
      <c r="J89" s="30"/>
      <c r="K89" s="31"/>
      <c r="L89" s="5"/>
      <c r="M89" s="5"/>
    </row>
    <row r="90" spans="2:15" x14ac:dyDescent="0.15">
      <c r="B90" s="14" t="s">
        <v>36</v>
      </c>
      <c r="C90" s="71">
        <f>15*12</f>
        <v>180</v>
      </c>
      <c r="D90" s="60" t="s">
        <v>58</v>
      </c>
      <c r="E90" s="48"/>
      <c r="F90" s="6"/>
      <c r="H90" s="5"/>
      <c r="J90" s="30"/>
      <c r="K90" s="31"/>
      <c r="L90" s="5"/>
      <c r="M90" s="5"/>
    </row>
    <row r="91" spans="2:15" x14ac:dyDescent="0.15">
      <c r="B91" s="9" t="s">
        <v>11</v>
      </c>
      <c r="C91" s="70">
        <v>0</v>
      </c>
      <c r="D91" s="48"/>
      <c r="E91" s="48"/>
      <c r="F91" s="6"/>
      <c r="H91" s="5"/>
      <c r="J91" s="30"/>
      <c r="K91" s="31"/>
      <c r="L91" s="5"/>
      <c r="M91" s="5"/>
    </row>
    <row r="92" spans="2:15" x14ac:dyDescent="0.15">
      <c r="B92" s="14" t="s">
        <v>7</v>
      </c>
      <c r="C92" s="66">
        <f>PMT(C89,C90,C88)</f>
        <v>-3452.9082013899501</v>
      </c>
      <c r="D92" s="33" t="s">
        <v>12</v>
      </c>
      <c r="E92" s="48"/>
      <c r="F92" s="6"/>
      <c r="H92" s="5"/>
      <c r="J92" s="30"/>
      <c r="K92" s="31"/>
      <c r="L92" s="5"/>
      <c r="M92" s="5"/>
    </row>
    <row r="93" spans="2:15" x14ac:dyDescent="0.15">
      <c r="B93" s="4"/>
      <c r="D93" s="144" t="s">
        <v>130</v>
      </c>
      <c r="E93" s="48"/>
      <c r="F93" s="6"/>
      <c r="H93" s="5"/>
      <c r="J93" s="30"/>
      <c r="K93" s="31"/>
      <c r="L93" s="5"/>
      <c r="M93" s="5"/>
    </row>
    <row r="94" spans="2:15" ht="14" thickBot="1" x14ac:dyDescent="0.2">
      <c r="B94" s="14"/>
      <c r="C94" s="26"/>
      <c r="D94" s="129" t="s">
        <v>129</v>
      </c>
      <c r="E94" s="48"/>
      <c r="F94" s="6"/>
      <c r="H94" s="5"/>
      <c r="J94" s="30"/>
      <c r="K94" s="31"/>
      <c r="L94" s="5"/>
      <c r="M94" s="5"/>
    </row>
    <row r="95" spans="2:15" ht="14" thickBot="1" x14ac:dyDescent="0.2">
      <c r="B95" s="177" t="s">
        <v>80</v>
      </c>
      <c r="C95" s="26"/>
      <c r="D95" s="13"/>
      <c r="E95" s="48"/>
      <c r="F95" s="6"/>
      <c r="H95" s="5"/>
      <c r="J95" s="30"/>
      <c r="K95" s="31"/>
      <c r="L95" s="5"/>
      <c r="M95" s="5"/>
    </row>
    <row r="96" spans="2:15" x14ac:dyDescent="0.15">
      <c r="B96" s="14"/>
      <c r="C96" s="144" t="s">
        <v>155</v>
      </c>
      <c r="D96" s="13"/>
      <c r="E96" s="48"/>
      <c r="F96" s="6"/>
      <c r="H96" s="48"/>
      <c r="J96" s="30"/>
      <c r="K96" s="31"/>
      <c r="L96" s="48"/>
      <c r="M96" s="48"/>
    </row>
    <row r="97" spans="2:17" x14ac:dyDescent="0.15">
      <c r="B97" s="14"/>
      <c r="D97" s="13"/>
      <c r="E97" s="48"/>
      <c r="F97" s="6"/>
      <c r="H97" s="48"/>
      <c r="J97" s="30"/>
      <c r="K97" s="31"/>
      <c r="L97" s="48"/>
      <c r="M97" s="48"/>
    </row>
    <row r="98" spans="2:17" x14ac:dyDescent="0.15">
      <c r="B98" s="14" t="s">
        <v>6</v>
      </c>
      <c r="C98" s="66">
        <f>PV(C99,C100,C102,C101)</f>
        <v>432405.69706897903</v>
      </c>
      <c r="D98" s="33" t="s">
        <v>27</v>
      </c>
      <c r="E98" s="48"/>
      <c r="F98" s="6"/>
      <c r="H98" s="5"/>
      <c r="J98" s="30"/>
      <c r="K98" s="31"/>
      <c r="L98" s="5"/>
      <c r="M98" s="5"/>
    </row>
    <row r="99" spans="2:17" ht="15" customHeight="1" x14ac:dyDescent="0.15">
      <c r="B99" s="9" t="s">
        <v>10</v>
      </c>
      <c r="C99" s="68">
        <f>C49</f>
        <v>2.5000000000000001E-3</v>
      </c>
      <c r="D99" s="13"/>
      <c r="E99" s="48"/>
      <c r="F99" s="6"/>
      <c r="H99" s="5"/>
    </row>
    <row r="100" spans="2:17" x14ac:dyDescent="0.15">
      <c r="B100" s="63" t="s">
        <v>36</v>
      </c>
      <c r="C100" s="72">
        <f>360-72</f>
        <v>288</v>
      </c>
      <c r="D100" s="60" t="s">
        <v>131</v>
      </c>
      <c r="E100" s="48"/>
      <c r="F100" s="6"/>
      <c r="H100" s="5"/>
    </row>
    <row r="101" spans="2:17" x14ac:dyDescent="0.15">
      <c r="B101" s="9" t="s">
        <v>11</v>
      </c>
      <c r="C101" s="70">
        <v>0</v>
      </c>
      <c r="D101" s="13"/>
      <c r="E101" s="48"/>
      <c r="F101" s="6"/>
      <c r="H101" s="5"/>
    </row>
    <row r="102" spans="2:17" x14ac:dyDescent="0.15">
      <c r="B102" s="28" t="s">
        <v>7</v>
      </c>
      <c r="C102" s="66">
        <f>C52</f>
        <v>-2108.0201686472524</v>
      </c>
      <c r="D102" s="48" t="s">
        <v>3</v>
      </c>
      <c r="E102" s="48"/>
      <c r="F102" s="6"/>
      <c r="H102" s="5"/>
    </row>
    <row r="103" spans="2:17" x14ac:dyDescent="0.15">
      <c r="B103" s="14"/>
      <c r="C103" s="66"/>
      <c r="D103" s="13"/>
      <c r="E103" s="48"/>
      <c r="F103" s="6"/>
      <c r="H103" s="5"/>
    </row>
    <row r="104" spans="2:17" x14ac:dyDescent="0.15">
      <c r="B104" s="14"/>
      <c r="C104" s="126" t="s">
        <v>139</v>
      </c>
      <c r="D104" s="13"/>
      <c r="E104" s="48"/>
      <c r="F104" s="6"/>
      <c r="H104" s="48"/>
    </row>
    <row r="105" spans="2:17" x14ac:dyDescent="0.15">
      <c r="B105" s="14" t="s">
        <v>49</v>
      </c>
      <c r="C105" s="66">
        <v>50000</v>
      </c>
      <c r="D105" s="13"/>
      <c r="E105" s="48"/>
      <c r="F105" s="6"/>
      <c r="H105" s="48"/>
    </row>
    <row r="106" spans="2:17" x14ac:dyDescent="0.15">
      <c r="B106" s="14" t="s">
        <v>6</v>
      </c>
      <c r="C106" s="66">
        <f>C98-C105</f>
        <v>382405.69706897903</v>
      </c>
      <c r="D106" s="125" t="s">
        <v>81</v>
      </c>
      <c r="E106" s="48"/>
      <c r="F106" s="6"/>
      <c r="H106" s="5"/>
    </row>
    <row r="107" spans="2:17" x14ac:dyDescent="0.15">
      <c r="B107" s="9" t="s">
        <v>10</v>
      </c>
      <c r="C107" s="68">
        <f>C49</f>
        <v>2.5000000000000001E-3</v>
      </c>
      <c r="D107" s="13"/>
      <c r="E107" s="48"/>
      <c r="F107" s="6"/>
      <c r="H107" s="5"/>
    </row>
    <row r="108" spans="2:17" x14ac:dyDescent="0.15">
      <c r="B108" s="14" t="s">
        <v>36</v>
      </c>
      <c r="C108" s="72">
        <f>NPER(C107,C112,C106,C111)</f>
        <v>241.99979330562627</v>
      </c>
      <c r="D108" s="33" t="s">
        <v>132</v>
      </c>
      <c r="E108" s="60"/>
      <c r="F108" s="6"/>
      <c r="H108" s="5"/>
    </row>
    <row r="109" spans="2:17" x14ac:dyDescent="0.15">
      <c r="B109" s="14" t="s">
        <v>53</v>
      </c>
      <c r="C109" s="72">
        <f>C100-C108</f>
        <v>46.00020669437373</v>
      </c>
      <c r="D109" s="33" t="s">
        <v>133</v>
      </c>
      <c r="E109" s="60"/>
      <c r="F109" s="6"/>
      <c r="H109" s="48"/>
    </row>
    <row r="110" spans="2:17" x14ac:dyDescent="0.15">
      <c r="B110" s="63" t="s">
        <v>46</v>
      </c>
      <c r="C110" s="109" t="str">
        <f>INT(C109/12)&amp;" yrs and "&amp;ROUND(MOD(C109,12),2)&amp;" months"</f>
        <v>3 yrs and 10 months</v>
      </c>
      <c r="D110" s="134" t="s">
        <v>156</v>
      </c>
      <c r="E110" s="75"/>
      <c r="F110" s="6"/>
      <c r="H110" s="48"/>
    </row>
    <row r="111" spans="2:17" x14ac:dyDescent="0.15">
      <c r="B111" s="9" t="s">
        <v>11</v>
      </c>
      <c r="C111" s="70">
        <v>0</v>
      </c>
      <c r="D111" s="13"/>
      <c r="E111" s="48"/>
      <c r="F111" s="6"/>
      <c r="H111" s="5"/>
      <c r="J111" s="5"/>
      <c r="K111" s="5"/>
      <c r="L111" s="5"/>
      <c r="M111" s="5"/>
      <c r="N111" s="5"/>
      <c r="O111" s="5"/>
      <c r="P111" s="5"/>
      <c r="Q111" s="5"/>
    </row>
    <row r="112" spans="2:17" x14ac:dyDescent="0.15">
      <c r="B112" s="28" t="s">
        <v>7</v>
      </c>
      <c r="C112" s="66">
        <f>C102</f>
        <v>-2108.0201686472524</v>
      </c>
      <c r="D112" s="13"/>
      <c r="E112" s="48"/>
      <c r="F112" s="6"/>
      <c r="H112" s="5"/>
      <c r="J112" s="5"/>
      <c r="K112" s="5"/>
      <c r="L112" s="5"/>
      <c r="M112" s="5"/>
      <c r="N112" s="5"/>
      <c r="O112" s="5"/>
      <c r="P112" s="5"/>
      <c r="Q112" s="5"/>
    </row>
    <row r="113" spans="2:17" ht="14" thickBot="1" x14ac:dyDescent="0.2">
      <c r="B113" s="19"/>
      <c r="C113" s="34"/>
      <c r="D113" s="15"/>
      <c r="E113" s="7"/>
      <c r="F113" s="8"/>
      <c r="H113" s="5"/>
      <c r="J113" s="5"/>
      <c r="K113" s="5"/>
      <c r="L113" s="5"/>
      <c r="M113" s="5"/>
      <c r="N113" s="5"/>
      <c r="O113" s="5"/>
      <c r="P113" s="5"/>
      <c r="Q113" s="5"/>
    </row>
    <row r="114" spans="2:17" ht="14" thickBot="1" x14ac:dyDescent="0.2">
      <c r="B114" s="14"/>
      <c r="C114" s="26"/>
      <c r="D114" s="13"/>
      <c r="E114" s="48"/>
      <c r="F114" s="6"/>
      <c r="G114" s="48"/>
      <c r="H114" s="5"/>
      <c r="J114" s="5"/>
      <c r="K114" s="5"/>
      <c r="L114" s="5"/>
      <c r="M114" s="25"/>
      <c r="N114" s="5"/>
      <c r="O114" s="5"/>
      <c r="P114" s="5"/>
      <c r="Q114" s="5"/>
    </row>
    <row r="115" spans="2:17" ht="14" thickBot="1" x14ac:dyDescent="0.2">
      <c r="B115" s="46" t="s">
        <v>84</v>
      </c>
      <c r="C115" s="2"/>
      <c r="D115" s="2"/>
      <c r="E115" s="2"/>
      <c r="F115" s="3"/>
      <c r="G115" s="48"/>
      <c r="H115" s="5"/>
      <c r="J115" s="5"/>
      <c r="K115" s="5"/>
      <c r="L115" s="5"/>
      <c r="M115" s="25"/>
      <c r="N115" s="5"/>
      <c r="O115" s="5"/>
      <c r="P115" s="5"/>
      <c r="Q115" s="5"/>
    </row>
    <row r="116" spans="2:17" ht="14" thickBot="1" x14ac:dyDescent="0.2">
      <c r="B116" s="24"/>
      <c r="C116" s="48"/>
      <c r="D116" s="48"/>
      <c r="E116" s="48"/>
      <c r="F116" s="6"/>
      <c r="G116" s="48"/>
      <c r="H116" s="5"/>
      <c r="J116" s="5"/>
      <c r="K116" s="5"/>
      <c r="L116" s="5"/>
      <c r="M116" s="25"/>
      <c r="N116" s="5"/>
      <c r="O116" s="5"/>
      <c r="P116" s="5"/>
      <c r="Q116" s="5"/>
    </row>
    <row r="117" spans="2:17" ht="14" thickBot="1" x14ac:dyDescent="0.2">
      <c r="B117" s="177" t="s">
        <v>30</v>
      </c>
      <c r="C117" s="48"/>
      <c r="D117" s="48"/>
      <c r="E117" s="48"/>
      <c r="F117" s="6"/>
      <c r="G117" s="48"/>
      <c r="H117" s="5"/>
      <c r="J117" s="5"/>
      <c r="K117" s="5"/>
      <c r="L117" s="5"/>
      <c r="M117" s="25"/>
      <c r="N117" s="5"/>
      <c r="O117" s="5"/>
      <c r="P117" s="5"/>
      <c r="Q117" s="5"/>
    </row>
    <row r="118" spans="2:17" x14ac:dyDescent="0.15">
      <c r="B118" s="40" t="s">
        <v>17</v>
      </c>
      <c r="C118" s="12">
        <v>0.02</v>
      </c>
      <c r="D118" s="18"/>
      <c r="E118" s="18"/>
      <c r="F118" s="41"/>
      <c r="G118" s="48"/>
      <c r="H118" s="5"/>
      <c r="J118" s="5"/>
      <c r="K118" s="5"/>
      <c r="L118" s="5"/>
      <c r="M118" s="25"/>
      <c r="N118" s="5"/>
      <c r="O118" s="5"/>
      <c r="P118" s="5"/>
      <c r="Q118" s="5"/>
    </row>
    <row r="119" spans="2:17" x14ac:dyDescent="0.15">
      <c r="B119" s="40" t="s">
        <v>18</v>
      </c>
      <c r="C119" s="65">
        <f>C118*C120</f>
        <v>10000</v>
      </c>
      <c r="D119" s="18" t="s">
        <v>19</v>
      </c>
      <c r="E119" s="124"/>
      <c r="F119" s="6"/>
      <c r="G119" s="48"/>
      <c r="H119" s="5"/>
      <c r="J119" s="5"/>
      <c r="K119" s="5"/>
      <c r="L119" s="5"/>
      <c r="M119" s="25"/>
      <c r="N119" s="5"/>
      <c r="O119" s="5"/>
      <c r="P119" s="5"/>
      <c r="Q119" s="5"/>
    </row>
    <row r="120" spans="2:17" x14ac:dyDescent="0.15">
      <c r="B120" s="9" t="s">
        <v>20</v>
      </c>
      <c r="C120" s="65">
        <v>500000</v>
      </c>
      <c r="D120" s="48"/>
      <c r="E120" s="21"/>
      <c r="F120" s="6"/>
      <c r="G120" s="48"/>
      <c r="H120" s="5"/>
      <c r="J120" s="5"/>
      <c r="K120" s="5"/>
      <c r="L120" s="5"/>
      <c r="M120" s="25"/>
      <c r="N120" s="5"/>
      <c r="O120" s="5"/>
      <c r="P120" s="5"/>
      <c r="Q120" s="5"/>
    </row>
    <row r="121" spans="2:17" x14ac:dyDescent="0.15">
      <c r="B121" s="9" t="s">
        <v>7</v>
      </c>
      <c r="C121" s="64">
        <f>PMT(C124,C122,C120)</f>
        <v>-2108.0201686472524</v>
      </c>
      <c r="D121" s="13" t="s">
        <v>12</v>
      </c>
      <c r="E121" s="105"/>
      <c r="F121" s="6"/>
      <c r="G121" s="48"/>
      <c r="H121" s="5"/>
      <c r="J121" s="5"/>
      <c r="K121" s="5"/>
      <c r="L121" s="5"/>
      <c r="M121" s="25"/>
      <c r="N121" s="5"/>
      <c r="O121" s="5"/>
      <c r="P121" s="5"/>
      <c r="Q121" s="5"/>
    </row>
    <row r="122" spans="2:17" x14ac:dyDescent="0.15">
      <c r="B122" s="9" t="s">
        <v>36</v>
      </c>
      <c r="C122" s="10">
        <v>360</v>
      </c>
      <c r="D122" s="48"/>
      <c r="E122" s="48"/>
      <c r="F122" s="6"/>
      <c r="G122" s="48"/>
      <c r="H122" s="5"/>
      <c r="J122" s="5"/>
      <c r="K122" s="5"/>
      <c r="L122" s="5"/>
      <c r="M122" s="25"/>
      <c r="N122" s="5"/>
      <c r="O122" s="5"/>
      <c r="P122" s="5"/>
      <c r="Q122" s="5"/>
    </row>
    <row r="123" spans="2:17" x14ac:dyDescent="0.15">
      <c r="B123" s="9" t="s">
        <v>6</v>
      </c>
      <c r="C123" s="51">
        <f>C120-C120*C118</f>
        <v>490000</v>
      </c>
      <c r="D123" s="13" t="s">
        <v>31</v>
      </c>
      <c r="E123" s="48"/>
      <c r="F123" s="6"/>
      <c r="G123" s="48"/>
      <c r="H123" s="5"/>
      <c r="J123" s="5"/>
      <c r="K123" s="5"/>
      <c r="L123" s="5"/>
      <c r="M123" s="25"/>
      <c r="N123" s="5"/>
      <c r="O123" s="5"/>
      <c r="P123" s="5"/>
      <c r="Q123" s="5"/>
    </row>
    <row r="124" spans="2:17" x14ac:dyDescent="0.15">
      <c r="B124" s="9" t="s">
        <v>32</v>
      </c>
      <c r="C124" s="12">
        <f>$C$46/12</f>
        <v>2.5000000000000001E-3</v>
      </c>
      <c r="D124" s="129" t="s">
        <v>135</v>
      </c>
      <c r="E124" s="48"/>
      <c r="F124" s="6"/>
      <c r="G124" s="18"/>
      <c r="H124" s="18"/>
      <c r="J124" s="5"/>
      <c r="K124" s="5"/>
      <c r="L124" s="5"/>
      <c r="M124" s="25"/>
      <c r="N124" s="5"/>
      <c r="O124" s="5"/>
      <c r="P124" s="5"/>
      <c r="Q124" s="5"/>
    </row>
    <row r="125" spans="2:17" x14ac:dyDescent="0.15">
      <c r="B125" s="14" t="s">
        <v>40</v>
      </c>
      <c r="C125" s="94">
        <f>RATE(C122,C121,C123)</f>
        <v>2.6322038513145983E-3</v>
      </c>
      <c r="D125" s="33" t="s">
        <v>59</v>
      </c>
      <c r="E125" s="60"/>
      <c r="F125" s="56"/>
      <c r="G125" s="18"/>
      <c r="H125" s="18"/>
      <c r="J125" s="5"/>
      <c r="K125" s="5"/>
      <c r="L125" s="5"/>
      <c r="M125" s="25"/>
      <c r="N125" s="5"/>
      <c r="O125" s="5"/>
      <c r="P125" s="5"/>
      <c r="Q125" s="5"/>
    </row>
    <row r="126" spans="2:17" x14ac:dyDescent="0.15">
      <c r="B126" s="42" t="s">
        <v>23</v>
      </c>
      <c r="C126" s="94">
        <f>C125*12</f>
        <v>3.158644621577518E-2</v>
      </c>
      <c r="D126" s="145" t="s">
        <v>136</v>
      </c>
      <c r="E126" s="48"/>
      <c r="F126" s="130"/>
      <c r="G126" s="48"/>
      <c r="H126" s="5"/>
      <c r="J126" s="5"/>
      <c r="K126" s="5"/>
      <c r="L126" s="5"/>
      <c r="M126" s="25"/>
      <c r="N126" s="5"/>
      <c r="O126" s="5"/>
      <c r="P126" s="5"/>
      <c r="Q126" s="5"/>
    </row>
    <row r="127" spans="2:17" x14ac:dyDescent="0.15">
      <c r="B127" s="28" t="s">
        <v>24</v>
      </c>
      <c r="C127" s="95">
        <f>(1+C125)^12-1</f>
        <v>3.2047763075450098E-2</v>
      </c>
      <c r="D127" s="134" t="s">
        <v>137</v>
      </c>
      <c r="E127" s="48"/>
      <c r="F127" s="6"/>
      <c r="G127" s="48"/>
      <c r="H127" s="5"/>
      <c r="J127" s="5"/>
      <c r="K127" s="5"/>
      <c r="L127" s="5"/>
      <c r="M127" s="25"/>
      <c r="N127" s="5"/>
      <c r="O127" s="5"/>
      <c r="P127" s="5"/>
      <c r="Q127" s="5"/>
    </row>
    <row r="128" spans="2:17" x14ac:dyDescent="0.15">
      <c r="B128" s="14"/>
      <c r="C128" s="10"/>
      <c r="D128" s="134" t="s">
        <v>141</v>
      </c>
      <c r="E128" s="48"/>
      <c r="F128" s="6"/>
      <c r="G128" s="48"/>
      <c r="H128" s="5"/>
      <c r="J128" s="5"/>
      <c r="K128" s="5"/>
      <c r="L128" s="5"/>
      <c r="M128" s="25"/>
      <c r="N128" s="5"/>
      <c r="O128" s="5"/>
      <c r="P128" s="5"/>
      <c r="Q128" s="5"/>
    </row>
    <row r="129" spans="2:17" x14ac:dyDescent="0.15">
      <c r="B129" s="14"/>
      <c r="C129" s="10"/>
      <c r="D129" s="134"/>
      <c r="E129" s="48"/>
      <c r="F129" s="6"/>
      <c r="G129" s="48"/>
      <c r="H129" s="48"/>
      <c r="J129" s="48"/>
      <c r="K129" s="48"/>
      <c r="L129" s="48"/>
      <c r="M129" s="60"/>
      <c r="N129" s="48"/>
      <c r="O129" s="48"/>
      <c r="P129" s="48"/>
      <c r="Q129" s="48"/>
    </row>
    <row r="130" spans="2:17" x14ac:dyDescent="0.15">
      <c r="B130" s="9" t="s">
        <v>20</v>
      </c>
      <c r="C130" s="65">
        <v>500000</v>
      </c>
      <c r="D130" s="134" t="s">
        <v>158</v>
      </c>
      <c r="E130" s="48"/>
      <c r="F130" s="6"/>
      <c r="G130" s="48"/>
      <c r="H130" s="48"/>
      <c r="J130" s="48"/>
      <c r="K130" s="48"/>
      <c r="L130" s="48"/>
      <c r="M130" s="60"/>
      <c r="N130" s="48"/>
      <c r="O130" s="48"/>
      <c r="P130" s="48"/>
      <c r="Q130" s="48"/>
    </row>
    <row r="131" spans="2:17" x14ac:dyDescent="0.15">
      <c r="B131" s="28" t="s">
        <v>34</v>
      </c>
      <c r="C131" s="204">
        <f>C119</f>
        <v>10000</v>
      </c>
      <c r="D131" s="134" t="s">
        <v>167</v>
      </c>
      <c r="E131" s="48"/>
      <c r="F131" s="6"/>
      <c r="G131" s="48"/>
      <c r="H131" s="48"/>
      <c r="J131" s="48"/>
      <c r="K131" s="48"/>
      <c r="L131" s="48"/>
      <c r="M131" s="60"/>
      <c r="N131" s="48"/>
      <c r="O131" s="48"/>
      <c r="P131" s="48"/>
      <c r="Q131" s="48"/>
    </row>
    <row r="132" spans="2:17" x14ac:dyDescent="0.15">
      <c r="B132" s="28" t="s">
        <v>162</v>
      </c>
      <c r="C132" s="50">
        <f>C131+C130</f>
        <v>510000</v>
      </c>
      <c r="D132" s="134" t="s">
        <v>163</v>
      </c>
      <c r="E132" s="48"/>
      <c r="F132" s="6"/>
      <c r="G132" s="48"/>
      <c r="H132" s="48"/>
      <c r="J132" s="48"/>
      <c r="K132" s="48"/>
      <c r="L132" s="48"/>
      <c r="M132" s="60"/>
      <c r="N132" s="48"/>
      <c r="O132" s="48"/>
      <c r="P132" s="48"/>
      <c r="Q132" s="48"/>
    </row>
    <row r="133" spans="2:17" x14ac:dyDescent="0.15">
      <c r="B133" s="14"/>
      <c r="C133" s="10"/>
      <c r="D133" s="134" t="s">
        <v>172</v>
      </c>
      <c r="E133" s="48"/>
      <c r="F133" s="6"/>
      <c r="G133" s="48"/>
      <c r="H133" s="48"/>
      <c r="J133" s="48"/>
      <c r="K133" s="48"/>
      <c r="L133" s="48"/>
      <c r="M133" s="60"/>
      <c r="N133" s="48"/>
      <c r="O133" s="48"/>
      <c r="P133" s="48"/>
      <c r="Q133" s="48"/>
    </row>
    <row r="134" spans="2:17" x14ac:dyDescent="0.15">
      <c r="B134" s="14" t="s">
        <v>164</v>
      </c>
      <c r="C134" s="53">
        <f>PMT(C124,C122,C132,0)</f>
        <v>-2150.1805720201974</v>
      </c>
      <c r="D134" s="134" t="s">
        <v>160</v>
      </c>
      <c r="E134" s="48"/>
      <c r="F134" s="6"/>
      <c r="G134" s="48"/>
      <c r="H134" s="48"/>
      <c r="J134" s="48"/>
      <c r="K134" s="48"/>
      <c r="L134" s="48"/>
      <c r="M134" s="60"/>
      <c r="N134" s="48"/>
      <c r="O134" s="48"/>
      <c r="P134" s="48"/>
      <c r="Q134" s="48"/>
    </row>
    <row r="135" spans="2:17" x14ac:dyDescent="0.15">
      <c r="B135" s="14" t="s">
        <v>165</v>
      </c>
      <c r="C135" s="205">
        <f>RATE(C122,C134,C120,0)</f>
        <v>2.6295741331388194E-3</v>
      </c>
      <c r="D135" s="145" t="s">
        <v>173</v>
      </c>
      <c r="F135" s="6"/>
      <c r="G135" s="48"/>
      <c r="H135" s="48"/>
      <c r="J135" s="48"/>
      <c r="K135" s="48"/>
      <c r="L135" s="48"/>
      <c r="M135" s="60"/>
      <c r="N135" s="48"/>
      <c r="O135" s="48"/>
      <c r="P135" s="48"/>
      <c r="Q135" s="48"/>
    </row>
    <row r="136" spans="2:17" x14ac:dyDescent="0.15">
      <c r="B136" s="14" t="s">
        <v>166</v>
      </c>
      <c r="C136" s="12">
        <f>C135*12</f>
        <v>3.1554889597665836E-2</v>
      </c>
      <c r="D136" s="134" t="s">
        <v>161</v>
      </c>
      <c r="E136" s="48"/>
      <c r="F136" s="6"/>
      <c r="G136" s="48"/>
      <c r="H136" s="48"/>
      <c r="J136" s="48"/>
      <c r="K136" s="48"/>
      <c r="L136" s="48"/>
      <c r="M136" s="60"/>
      <c r="N136" s="48"/>
      <c r="O136" s="48"/>
      <c r="P136" s="48"/>
      <c r="Q136" s="48"/>
    </row>
    <row r="137" spans="2:17" x14ac:dyDescent="0.15">
      <c r="B137" s="14"/>
      <c r="C137" s="10"/>
      <c r="D137" s="134" t="s">
        <v>168</v>
      </c>
      <c r="E137" s="48"/>
      <c r="F137" s="6"/>
      <c r="G137" s="48"/>
      <c r="H137" s="48"/>
      <c r="J137" s="48"/>
      <c r="K137" s="48"/>
      <c r="L137" s="48"/>
      <c r="M137" s="60"/>
      <c r="N137" s="48"/>
      <c r="O137" s="48"/>
      <c r="P137" s="48"/>
      <c r="Q137" s="48"/>
    </row>
    <row r="138" spans="2:17" ht="14" thickBot="1" x14ac:dyDescent="0.2">
      <c r="B138" s="14"/>
      <c r="C138" s="10"/>
      <c r="D138" s="134" t="s">
        <v>169</v>
      </c>
      <c r="E138" s="48"/>
      <c r="F138" s="6"/>
      <c r="G138" s="48"/>
      <c r="H138" s="48"/>
      <c r="J138" s="48"/>
      <c r="K138" s="48"/>
      <c r="L138" s="48"/>
      <c r="M138" s="60"/>
      <c r="N138" s="48"/>
      <c r="O138" s="48"/>
      <c r="P138" s="48"/>
      <c r="Q138" s="48"/>
    </row>
    <row r="139" spans="2:17" ht="14" thickBot="1" x14ac:dyDescent="0.2">
      <c r="B139" s="177" t="s">
        <v>8</v>
      </c>
      <c r="C139" s="10"/>
      <c r="D139" s="48"/>
      <c r="E139" s="48"/>
      <c r="F139" s="6"/>
      <c r="G139" s="48"/>
      <c r="H139" s="5"/>
      <c r="J139" s="5"/>
      <c r="K139" s="5"/>
      <c r="L139" s="5"/>
      <c r="M139" s="25"/>
      <c r="N139" s="5"/>
      <c r="O139" s="5"/>
      <c r="P139" s="5"/>
      <c r="Q139" s="5"/>
    </row>
    <row r="140" spans="2:17" x14ac:dyDescent="0.15">
      <c r="B140" s="28" t="s">
        <v>25</v>
      </c>
      <c r="C140" s="65">
        <v>500000</v>
      </c>
      <c r="D140" s="48"/>
      <c r="E140" s="48"/>
      <c r="F140" s="6"/>
      <c r="G140" s="48"/>
      <c r="H140" s="5"/>
      <c r="J140" s="5"/>
      <c r="K140" s="5"/>
      <c r="L140" s="5"/>
      <c r="M140" s="25"/>
      <c r="N140" s="5"/>
      <c r="O140" s="5"/>
      <c r="P140" s="5"/>
      <c r="Q140" s="5"/>
    </row>
    <row r="141" spans="2:17" x14ac:dyDescent="0.15">
      <c r="B141" s="9" t="s">
        <v>21</v>
      </c>
      <c r="C141" s="12">
        <f>C49</f>
        <v>2.5000000000000001E-3</v>
      </c>
      <c r="D141" s="129" t="s">
        <v>145</v>
      </c>
      <c r="E141" s="48"/>
      <c r="F141" s="6"/>
      <c r="G141" s="48"/>
      <c r="H141" s="5"/>
      <c r="J141" s="5"/>
      <c r="K141" s="5"/>
      <c r="L141" s="5"/>
      <c r="M141" s="25"/>
      <c r="N141" s="5"/>
      <c r="O141" s="5"/>
      <c r="P141" s="5"/>
      <c r="Q141" s="5"/>
    </row>
    <row r="142" spans="2:17" x14ac:dyDescent="0.15">
      <c r="B142" s="9" t="s">
        <v>7</v>
      </c>
      <c r="C142" s="64">
        <f>PMT(C141,C143,C140)</f>
        <v>-2108.0201686472524</v>
      </c>
      <c r="D142" s="48"/>
      <c r="E142" s="48"/>
      <c r="F142" s="6"/>
      <c r="G142" s="48"/>
      <c r="H142" s="5"/>
      <c r="J142" s="5"/>
      <c r="K142" s="5"/>
      <c r="L142" s="5"/>
      <c r="M142" s="25"/>
      <c r="N142" s="5"/>
      <c r="O142" s="5"/>
      <c r="P142" s="5"/>
      <c r="Q142" s="5"/>
    </row>
    <row r="143" spans="2:17" x14ac:dyDescent="0.15">
      <c r="B143" s="9" t="s">
        <v>36</v>
      </c>
      <c r="C143" s="10">
        <v>360</v>
      </c>
      <c r="D143" s="48"/>
      <c r="E143" s="48"/>
      <c r="F143" s="6"/>
      <c r="G143" s="48"/>
      <c r="H143" s="5"/>
      <c r="J143" s="5"/>
      <c r="K143" s="5"/>
      <c r="L143" s="5"/>
      <c r="M143" s="25"/>
      <c r="N143" s="5"/>
      <c r="O143" s="5"/>
      <c r="P143" s="5"/>
      <c r="Q143" s="5"/>
    </row>
    <row r="144" spans="2:17" x14ac:dyDescent="0.15">
      <c r="B144" s="9"/>
      <c r="C144" s="10"/>
      <c r="D144" s="48"/>
      <c r="E144" s="48"/>
      <c r="F144" s="6"/>
      <c r="G144" s="48"/>
      <c r="H144" s="48"/>
      <c r="J144" s="48"/>
      <c r="K144" s="48"/>
      <c r="L144" s="48"/>
      <c r="M144" s="25"/>
      <c r="N144" s="48"/>
      <c r="O144" s="48"/>
      <c r="P144" s="48"/>
      <c r="Q144" s="48"/>
    </row>
    <row r="145" spans="2:17" x14ac:dyDescent="0.15">
      <c r="B145" s="9" t="s">
        <v>7</v>
      </c>
      <c r="C145" s="64">
        <f>C142</f>
        <v>-2108.0201686472524</v>
      </c>
      <c r="D145" s="52" t="s">
        <v>54</v>
      </c>
      <c r="E145" s="48"/>
      <c r="F145" s="6"/>
      <c r="G145" s="48"/>
      <c r="H145" s="5"/>
      <c r="J145" s="5"/>
      <c r="K145" s="5"/>
      <c r="L145" s="5"/>
      <c r="M145" s="25"/>
      <c r="N145" s="5"/>
      <c r="O145" s="5"/>
      <c r="P145" s="5"/>
      <c r="Q145" s="5"/>
    </row>
    <row r="146" spans="2:17" x14ac:dyDescent="0.15">
      <c r="B146" s="9" t="s">
        <v>9</v>
      </c>
      <c r="C146" s="10">
        <f>360-(12*3)</f>
        <v>324</v>
      </c>
      <c r="D146" s="125" t="s">
        <v>144</v>
      </c>
      <c r="E146" s="48"/>
      <c r="F146" s="6"/>
      <c r="G146" s="48"/>
      <c r="H146" s="5"/>
      <c r="J146" s="5"/>
      <c r="K146" s="5"/>
      <c r="L146" s="5"/>
      <c r="M146" s="25"/>
      <c r="N146" s="5"/>
      <c r="O146" s="5"/>
      <c r="P146" s="5"/>
      <c r="Q146" s="5"/>
    </row>
    <row r="147" spans="2:17" x14ac:dyDescent="0.15">
      <c r="B147" s="9" t="s">
        <v>26</v>
      </c>
      <c r="C147" s="12">
        <f>C141</f>
        <v>2.5000000000000001E-3</v>
      </c>
      <c r="D147" s="129" t="s">
        <v>138</v>
      </c>
      <c r="E147" s="48"/>
      <c r="F147" s="6"/>
      <c r="G147" s="48"/>
      <c r="H147" s="5"/>
      <c r="J147" s="5"/>
      <c r="K147" s="5"/>
      <c r="L147" s="5"/>
      <c r="M147" s="25"/>
      <c r="N147" s="5"/>
      <c r="O147" s="5"/>
      <c r="P147" s="5"/>
      <c r="Q147" s="5"/>
    </row>
    <row r="148" spans="2:17" x14ac:dyDescent="0.15">
      <c r="B148" s="14" t="s">
        <v>67</v>
      </c>
      <c r="C148" s="107">
        <f>PV(C147,C146,C145)</f>
        <v>467720.80049893726</v>
      </c>
      <c r="D148" s="106" t="s">
        <v>27</v>
      </c>
      <c r="E148" s="48"/>
      <c r="F148" s="6"/>
      <c r="G148" s="48"/>
      <c r="H148" s="5"/>
      <c r="J148" s="5"/>
      <c r="K148" s="5"/>
      <c r="L148" s="5"/>
      <c r="M148" s="25"/>
      <c r="N148" s="5"/>
      <c r="O148" s="5"/>
      <c r="P148" s="5"/>
      <c r="Q148" s="5"/>
    </row>
    <row r="149" spans="2:17" x14ac:dyDescent="0.15">
      <c r="B149" s="9"/>
      <c r="C149" s="10"/>
      <c r="D149" s="48"/>
      <c r="E149" s="48"/>
      <c r="F149" s="6"/>
      <c r="G149" s="48"/>
      <c r="H149" s="5"/>
      <c r="J149" s="5"/>
      <c r="K149" s="5"/>
      <c r="L149" s="5"/>
      <c r="M149" s="25"/>
      <c r="N149" s="5"/>
      <c r="O149" s="5"/>
      <c r="P149" s="5"/>
      <c r="Q149" s="5"/>
    </row>
    <row r="150" spans="2:17" ht="13" customHeight="1" x14ac:dyDescent="0.15">
      <c r="B150" s="9"/>
      <c r="C150" s="50"/>
      <c r="D150" s="102" t="s">
        <v>94</v>
      </c>
      <c r="E150" s="102"/>
      <c r="F150" s="103"/>
      <c r="G150" s="48"/>
      <c r="H150" s="48"/>
      <c r="J150" s="48"/>
      <c r="K150" s="48"/>
      <c r="L150" s="48"/>
      <c r="M150" s="25"/>
      <c r="N150" s="48"/>
      <c r="O150" s="48"/>
      <c r="P150" s="48"/>
      <c r="Q150" s="48"/>
    </row>
    <row r="151" spans="2:17" x14ac:dyDescent="0.15">
      <c r="B151" s="14" t="s">
        <v>28</v>
      </c>
      <c r="C151" s="110">
        <f>CUMPRINC(C141,C122,C120,1,36,0)</f>
        <v>-32279.199501057301</v>
      </c>
      <c r="D151" s="33" t="s">
        <v>60</v>
      </c>
      <c r="E151" s="48"/>
      <c r="F151" s="6"/>
      <c r="G151" s="48"/>
      <c r="H151" s="5"/>
      <c r="J151" s="5"/>
      <c r="K151" s="5"/>
      <c r="L151" s="5"/>
      <c r="M151" s="25"/>
      <c r="N151" s="5"/>
      <c r="O151" s="5"/>
      <c r="P151" s="5"/>
      <c r="Q151" s="5"/>
    </row>
    <row r="152" spans="2:17" x14ac:dyDescent="0.15">
      <c r="B152" s="9" t="s">
        <v>29</v>
      </c>
      <c r="C152" s="65">
        <f>C140+C151</f>
        <v>467720.80049894273</v>
      </c>
      <c r="D152" s="145" t="s">
        <v>95</v>
      </c>
      <c r="E152" s="48"/>
      <c r="F152" s="6"/>
      <c r="G152" s="48"/>
      <c r="H152" s="5"/>
      <c r="J152" s="5"/>
      <c r="K152" s="5"/>
      <c r="L152" s="5"/>
      <c r="M152" s="25"/>
      <c r="N152" s="5"/>
      <c r="O152" s="5"/>
      <c r="P152" s="5"/>
      <c r="Q152" s="5"/>
    </row>
    <row r="153" spans="2:17" x14ac:dyDescent="0.15">
      <c r="B153" s="9"/>
      <c r="C153" s="65"/>
      <c r="D153" s="48"/>
      <c r="E153" s="48"/>
      <c r="F153" s="6"/>
      <c r="G153" s="48"/>
      <c r="H153" s="48"/>
      <c r="J153" s="48"/>
      <c r="K153" s="48"/>
      <c r="L153" s="48"/>
      <c r="M153" s="60"/>
      <c r="N153" s="48"/>
      <c r="O153" s="48"/>
      <c r="P153" s="48"/>
      <c r="Q153" s="48"/>
    </row>
    <row r="154" spans="2:17" x14ac:dyDescent="0.15">
      <c r="B154" s="9"/>
      <c r="C154" s="65"/>
      <c r="D154" s="60" t="s">
        <v>97</v>
      </c>
      <c r="E154" s="48"/>
      <c r="F154" s="6"/>
      <c r="G154" s="48"/>
      <c r="H154" s="48"/>
      <c r="J154" s="48"/>
      <c r="K154" s="48"/>
      <c r="L154" s="48"/>
      <c r="M154" s="60"/>
      <c r="N154" s="48"/>
      <c r="O154" s="48"/>
      <c r="P154" s="48"/>
      <c r="Q154" s="48"/>
    </row>
    <row r="155" spans="2:17" x14ac:dyDescent="0.15">
      <c r="B155" s="9"/>
      <c r="C155" s="65"/>
      <c r="D155" s="22"/>
      <c r="E155" s="48"/>
      <c r="F155" s="6"/>
      <c r="G155" s="48"/>
      <c r="H155" s="48"/>
      <c r="J155" s="48"/>
      <c r="K155" s="48"/>
      <c r="L155" s="48"/>
      <c r="M155" s="60"/>
      <c r="N155" s="48"/>
      <c r="O155" s="48"/>
      <c r="P155" s="48"/>
      <c r="Q155" s="48"/>
    </row>
    <row r="156" spans="2:17" x14ac:dyDescent="0.15">
      <c r="B156" s="9"/>
      <c r="C156" s="65"/>
      <c r="D156" s="145" t="s">
        <v>96</v>
      </c>
      <c r="E156" s="48"/>
      <c r="F156" s="6"/>
      <c r="G156" s="48"/>
      <c r="H156" s="48"/>
      <c r="J156" s="48"/>
      <c r="K156" s="48"/>
      <c r="L156" s="48"/>
      <c r="M156" s="60"/>
      <c r="N156" s="48"/>
      <c r="O156" s="48"/>
      <c r="P156" s="48"/>
      <c r="Q156" s="48"/>
    </row>
    <row r="157" spans="2:17" x14ac:dyDescent="0.15">
      <c r="B157" s="9"/>
      <c r="C157" s="65"/>
      <c r="D157" s="22"/>
      <c r="E157" s="48"/>
      <c r="F157" s="6"/>
      <c r="G157" s="48"/>
      <c r="H157" s="48"/>
      <c r="J157" s="48"/>
      <c r="K157" s="48"/>
      <c r="L157" s="48"/>
      <c r="M157" s="60"/>
      <c r="N157" s="48"/>
      <c r="O157" s="48"/>
      <c r="P157" s="48"/>
      <c r="Q157" s="48"/>
    </row>
    <row r="158" spans="2:17" x14ac:dyDescent="0.15">
      <c r="B158" s="9"/>
      <c r="C158" s="50"/>
      <c r="D158" s="60" t="s">
        <v>55</v>
      </c>
      <c r="E158" s="48"/>
      <c r="F158" s="6"/>
      <c r="G158" s="48"/>
      <c r="H158" s="5"/>
      <c r="J158" s="5"/>
      <c r="K158" s="5"/>
      <c r="L158" s="5"/>
      <c r="M158" s="25"/>
      <c r="N158" s="5"/>
      <c r="O158" s="5"/>
      <c r="P158" s="5"/>
      <c r="Q158" s="5"/>
    </row>
    <row r="159" spans="2:17" x14ac:dyDescent="0.15">
      <c r="B159" s="9"/>
      <c r="C159" s="50"/>
      <c r="D159" s="134" t="s">
        <v>174</v>
      </c>
      <c r="E159" s="48"/>
      <c r="F159" s="6"/>
      <c r="G159" s="48"/>
      <c r="H159" s="48"/>
      <c r="J159" s="48"/>
      <c r="K159" s="48"/>
      <c r="L159" s="48"/>
      <c r="M159" s="25"/>
      <c r="N159" s="48"/>
      <c r="O159" s="48"/>
      <c r="P159" s="48"/>
      <c r="Q159" s="48"/>
    </row>
    <row r="160" spans="2:17" x14ac:dyDescent="0.15">
      <c r="B160" s="9"/>
      <c r="C160" s="10"/>
      <c r="D160" s="60" t="s">
        <v>82</v>
      </c>
      <c r="E160" s="48"/>
      <c r="F160" s="6"/>
      <c r="G160" s="48"/>
      <c r="H160" s="48"/>
      <c r="J160" s="48"/>
      <c r="K160" s="48"/>
      <c r="L160" s="48"/>
      <c r="M160" s="25"/>
      <c r="N160" s="48"/>
      <c r="O160" s="48"/>
      <c r="P160" s="48"/>
      <c r="Q160" s="48"/>
    </row>
    <row r="161" spans="2:17" x14ac:dyDescent="0.15">
      <c r="B161" s="9" t="s">
        <v>7</v>
      </c>
      <c r="C161" s="64">
        <f>C145</f>
        <v>-2108.0201686472524</v>
      </c>
      <c r="D161" s="48" t="s">
        <v>56</v>
      </c>
      <c r="E161" s="48"/>
      <c r="F161" s="6"/>
      <c r="G161" s="48"/>
      <c r="H161" s="5"/>
      <c r="J161" s="5"/>
      <c r="K161" s="5"/>
      <c r="L161" s="5"/>
      <c r="M161" s="25"/>
      <c r="N161" s="5"/>
      <c r="O161" s="5"/>
      <c r="P161" s="5"/>
      <c r="Q161" s="5"/>
    </row>
    <row r="162" spans="2:17" x14ac:dyDescent="0.15">
      <c r="B162" s="9" t="s">
        <v>36</v>
      </c>
      <c r="C162" s="10">
        <v>36</v>
      </c>
      <c r="D162" s="48"/>
      <c r="E162" s="48"/>
      <c r="F162" s="6"/>
      <c r="G162" s="48"/>
      <c r="H162" s="5"/>
      <c r="J162" s="5"/>
      <c r="K162" s="5"/>
      <c r="L162" s="5"/>
      <c r="M162" s="25"/>
      <c r="N162" s="5"/>
      <c r="O162" s="5"/>
      <c r="P162" s="5"/>
      <c r="Q162" s="5"/>
    </row>
    <row r="163" spans="2:17" x14ac:dyDescent="0.15">
      <c r="B163" s="9" t="s">
        <v>11</v>
      </c>
      <c r="C163" s="50">
        <f>C152</f>
        <v>467720.80049894273</v>
      </c>
      <c r="D163" s="48" t="s">
        <v>61</v>
      </c>
      <c r="E163" s="48"/>
      <c r="F163" s="6"/>
      <c r="G163" s="48"/>
      <c r="H163" s="5"/>
      <c r="J163" s="5"/>
      <c r="K163" s="5"/>
      <c r="L163" s="5"/>
      <c r="M163" s="25"/>
      <c r="N163" s="5"/>
      <c r="O163" s="5"/>
      <c r="P163" s="5"/>
      <c r="Q163" s="5"/>
    </row>
    <row r="164" spans="2:17" x14ac:dyDescent="0.15">
      <c r="B164" s="9" t="s">
        <v>6</v>
      </c>
      <c r="C164" s="65">
        <f>C123</f>
        <v>490000</v>
      </c>
      <c r="D164" s="48" t="s">
        <v>62</v>
      </c>
      <c r="E164" s="48"/>
      <c r="F164" s="6"/>
      <c r="G164" s="48"/>
      <c r="H164" s="5"/>
      <c r="J164" s="5"/>
      <c r="K164" s="5"/>
      <c r="L164" s="5"/>
      <c r="M164" s="25"/>
      <c r="N164" s="5"/>
      <c r="O164" s="5"/>
      <c r="P164" s="5"/>
      <c r="Q164" s="5"/>
    </row>
    <row r="165" spans="2:17" x14ac:dyDescent="0.15">
      <c r="B165" s="14" t="s">
        <v>22</v>
      </c>
      <c r="C165" s="206">
        <f>RATE(C162,C161,C164,-C163)</f>
        <v>3.1064354703270133E-3</v>
      </c>
      <c r="D165" s="33" t="s">
        <v>59</v>
      </c>
      <c r="E165" s="60"/>
      <c r="F165" s="56"/>
      <c r="G165" s="48"/>
      <c r="H165" s="5"/>
      <c r="J165" s="5"/>
      <c r="K165" s="5"/>
      <c r="L165" s="5"/>
      <c r="M165" s="25"/>
      <c r="N165" s="5"/>
      <c r="O165" s="5"/>
      <c r="P165" s="5"/>
      <c r="Q165" s="5"/>
    </row>
    <row r="166" spans="2:17" x14ac:dyDescent="0.15">
      <c r="B166" s="42" t="s">
        <v>23</v>
      </c>
      <c r="C166" s="94">
        <f>C165*12</f>
        <v>3.7277225643924161E-2</v>
      </c>
      <c r="D166" s="13" t="s">
        <v>63</v>
      </c>
      <c r="E166" s="48"/>
      <c r="F166" s="6"/>
      <c r="G166" s="48"/>
      <c r="H166" s="5"/>
      <c r="J166" s="5"/>
      <c r="K166" s="5"/>
      <c r="L166" s="5"/>
      <c r="M166" s="25"/>
      <c r="N166" s="5"/>
      <c r="O166" s="5"/>
      <c r="P166" s="5"/>
      <c r="Q166" s="5"/>
    </row>
    <row r="167" spans="2:17" ht="14" thickBot="1" x14ac:dyDescent="0.2">
      <c r="B167" s="43" t="s">
        <v>24</v>
      </c>
      <c r="C167" s="96">
        <f>(1+C165)^12-1</f>
        <v>3.7920763019213766E-2</v>
      </c>
      <c r="D167" s="15" t="s">
        <v>38</v>
      </c>
      <c r="E167" s="7"/>
      <c r="F167" s="8"/>
      <c r="G167" s="48"/>
      <c r="H167" s="5"/>
      <c r="J167" s="5"/>
      <c r="K167" s="5"/>
      <c r="L167" s="5"/>
      <c r="M167" s="25"/>
      <c r="N167" s="5"/>
      <c r="O167" s="5"/>
      <c r="P167" s="5"/>
      <c r="Q167" s="5"/>
    </row>
    <row r="168" spans="2:17" ht="14" thickBot="1" x14ac:dyDescent="0.2">
      <c r="B168" s="20"/>
      <c r="C168" s="26"/>
      <c r="D168" s="13"/>
      <c r="E168" s="5"/>
      <c r="F168" s="5"/>
      <c r="G168" s="48"/>
      <c r="H168" s="5"/>
      <c r="J168" s="5"/>
      <c r="K168" s="5"/>
      <c r="L168" s="5"/>
      <c r="M168" s="25"/>
      <c r="N168" s="5"/>
      <c r="O168" s="5"/>
      <c r="P168" s="5"/>
      <c r="Q168" s="5"/>
    </row>
    <row r="169" spans="2:17" s="27" customFormat="1" ht="14" thickBot="1" x14ac:dyDescent="0.2">
      <c r="B169" s="46" t="s">
        <v>119</v>
      </c>
      <c r="C169" s="150"/>
      <c r="D169" s="151"/>
      <c r="E169" s="152"/>
      <c r="F169" s="153"/>
      <c r="M169" s="74"/>
    </row>
    <row r="170" spans="2:17" s="27" customFormat="1" x14ac:dyDescent="0.15">
      <c r="B170" s="42"/>
      <c r="F170" s="154"/>
      <c r="M170" s="74"/>
    </row>
    <row r="171" spans="2:17" s="27" customFormat="1" x14ac:dyDescent="0.15">
      <c r="B171" s="158" t="s">
        <v>85</v>
      </c>
      <c r="C171" s="75"/>
      <c r="F171" s="154"/>
      <c r="M171" s="74"/>
    </row>
    <row r="172" spans="2:17" s="27" customFormat="1" x14ac:dyDescent="0.15">
      <c r="B172" s="42"/>
      <c r="C172" s="73"/>
      <c r="D172" s="22"/>
      <c r="F172" s="154"/>
      <c r="M172" s="74"/>
    </row>
    <row r="173" spans="2:17" s="27" customFormat="1" ht="14" thickBot="1" x14ac:dyDescent="0.2">
      <c r="B173" s="155"/>
      <c r="C173" s="156"/>
      <c r="D173" s="156"/>
      <c r="E173" s="156"/>
      <c r="F173" s="157"/>
      <c r="M173" s="74"/>
    </row>
    <row r="174" spans="2:17" s="27" customFormat="1" x14ac:dyDescent="0.15">
      <c r="B174" s="76"/>
      <c r="M174" s="74"/>
    </row>
    <row r="175" spans="2:17" s="27" customFormat="1" x14ac:dyDescent="0.15">
      <c r="B175" s="39"/>
      <c r="M175" s="164"/>
    </row>
    <row r="176" spans="2:17" s="27" customFormat="1" x14ac:dyDescent="0.15">
      <c r="B176" s="76"/>
      <c r="M176" s="164"/>
    </row>
    <row r="177" spans="2:13" s="27" customFormat="1" x14ac:dyDescent="0.15">
      <c r="B177" s="76"/>
      <c r="C177" s="76"/>
      <c r="M177" s="164"/>
    </row>
    <row r="178" spans="2:13" s="27" customFormat="1" x14ac:dyDescent="0.15">
      <c r="B178" s="76"/>
      <c r="C178" s="149"/>
      <c r="M178" s="164"/>
    </row>
    <row r="179" spans="2:13" s="27" customFormat="1" x14ac:dyDescent="0.15">
      <c r="B179" s="178"/>
      <c r="C179" s="163"/>
      <c r="M179" s="164"/>
    </row>
    <row r="180" spans="2:13" s="27" customFormat="1" x14ac:dyDescent="0.15">
      <c r="C180" s="161"/>
      <c r="M180" s="164"/>
    </row>
    <row r="181" spans="2:13" s="27" customFormat="1" x14ac:dyDescent="0.15">
      <c r="B181" s="178"/>
      <c r="C181" s="106"/>
      <c r="M181" s="164"/>
    </row>
    <row r="182" spans="2:13" s="27" customFormat="1" x14ac:dyDescent="0.15">
      <c r="B182" s="179"/>
      <c r="C182" s="134"/>
      <c r="M182" s="164"/>
    </row>
    <row r="183" spans="2:13" s="27" customFormat="1" x14ac:dyDescent="0.15">
      <c r="M183" s="164"/>
    </row>
    <row r="184" spans="2:13" s="27" customFormat="1" x14ac:dyDescent="0.15">
      <c r="M184" s="164"/>
    </row>
    <row r="185" spans="2:13" s="27" customFormat="1" x14ac:dyDescent="0.15">
      <c r="B185" s="39"/>
      <c r="C185" s="73"/>
      <c r="D185" s="22"/>
      <c r="M185" s="74"/>
    </row>
    <row r="186" spans="2:13" s="27" customFormat="1" x14ac:dyDescent="0.15">
      <c r="B186" s="39"/>
      <c r="M186" s="74"/>
    </row>
    <row r="187" spans="2:13" s="27" customFormat="1" x14ac:dyDescent="0.15">
      <c r="B187" s="39"/>
      <c r="C187" s="77"/>
      <c r="D187" s="209"/>
      <c r="E187" s="209"/>
      <c r="M187" s="74"/>
    </row>
    <row r="188" spans="2:13" s="27" customFormat="1" x14ac:dyDescent="0.15">
      <c r="B188" s="76"/>
      <c r="M188" s="74"/>
    </row>
    <row r="189" spans="2:13" s="27" customFormat="1" x14ac:dyDescent="0.15">
      <c r="B189" s="76"/>
      <c r="M189" s="74"/>
    </row>
    <row r="190" spans="2:13" s="27" customFormat="1" x14ac:dyDescent="0.15">
      <c r="B190" s="76"/>
      <c r="M190" s="74"/>
    </row>
    <row r="191" spans="2:13" s="27" customFormat="1" x14ac:dyDescent="0.15">
      <c r="B191" s="76"/>
      <c r="C191" s="78"/>
      <c r="M191" s="74"/>
    </row>
    <row r="192" spans="2:13" s="27" customFormat="1" x14ac:dyDescent="0.15">
      <c r="B192" s="39"/>
    </row>
    <row r="193" spans="2:6" s="27" customFormat="1" x14ac:dyDescent="0.15">
      <c r="B193" s="39"/>
      <c r="C193" s="77"/>
      <c r="D193" s="209"/>
      <c r="E193" s="209"/>
    </row>
    <row r="194" spans="2:6" s="27" customFormat="1" x14ac:dyDescent="0.15">
      <c r="B194" s="76"/>
    </row>
    <row r="195" spans="2:6" s="27" customFormat="1" x14ac:dyDescent="0.15">
      <c r="B195" s="76"/>
      <c r="D195" s="210"/>
      <c r="E195" s="210"/>
    </row>
    <row r="196" spans="2:6" s="27" customFormat="1" x14ac:dyDescent="0.15">
      <c r="B196" s="76"/>
    </row>
    <row r="197" spans="2:6" s="27" customFormat="1" x14ac:dyDescent="0.15">
      <c r="B197" s="76"/>
      <c r="C197" s="78"/>
    </row>
    <row r="198" spans="2:6" s="27" customFormat="1" x14ac:dyDescent="0.15"/>
    <row r="199" spans="2:6" s="27" customFormat="1" x14ac:dyDescent="0.15">
      <c r="B199" s="208"/>
      <c r="C199" s="208"/>
      <c r="D199" s="208"/>
      <c r="E199" s="208"/>
      <c r="F199" s="208"/>
    </row>
    <row r="200" spans="2:6" s="27" customFormat="1" x14ac:dyDescent="0.15">
      <c r="B200" s="208"/>
      <c r="C200" s="208"/>
      <c r="D200" s="208"/>
      <c r="E200" s="208"/>
      <c r="F200" s="208"/>
    </row>
    <row r="201" spans="2:6" s="27" customFormat="1" x14ac:dyDescent="0.15">
      <c r="B201" s="208"/>
      <c r="C201" s="208"/>
      <c r="D201" s="208"/>
      <c r="E201" s="208"/>
      <c r="F201" s="208"/>
    </row>
    <row r="202" spans="2:6" s="27" customFormat="1" x14ac:dyDescent="0.15">
      <c r="B202" s="208"/>
      <c r="C202" s="208"/>
      <c r="D202" s="208"/>
      <c r="E202" s="208"/>
      <c r="F202" s="208"/>
    </row>
    <row r="203" spans="2:6" s="27" customFormat="1" x14ac:dyDescent="0.15">
      <c r="B203" s="79"/>
    </row>
    <row r="204" spans="2:6" s="27" customFormat="1" x14ac:dyDescent="0.15">
      <c r="B204" s="207"/>
      <c r="C204" s="208"/>
      <c r="D204" s="208"/>
      <c r="E204" s="208"/>
      <c r="F204" s="208"/>
    </row>
    <row r="205" spans="2:6" s="27" customFormat="1" ht="12.75" customHeight="1" x14ac:dyDescent="0.15">
      <c r="B205" s="208"/>
      <c r="C205" s="208"/>
      <c r="D205" s="208"/>
      <c r="E205" s="208"/>
      <c r="F205" s="208"/>
    </row>
    <row r="206" spans="2:6" s="27" customFormat="1" x14ac:dyDescent="0.15">
      <c r="B206" s="208"/>
      <c r="C206" s="208"/>
      <c r="D206" s="208"/>
      <c r="E206" s="208"/>
      <c r="F206" s="208"/>
    </row>
    <row r="207" spans="2:6" s="27" customFormat="1" x14ac:dyDescent="0.15">
      <c r="B207" s="208"/>
      <c r="C207" s="208"/>
      <c r="D207" s="208"/>
      <c r="E207" s="208"/>
      <c r="F207" s="208"/>
    </row>
    <row r="208" spans="2:6" s="27" customFormat="1" x14ac:dyDescent="0.15">
      <c r="B208" s="208"/>
      <c r="C208" s="208"/>
      <c r="D208" s="208"/>
      <c r="E208" s="208"/>
      <c r="F208" s="208"/>
    </row>
    <row r="209" spans="2:6" s="27" customFormat="1" x14ac:dyDescent="0.15">
      <c r="B209" s="208"/>
      <c r="C209" s="208"/>
      <c r="D209" s="208"/>
      <c r="E209" s="208"/>
      <c r="F209" s="208"/>
    </row>
    <row r="210" spans="2:6" s="27" customFormat="1" ht="12.75" customHeight="1" x14ac:dyDescent="0.15"/>
    <row r="211" spans="2:6" s="27" customFormat="1" x14ac:dyDescent="0.15">
      <c r="B211" s="76"/>
      <c r="C211" s="80"/>
      <c r="D211" s="22"/>
    </row>
    <row r="212" spans="2:6" s="27" customFormat="1" x14ac:dyDescent="0.15">
      <c r="B212" s="39"/>
    </row>
    <row r="213" spans="2:6" s="27" customFormat="1" x14ac:dyDescent="0.15">
      <c r="B213" s="76"/>
      <c r="C213" s="81"/>
    </row>
    <row r="214" spans="2:6" s="27" customFormat="1" x14ac:dyDescent="0.15">
      <c r="B214" s="76"/>
      <c r="C214" s="82"/>
    </row>
    <row r="215" spans="2:6" s="27" customFormat="1" x14ac:dyDescent="0.15">
      <c r="B215" s="76"/>
      <c r="C215" s="81"/>
    </row>
    <row r="216" spans="2:6" s="27" customFormat="1" x14ac:dyDescent="0.15">
      <c r="B216" s="39"/>
      <c r="C216" s="83"/>
      <c r="D216" s="22"/>
    </row>
    <row r="217" spans="2:6" s="27" customFormat="1" x14ac:dyDescent="0.15"/>
    <row r="218" spans="2:6" s="27" customFormat="1" x14ac:dyDescent="0.15"/>
    <row r="219" spans="2:6" s="27" customFormat="1" x14ac:dyDescent="0.15"/>
    <row r="220" spans="2:6" s="27" customFormat="1" x14ac:dyDescent="0.15"/>
    <row r="221" spans="2:6" s="27" customFormat="1" x14ac:dyDescent="0.15">
      <c r="B221" s="74"/>
    </row>
    <row r="222" spans="2:6" s="27" customFormat="1" x14ac:dyDescent="0.15">
      <c r="B222" s="76"/>
      <c r="C222" s="81"/>
    </row>
    <row r="223" spans="2:6" s="27" customFormat="1" x14ac:dyDescent="0.15">
      <c r="B223" s="76"/>
      <c r="C223" s="84"/>
    </row>
    <row r="224" spans="2:6" s="27" customFormat="1" x14ac:dyDescent="0.15">
      <c r="B224" s="76"/>
    </row>
    <row r="225" spans="2:4" s="27" customFormat="1" x14ac:dyDescent="0.15">
      <c r="B225" s="76"/>
    </row>
    <row r="226" spans="2:4" s="27" customFormat="1" x14ac:dyDescent="0.15">
      <c r="B226" s="39"/>
      <c r="C226" s="77"/>
      <c r="D226" s="22"/>
    </row>
    <row r="227" spans="2:4" s="27" customFormat="1" x14ac:dyDescent="0.15"/>
    <row r="228" spans="2:4" s="27" customFormat="1" x14ac:dyDescent="0.15">
      <c r="B228" s="39"/>
    </row>
    <row r="229" spans="2:4" s="27" customFormat="1" x14ac:dyDescent="0.15">
      <c r="B229" s="76"/>
      <c r="C229" s="85"/>
    </row>
    <row r="230" spans="2:4" s="27" customFormat="1" x14ac:dyDescent="0.15">
      <c r="B230" s="39"/>
      <c r="C230" s="86"/>
      <c r="D230" s="22"/>
    </row>
    <row r="231" spans="2:4" s="27" customFormat="1" x14ac:dyDescent="0.15">
      <c r="B231" s="39"/>
      <c r="C231" s="86"/>
      <c r="D231" s="22"/>
    </row>
    <row r="232" spans="2:4" s="27" customFormat="1" x14ac:dyDescent="0.15">
      <c r="B232" s="76"/>
      <c r="C232" s="87"/>
    </row>
    <row r="233" spans="2:4" s="27" customFormat="1" x14ac:dyDescent="0.15">
      <c r="B233" s="39"/>
    </row>
    <row r="234" spans="2:4" s="27" customFormat="1" x14ac:dyDescent="0.15">
      <c r="B234" s="76"/>
    </row>
    <row r="235" spans="2:4" s="27" customFormat="1" x14ac:dyDescent="0.15">
      <c r="B235" s="39"/>
      <c r="C235" s="77"/>
      <c r="D235" s="22"/>
    </row>
    <row r="236" spans="2:4" s="27" customFormat="1" x14ac:dyDescent="0.15"/>
    <row r="237" spans="2:4" s="27" customFormat="1" x14ac:dyDescent="0.15"/>
    <row r="238" spans="2:4" s="27" customFormat="1" x14ac:dyDescent="0.15"/>
    <row r="239" spans="2:4" s="27" customFormat="1" x14ac:dyDescent="0.15">
      <c r="B239" s="74"/>
    </row>
    <row r="240" spans="2:4" s="27" customFormat="1" x14ac:dyDescent="0.15">
      <c r="B240" s="76"/>
      <c r="C240" s="76"/>
    </row>
    <row r="241" spans="2:4" s="27" customFormat="1" x14ac:dyDescent="0.15">
      <c r="B241" s="76"/>
      <c r="C241" s="88"/>
    </row>
    <row r="242" spans="2:4" s="27" customFormat="1" x14ac:dyDescent="0.15">
      <c r="B242" s="39"/>
      <c r="C242" s="39"/>
      <c r="D242" s="22"/>
    </row>
    <row r="243" spans="2:4" s="27" customFormat="1" x14ac:dyDescent="0.15"/>
    <row r="244" spans="2:4" s="27" customFormat="1" x14ac:dyDescent="0.15">
      <c r="B244" s="39"/>
    </row>
    <row r="245" spans="2:4" s="27" customFormat="1" x14ac:dyDescent="0.15">
      <c r="B245" s="76"/>
      <c r="C245" s="76"/>
    </row>
    <row r="246" spans="2:4" s="27" customFormat="1" x14ac:dyDescent="0.15">
      <c r="B246" s="76"/>
      <c r="C246" s="88"/>
    </row>
    <row r="247" spans="2:4" s="27" customFormat="1" x14ac:dyDescent="0.15">
      <c r="B247" s="76"/>
      <c r="C247" s="76"/>
    </row>
    <row r="248" spans="2:4" s="27" customFormat="1" x14ac:dyDescent="0.15">
      <c r="B248" s="39"/>
      <c r="C248" s="39"/>
      <c r="D248" s="22"/>
    </row>
    <row r="249" spans="2:4" s="27" customFormat="1" x14ac:dyDescent="0.15"/>
    <row r="250" spans="2:4" s="27" customFormat="1" x14ac:dyDescent="0.15">
      <c r="B250" s="39"/>
    </row>
    <row r="251" spans="2:4" s="27" customFormat="1" x14ac:dyDescent="0.15">
      <c r="B251" s="76"/>
      <c r="C251" s="76"/>
    </row>
    <row r="252" spans="2:4" s="27" customFormat="1" x14ac:dyDescent="0.15">
      <c r="B252" s="76"/>
      <c r="C252" s="76"/>
      <c r="D252" s="22"/>
    </row>
    <row r="253" spans="2:4" s="27" customFormat="1" x14ac:dyDescent="0.15">
      <c r="B253" s="76"/>
      <c r="C253" s="88"/>
    </row>
    <row r="254" spans="2:4" s="27" customFormat="1" x14ac:dyDescent="0.15">
      <c r="B254" s="76"/>
      <c r="C254" s="76"/>
      <c r="D254" s="22"/>
    </row>
    <row r="255" spans="2:4" s="27" customFormat="1" x14ac:dyDescent="0.15">
      <c r="B255" s="76"/>
      <c r="C255" s="76"/>
    </row>
    <row r="256" spans="2:4" s="27" customFormat="1" x14ac:dyDescent="0.15">
      <c r="B256" s="76"/>
      <c r="C256" s="89"/>
      <c r="D256" s="22"/>
    </row>
    <row r="257" spans="2:8" s="27" customFormat="1" x14ac:dyDescent="0.15">
      <c r="B257" s="39"/>
      <c r="C257" s="90"/>
    </row>
    <row r="258" spans="2:8" s="27" customFormat="1" x14ac:dyDescent="0.15"/>
    <row r="259" spans="2:8" s="27" customFormat="1" x14ac:dyDescent="0.15"/>
    <row r="260" spans="2:8" s="27" customFormat="1" x14ac:dyDescent="0.15"/>
    <row r="261" spans="2:8" s="27" customFormat="1" x14ac:dyDescent="0.15">
      <c r="B261" s="74"/>
    </row>
    <row r="262" spans="2:8" s="27" customFormat="1" x14ac:dyDescent="0.15">
      <c r="B262" s="88"/>
      <c r="C262" s="91"/>
      <c r="D262" s="91"/>
      <c r="E262" s="91"/>
      <c r="F262" s="91"/>
    </row>
    <row r="263" spans="2:8" s="27" customFormat="1" x14ac:dyDescent="0.15">
      <c r="B263" s="76"/>
      <c r="C263" s="81"/>
    </row>
    <row r="264" spans="2:8" s="27" customFormat="1" x14ac:dyDescent="0.15">
      <c r="B264" s="76"/>
      <c r="C264" s="85"/>
    </row>
    <row r="265" spans="2:8" s="27" customFormat="1" x14ac:dyDescent="0.15">
      <c r="B265" s="76"/>
    </row>
    <row r="266" spans="2:8" s="27" customFormat="1" x14ac:dyDescent="0.15">
      <c r="B266" s="76"/>
      <c r="C266" s="81"/>
    </row>
    <row r="267" spans="2:8" s="27" customFormat="1" x14ac:dyDescent="0.15">
      <c r="B267" s="76"/>
      <c r="C267" s="92"/>
    </row>
    <row r="268" spans="2:8" s="27" customFormat="1" x14ac:dyDescent="0.15">
      <c r="B268" s="39"/>
      <c r="C268" s="93"/>
      <c r="D268" s="22"/>
      <c r="G268" s="91"/>
      <c r="H268" s="91"/>
    </row>
    <row r="269" spans="2:8" s="27" customFormat="1" x14ac:dyDescent="0.15"/>
    <row r="270" spans="2:8" s="27" customFormat="1" x14ac:dyDescent="0.15">
      <c r="B270" s="39"/>
    </row>
    <row r="271" spans="2:8" s="27" customFormat="1" x14ac:dyDescent="0.15">
      <c r="B271" s="76"/>
      <c r="C271" s="81"/>
    </row>
    <row r="272" spans="2:8" s="27" customFormat="1" x14ac:dyDescent="0.15">
      <c r="B272" s="76"/>
      <c r="C272" s="92"/>
    </row>
    <row r="273" spans="2:8" s="27" customFormat="1" x14ac:dyDescent="0.15">
      <c r="B273" s="76"/>
      <c r="C273" s="85"/>
    </row>
    <row r="274" spans="2:8" s="27" customFormat="1" x14ac:dyDescent="0.15">
      <c r="B274" s="76"/>
    </row>
    <row r="275" spans="2:8" s="27" customFormat="1" x14ac:dyDescent="0.15">
      <c r="B275" s="76"/>
    </row>
    <row r="276" spans="2:8" s="27" customFormat="1" x14ac:dyDescent="0.15">
      <c r="B276" s="76"/>
      <c r="C276" s="85"/>
    </row>
    <row r="277" spans="2:8" s="27" customFormat="1" x14ac:dyDescent="0.15">
      <c r="B277" s="76"/>
    </row>
    <row r="278" spans="2:8" s="27" customFormat="1" x14ac:dyDescent="0.15">
      <c r="B278" s="76"/>
      <c r="C278" s="92"/>
    </row>
    <row r="279" spans="2:8" s="27" customFormat="1" x14ac:dyDescent="0.15">
      <c r="B279" s="76"/>
      <c r="C279" s="81"/>
    </row>
    <row r="280" spans="2:8" s="27" customFormat="1" x14ac:dyDescent="0.15">
      <c r="B280" s="76"/>
    </row>
    <row r="281" spans="2:8" s="27" customFormat="1" x14ac:dyDescent="0.15">
      <c r="B281" s="76"/>
      <c r="C281" s="81"/>
      <c r="D281" s="22"/>
    </row>
    <row r="282" spans="2:8" s="27" customFormat="1" x14ac:dyDescent="0.15">
      <c r="B282" s="76"/>
      <c r="C282" s="81"/>
    </row>
    <row r="283" spans="2:8" s="27" customFormat="1" x14ac:dyDescent="0.15">
      <c r="B283" s="76"/>
    </row>
    <row r="284" spans="2:8" x14ac:dyDescent="0.15">
      <c r="B284" s="10"/>
      <c r="C284" s="21"/>
      <c r="D284" s="5"/>
      <c r="E284" s="5"/>
      <c r="F284" s="5"/>
      <c r="G284" s="5"/>
      <c r="H284" s="5"/>
    </row>
    <row r="285" spans="2:8" x14ac:dyDescent="0.15">
      <c r="B285" s="10"/>
      <c r="C285" s="5"/>
      <c r="D285" s="5"/>
      <c r="E285" s="5"/>
      <c r="F285" s="5"/>
      <c r="G285" s="5"/>
      <c r="H285" s="5"/>
    </row>
    <row r="286" spans="2:8" x14ac:dyDescent="0.15">
      <c r="B286" s="10"/>
      <c r="C286" s="23"/>
      <c r="D286" s="5"/>
      <c r="E286" s="5"/>
      <c r="F286" s="5"/>
      <c r="G286" s="5"/>
      <c r="H286" s="5"/>
    </row>
    <row r="287" spans="2:8" x14ac:dyDescent="0.15">
      <c r="B287" s="10"/>
      <c r="C287" s="17"/>
      <c r="D287" s="5"/>
      <c r="E287" s="5"/>
      <c r="F287" s="5"/>
      <c r="G287" s="5"/>
      <c r="H287" s="5"/>
    </row>
    <row r="288" spans="2:8" x14ac:dyDescent="0.15">
      <c r="B288" s="20"/>
      <c r="C288" s="29"/>
      <c r="D288" s="5"/>
      <c r="E288" s="5"/>
      <c r="F288" s="5"/>
      <c r="G288" s="5"/>
      <c r="H288" s="5"/>
    </row>
    <row r="289" spans="2:8" x14ac:dyDescent="0.15">
      <c r="B289" s="5"/>
      <c r="C289" s="5"/>
      <c r="D289" s="5"/>
      <c r="E289" s="5"/>
      <c r="F289" s="5"/>
      <c r="G289" s="5"/>
      <c r="H289" s="5"/>
    </row>
    <row r="290" spans="2:8" x14ac:dyDescent="0.15">
      <c r="B290" s="5"/>
      <c r="C290" s="5"/>
      <c r="D290" s="5"/>
      <c r="E290" s="5"/>
      <c r="F290" s="5"/>
      <c r="G290" s="5"/>
      <c r="H290" s="5"/>
    </row>
    <row r="291" spans="2:8" x14ac:dyDescent="0.15">
      <c r="B291" s="5"/>
      <c r="C291" s="5"/>
      <c r="D291" s="5"/>
      <c r="E291" s="5"/>
      <c r="F291" s="5"/>
      <c r="G291" s="5"/>
      <c r="H291" s="5"/>
    </row>
    <row r="292" spans="2:8" x14ac:dyDescent="0.15">
      <c r="G292" s="5"/>
      <c r="H292" s="5"/>
    </row>
    <row r="293" spans="2:8" x14ac:dyDescent="0.15">
      <c r="G293" s="5"/>
      <c r="H293" s="5"/>
    </row>
    <row r="294" spans="2:8" x14ac:dyDescent="0.15">
      <c r="G294" s="5"/>
      <c r="H294" s="5"/>
    </row>
    <row r="295" spans="2:8" x14ac:dyDescent="0.15">
      <c r="G295" s="5"/>
      <c r="H295" s="5"/>
    </row>
    <row r="296" spans="2:8" x14ac:dyDescent="0.15">
      <c r="G296" s="5"/>
      <c r="H296" s="5"/>
    </row>
    <row r="297" spans="2:8" x14ac:dyDescent="0.15">
      <c r="G297" s="5"/>
      <c r="H297" s="5"/>
    </row>
  </sheetData>
  <mergeCells count="5">
    <mergeCell ref="B204:F209"/>
    <mergeCell ref="D187:E187"/>
    <mergeCell ref="D193:E193"/>
    <mergeCell ref="D195:E195"/>
    <mergeCell ref="B199:F202"/>
  </mergeCells>
  <phoneticPr fontId="4" type="noConversion"/>
  <pageMargins left="0.5" right="0.5" top="0.5" bottom="0.5" header="0" footer="0"/>
  <pageSetup scale="80" orientation="landscape"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N203"/>
  <sheetViews>
    <sheetView showGridLines="0" topLeftCell="A107" zoomScale="120" zoomScaleNormal="120" zoomScalePageLayoutView="150" workbookViewId="0">
      <selection activeCell="C112" sqref="C112"/>
    </sheetView>
  </sheetViews>
  <sheetFormatPr baseColWidth="10" defaultColWidth="11" defaultRowHeight="13" x14ac:dyDescent="0.15"/>
  <cols>
    <col min="1" max="1" width="5" customWidth="1"/>
    <col min="2" max="2" width="13.1640625" customWidth="1"/>
    <col min="3" max="3" width="19.1640625" customWidth="1"/>
    <col min="4" max="4" width="15.6640625" customWidth="1"/>
    <col min="5" max="5" width="15.1640625" customWidth="1"/>
    <col min="6" max="6" width="16.1640625" customWidth="1"/>
    <col min="7" max="7" width="13.1640625" customWidth="1"/>
    <col min="8" max="8" width="2.1640625" customWidth="1"/>
    <col min="9" max="9" width="9.5" bestFit="1" customWidth="1"/>
    <col min="10" max="10" width="9.33203125" bestFit="1" customWidth="1"/>
    <col min="11" max="11" width="9.83203125" bestFit="1" customWidth="1"/>
    <col min="13" max="13" width="12.83203125" bestFit="1" customWidth="1"/>
  </cols>
  <sheetData>
    <row r="3" spans="2:14" ht="14" thickBot="1" x14ac:dyDescent="0.2"/>
    <row r="4" spans="2:14" ht="14" thickBot="1" x14ac:dyDescent="0.2">
      <c r="B4" s="190" t="s">
        <v>149</v>
      </c>
    </row>
    <row r="5" spans="2:14" x14ac:dyDescent="0.15">
      <c r="C5" s="32"/>
      <c r="D5" s="38" t="s">
        <v>104</v>
      </c>
      <c r="E5" s="38">
        <v>2000</v>
      </c>
      <c r="I5" s="169"/>
    </row>
    <row r="6" spans="2:14" x14ac:dyDescent="0.15">
      <c r="C6" s="32"/>
      <c r="D6" s="38" t="s">
        <v>105</v>
      </c>
      <c r="E6" s="167">
        <v>0.1</v>
      </c>
      <c r="I6" s="169"/>
    </row>
    <row r="7" spans="2:14" x14ac:dyDescent="0.15">
      <c r="C7" s="32"/>
      <c r="I7" s="169"/>
    </row>
    <row r="8" spans="2:14" x14ac:dyDescent="0.15">
      <c r="C8" s="32"/>
      <c r="E8" s="38" t="s">
        <v>112</v>
      </c>
      <c r="I8" s="169"/>
      <c r="L8" s="38" t="s">
        <v>113</v>
      </c>
    </row>
    <row r="9" spans="2:14" x14ac:dyDescent="0.15">
      <c r="C9" s="32"/>
      <c r="I9" s="169"/>
      <c r="L9" s="38"/>
    </row>
    <row r="10" spans="2:14" ht="14" thickBot="1" x14ac:dyDescent="0.2">
      <c r="B10" s="187" t="s">
        <v>148</v>
      </c>
      <c r="C10" s="166" t="s">
        <v>103</v>
      </c>
      <c r="D10" s="166" t="s">
        <v>106</v>
      </c>
      <c r="E10" s="166" t="s">
        <v>107</v>
      </c>
      <c r="F10" s="166" t="s">
        <v>104</v>
      </c>
      <c r="G10" s="166" t="s">
        <v>108</v>
      </c>
      <c r="H10" s="168"/>
      <c r="I10" s="188" t="s">
        <v>148</v>
      </c>
      <c r="J10" s="166" t="s">
        <v>103</v>
      </c>
      <c r="K10" s="166" t="s">
        <v>106</v>
      </c>
      <c r="L10" s="166" t="s">
        <v>107</v>
      </c>
      <c r="M10" s="166" t="s">
        <v>104</v>
      </c>
      <c r="N10" s="166" t="s">
        <v>108</v>
      </c>
    </row>
    <row r="11" spans="2:14" x14ac:dyDescent="0.15">
      <c r="B11" s="32"/>
      <c r="C11" s="32">
        <v>19</v>
      </c>
      <c r="D11" s="165"/>
      <c r="E11" s="165"/>
      <c r="F11" s="165"/>
      <c r="G11" s="165"/>
      <c r="H11" s="172"/>
      <c r="I11" s="170">
        <v>1</v>
      </c>
      <c r="J11" s="32">
        <v>19</v>
      </c>
      <c r="K11" s="165">
        <v>0</v>
      </c>
      <c r="L11" s="165">
        <v>0</v>
      </c>
      <c r="M11" s="165">
        <f t="shared" ref="M11:M18" si="0">$E$5</f>
        <v>2000</v>
      </c>
      <c r="N11" s="165">
        <f>K11+L11+M11</f>
        <v>2000</v>
      </c>
    </row>
    <row r="12" spans="2:14" x14ac:dyDescent="0.15">
      <c r="B12" s="32"/>
      <c r="C12" s="32">
        <v>20</v>
      </c>
      <c r="D12" s="165"/>
      <c r="E12" s="165"/>
      <c r="F12" s="165"/>
      <c r="G12" s="165"/>
      <c r="H12" s="172"/>
      <c r="I12" s="170">
        <v>2</v>
      </c>
      <c r="J12" s="32">
        <v>20</v>
      </c>
      <c r="K12" s="165">
        <f>N11</f>
        <v>2000</v>
      </c>
      <c r="L12" s="165">
        <f>K12*$E$6</f>
        <v>200</v>
      </c>
      <c r="M12" s="165">
        <f t="shared" si="0"/>
        <v>2000</v>
      </c>
      <c r="N12" s="165">
        <f>K12+L12+M12</f>
        <v>4200</v>
      </c>
    </row>
    <row r="13" spans="2:14" x14ac:dyDescent="0.15">
      <c r="B13" s="32"/>
      <c r="C13" s="32">
        <v>21</v>
      </c>
      <c r="D13" s="165"/>
      <c r="E13" s="165"/>
      <c r="F13" s="165"/>
      <c r="G13" s="165"/>
      <c r="H13" s="172"/>
      <c r="I13" s="170">
        <v>3</v>
      </c>
      <c r="J13" s="32">
        <v>21</v>
      </c>
      <c r="K13" s="165">
        <f>N12</f>
        <v>4200</v>
      </c>
      <c r="L13" s="165">
        <f t="shared" ref="L13:L57" si="1">K13*$E$6</f>
        <v>420</v>
      </c>
      <c r="M13" s="165">
        <f t="shared" si="0"/>
        <v>2000</v>
      </c>
      <c r="N13" s="165">
        <f>K13+L13+M13</f>
        <v>6620</v>
      </c>
    </row>
    <row r="14" spans="2:14" x14ac:dyDescent="0.15">
      <c r="B14" s="32"/>
      <c r="C14" s="32">
        <v>22</v>
      </c>
      <c r="D14" s="165"/>
      <c r="E14" s="165"/>
      <c r="F14" s="165"/>
      <c r="G14" s="165"/>
      <c r="H14" s="172"/>
      <c r="I14" s="170">
        <v>4</v>
      </c>
      <c r="J14" s="32">
        <v>22</v>
      </c>
      <c r="K14" s="165">
        <f>N13</f>
        <v>6620</v>
      </c>
      <c r="L14" s="165">
        <f t="shared" si="1"/>
        <v>662</v>
      </c>
      <c r="M14" s="165">
        <f t="shared" si="0"/>
        <v>2000</v>
      </c>
      <c r="N14" s="165">
        <f t="shared" ref="N14:N57" si="2">K14+L14+M14</f>
        <v>9282</v>
      </c>
    </row>
    <row r="15" spans="2:14" x14ac:dyDescent="0.15">
      <c r="B15" s="32"/>
      <c r="C15" s="32">
        <v>23</v>
      </c>
      <c r="D15" s="165"/>
      <c r="E15" s="165"/>
      <c r="F15" s="165"/>
      <c r="G15" s="165"/>
      <c r="H15" s="172"/>
      <c r="I15" s="170">
        <v>5</v>
      </c>
      <c r="J15" s="32">
        <v>23</v>
      </c>
      <c r="K15" s="165">
        <f t="shared" ref="K15:K57" si="3">N14</f>
        <v>9282</v>
      </c>
      <c r="L15" s="165">
        <f t="shared" si="1"/>
        <v>928.2</v>
      </c>
      <c r="M15" s="165">
        <f t="shared" si="0"/>
        <v>2000</v>
      </c>
      <c r="N15" s="165">
        <f t="shared" si="2"/>
        <v>12210.2</v>
      </c>
    </row>
    <row r="16" spans="2:14" x14ac:dyDescent="0.15">
      <c r="B16" s="32"/>
      <c r="C16" s="32">
        <v>24</v>
      </c>
      <c r="D16" s="165"/>
      <c r="E16" s="165"/>
      <c r="F16" s="165"/>
      <c r="H16" s="172"/>
      <c r="I16" s="170">
        <v>6</v>
      </c>
      <c r="J16" s="32">
        <v>24</v>
      </c>
      <c r="K16" s="165">
        <f t="shared" si="3"/>
        <v>12210.2</v>
      </c>
      <c r="L16" s="165">
        <f t="shared" si="1"/>
        <v>1221.0200000000002</v>
      </c>
      <c r="M16" s="165">
        <f t="shared" si="0"/>
        <v>2000</v>
      </c>
      <c r="N16" s="165">
        <f t="shared" si="2"/>
        <v>15431.220000000001</v>
      </c>
    </row>
    <row r="17" spans="2:14" x14ac:dyDescent="0.15">
      <c r="B17" s="32"/>
      <c r="C17" s="32">
        <v>25</v>
      </c>
      <c r="D17" s="165"/>
      <c r="E17" s="165"/>
      <c r="F17" s="165"/>
      <c r="G17" s="165"/>
      <c r="H17" s="172"/>
      <c r="I17" s="170">
        <v>7</v>
      </c>
      <c r="J17" s="32">
        <v>25</v>
      </c>
      <c r="K17" s="165">
        <f t="shared" si="3"/>
        <v>15431.220000000001</v>
      </c>
      <c r="L17" s="165">
        <f t="shared" si="1"/>
        <v>1543.1220000000003</v>
      </c>
      <c r="M17" s="165">
        <f t="shared" si="0"/>
        <v>2000</v>
      </c>
      <c r="N17" s="165">
        <f t="shared" si="2"/>
        <v>18974.342000000001</v>
      </c>
    </row>
    <row r="18" spans="2:14" x14ac:dyDescent="0.15">
      <c r="B18" s="32">
        <v>1</v>
      </c>
      <c r="C18" s="32">
        <v>26</v>
      </c>
      <c r="D18" s="165">
        <f t="shared" ref="D18:D57" si="4">G17</f>
        <v>0</v>
      </c>
      <c r="E18" s="165">
        <f>D18*$E$6</f>
        <v>0</v>
      </c>
      <c r="F18" s="165">
        <f>$E$5</f>
        <v>2000</v>
      </c>
      <c r="G18" s="165">
        <f t="shared" ref="G18:G57" si="5">D18+E18+F18</f>
        <v>2000</v>
      </c>
      <c r="H18" s="172"/>
      <c r="I18" s="170">
        <v>8</v>
      </c>
      <c r="J18" s="32">
        <v>26</v>
      </c>
      <c r="K18" s="165">
        <f t="shared" si="3"/>
        <v>18974.342000000001</v>
      </c>
      <c r="L18" s="165">
        <f t="shared" si="1"/>
        <v>1897.4342000000001</v>
      </c>
      <c r="M18" s="165">
        <f t="shared" si="0"/>
        <v>2000</v>
      </c>
      <c r="N18" s="165">
        <f t="shared" si="2"/>
        <v>22871.7762</v>
      </c>
    </row>
    <row r="19" spans="2:14" x14ac:dyDescent="0.15">
      <c r="B19" s="32">
        <v>2</v>
      </c>
      <c r="C19" s="32">
        <v>27</v>
      </c>
      <c r="D19" s="165">
        <f t="shared" si="4"/>
        <v>2000</v>
      </c>
      <c r="E19" s="189">
        <f t="shared" ref="E19:E57" si="6">D19*$E$6</f>
        <v>200</v>
      </c>
      <c r="F19" s="189">
        <f t="shared" ref="F19:F57" si="7">$E$5</f>
        <v>2000</v>
      </c>
      <c r="G19" s="165">
        <f t="shared" si="5"/>
        <v>4200</v>
      </c>
      <c r="H19" s="172"/>
      <c r="I19" s="180">
        <v>1</v>
      </c>
      <c r="J19" s="32">
        <v>27</v>
      </c>
      <c r="K19" s="165">
        <f t="shared" si="3"/>
        <v>22871.7762</v>
      </c>
      <c r="L19" s="189">
        <f t="shared" si="1"/>
        <v>2287.1776199999999</v>
      </c>
      <c r="M19" s="165"/>
      <c r="N19" s="165">
        <f t="shared" si="2"/>
        <v>25158.953819999999</v>
      </c>
    </row>
    <row r="20" spans="2:14" x14ac:dyDescent="0.15">
      <c r="B20" s="32">
        <v>3</v>
      </c>
      <c r="C20" s="32">
        <v>28</v>
      </c>
      <c r="D20" s="165">
        <f t="shared" si="4"/>
        <v>4200</v>
      </c>
      <c r="E20" s="165">
        <f t="shared" si="6"/>
        <v>420</v>
      </c>
      <c r="F20" s="165">
        <f t="shared" si="7"/>
        <v>2000</v>
      </c>
      <c r="G20" s="165">
        <f t="shared" si="5"/>
        <v>6620</v>
      </c>
      <c r="H20" s="172"/>
      <c r="I20" s="170">
        <v>2</v>
      </c>
      <c r="J20" s="32">
        <v>28</v>
      </c>
      <c r="K20" s="165">
        <f t="shared" si="3"/>
        <v>25158.953819999999</v>
      </c>
      <c r="L20" s="165">
        <f t="shared" si="1"/>
        <v>2515.8953820000002</v>
      </c>
      <c r="M20" s="165"/>
      <c r="N20" s="165">
        <f t="shared" si="2"/>
        <v>27674.849201999998</v>
      </c>
    </row>
    <row r="21" spans="2:14" x14ac:dyDescent="0.15">
      <c r="B21" s="32">
        <v>4</v>
      </c>
      <c r="C21" s="32">
        <v>29</v>
      </c>
      <c r="D21" s="165">
        <f t="shared" si="4"/>
        <v>6620</v>
      </c>
      <c r="E21" s="165">
        <f t="shared" si="6"/>
        <v>662</v>
      </c>
      <c r="F21" s="165">
        <f t="shared" si="7"/>
        <v>2000</v>
      </c>
      <c r="G21" s="165">
        <f t="shared" si="5"/>
        <v>9282</v>
      </c>
      <c r="H21" s="172"/>
      <c r="I21" s="170">
        <v>3</v>
      </c>
      <c r="J21" s="32">
        <v>29</v>
      </c>
      <c r="K21" s="165">
        <f t="shared" si="3"/>
        <v>27674.849201999998</v>
      </c>
      <c r="L21" s="165">
        <f t="shared" si="1"/>
        <v>2767.4849202</v>
      </c>
      <c r="M21" s="165"/>
      <c r="N21" s="165">
        <f t="shared" si="2"/>
        <v>30442.334122199998</v>
      </c>
    </row>
    <row r="22" spans="2:14" x14ac:dyDescent="0.15">
      <c r="B22" s="32">
        <v>5</v>
      </c>
      <c r="C22" s="32">
        <v>30</v>
      </c>
      <c r="D22" s="165">
        <f t="shared" si="4"/>
        <v>9282</v>
      </c>
      <c r="E22" s="165">
        <f t="shared" si="6"/>
        <v>928.2</v>
      </c>
      <c r="F22" s="165">
        <f t="shared" si="7"/>
        <v>2000</v>
      </c>
      <c r="G22" s="165">
        <f t="shared" si="5"/>
        <v>12210.2</v>
      </c>
      <c r="H22" s="172"/>
      <c r="I22" s="170">
        <v>4</v>
      </c>
      <c r="J22" s="32">
        <v>30</v>
      </c>
      <c r="K22" s="165">
        <f t="shared" si="3"/>
        <v>30442.334122199998</v>
      </c>
      <c r="L22" s="165">
        <f t="shared" si="1"/>
        <v>3044.23341222</v>
      </c>
      <c r="M22" s="165"/>
      <c r="N22" s="165">
        <f t="shared" si="2"/>
        <v>33486.567534419999</v>
      </c>
    </row>
    <row r="23" spans="2:14" x14ac:dyDescent="0.15">
      <c r="B23" s="32">
        <v>6</v>
      </c>
      <c r="C23" s="32">
        <v>31</v>
      </c>
      <c r="D23" s="165">
        <f t="shared" si="4"/>
        <v>12210.2</v>
      </c>
      <c r="E23" s="165">
        <f t="shared" si="6"/>
        <v>1221.0200000000002</v>
      </c>
      <c r="F23" s="165">
        <f t="shared" si="7"/>
        <v>2000</v>
      </c>
      <c r="G23" s="165">
        <f t="shared" si="5"/>
        <v>15431.220000000001</v>
      </c>
      <c r="H23" s="172"/>
      <c r="I23" s="170">
        <v>5</v>
      </c>
      <c r="J23" s="32">
        <v>31</v>
      </c>
      <c r="K23" s="165">
        <f t="shared" si="3"/>
        <v>33486.567534419999</v>
      </c>
      <c r="L23" s="165">
        <f t="shared" si="1"/>
        <v>3348.6567534420001</v>
      </c>
      <c r="M23" s="165"/>
      <c r="N23" s="165">
        <f t="shared" si="2"/>
        <v>36835.224287862002</v>
      </c>
    </row>
    <row r="24" spans="2:14" x14ac:dyDescent="0.15">
      <c r="B24" s="32">
        <v>7</v>
      </c>
      <c r="C24" s="32">
        <v>32</v>
      </c>
      <c r="D24" s="165">
        <f t="shared" si="4"/>
        <v>15431.220000000001</v>
      </c>
      <c r="E24" s="165">
        <f t="shared" si="6"/>
        <v>1543.1220000000003</v>
      </c>
      <c r="F24" s="165">
        <f t="shared" si="7"/>
        <v>2000</v>
      </c>
      <c r="G24" s="165">
        <f t="shared" si="5"/>
        <v>18974.342000000001</v>
      </c>
      <c r="H24" s="172"/>
      <c r="I24" s="170">
        <v>6</v>
      </c>
      <c r="J24" s="32">
        <v>32</v>
      </c>
      <c r="K24" s="165">
        <f t="shared" si="3"/>
        <v>36835.224287862002</v>
      </c>
      <c r="L24" s="165">
        <f t="shared" si="1"/>
        <v>3683.5224287862002</v>
      </c>
      <c r="M24" s="165"/>
      <c r="N24" s="165">
        <f t="shared" si="2"/>
        <v>40518.746716648202</v>
      </c>
    </row>
    <row r="25" spans="2:14" x14ac:dyDescent="0.15">
      <c r="B25" s="32">
        <v>8</v>
      </c>
      <c r="C25" s="32">
        <v>33</v>
      </c>
      <c r="D25" s="165">
        <f t="shared" si="4"/>
        <v>18974.342000000001</v>
      </c>
      <c r="E25" s="165">
        <f t="shared" si="6"/>
        <v>1897.4342000000001</v>
      </c>
      <c r="F25" s="165">
        <f t="shared" si="7"/>
        <v>2000</v>
      </c>
      <c r="G25" s="165">
        <f t="shared" si="5"/>
        <v>22871.7762</v>
      </c>
      <c r="H25" s="172"/>
      <c r="I25" s="170">
        <v>7</v>
      </c>
      <c r="J25" s="32">
        <v>33</v>
      </c>
      <c r="K25" s="165">
        <f t="shared" si="3"/>
        <v>40518.746716648202</v>
      </c>
      <c r="L25" s="165">
        <f t="shared" si="1"/>
        <v>4051.8746716648202</v>
      </c>
      <c r="M25" s="165"/>
      <c r="N25" s="165">
        <f t="shared" si="2"/>
        <v>44570.621388313026</v>
      </c>
    </row>
    <row r="26" spans="2:14" x14ac:dyDescent="0.15">
      <c r="B26" s="32">
        <v>9</v>
      </c>
      <c r="C26" s="32">
        <v>34</v>
      </c>
      <c r="D26" s="165">
        <f t="shared" si="4"/>
        <v>22871.7762</v>
      </c>
      <c r="E26" s="165">
        <f t="shared" si="6"/>
        <v>2287.1776199999999</v>
      </c>
      <c r="F26" s="165">
        <f t="shared" si="7"/>
        <v>2000</v>
      </c>
      <c r="G26" s="165">
        <f t="shared" si="5"/>
        <v>27158.953819999999</v>
      </c>
      <c r="H26" s="172"/>
      <c r="I26" s="170">
        <v>8</v>
      </c>
      <c r="J26" s="32">
        <v>34</v>
      </c>
      <c r="K26" s="165">
        <f t="shared" si="3"/>
        <v>44570.621388313026</v>
      </c>
      <c r="L26" s="165">
        <f t="shared" si="1"/>
        <v>4457.0621388313029</v>
      </c>
      <c r="M26" s="165"/>
      <c r="N26" s="165">
        <f t="shared" si="2"/>
        <v>49027.683527144327</v>
      </c>
    </row>
    <row r="27" spans="2:14" x14ac:dyDescent="0.15">
      <c r="B27" s="32">
        <v>10</v>
      </c>
      <c r="C27" s="32">
        <v>35</v>
      </c>
      <c r="D27" s="165">
        <f t="shared" si="4"/>
        <v>27158.953819999999</v>
      </c>
      <c r="E27" s="165">
        <f t="shared" si="6"/>
        <v>2715.8953820000002</v>
      </c>
      <c r="F27" s="165">
        <f t="shared" si="7"/>
        <v>2000</v>
      </c>
      <c r="G27" s="165">
        <f t="shared" si="5"/>
        <v>31874.849201999998</v>
      </c>
      <c r="H27" s="172"/>
      <c r="I27" s="170">
        <v>9</v>
      </c>
      <c r="J27" s="32">
        <v>35</v>
      </c>
      <c r="K27" s="165">
        <f t="shared" si="3"/>
        <v>49027.683527144327</v>
      </c>
      <c r="L27" s="165">
        <f t="shared" si="1"/>
        <v>4902.7683527144327</v>
      </c>
      <c r="M27" s="165"/>
      <c r="N27" s="165">
        <f t="shared" si="2"/>
        <v>53930.45187985876</v>
      </c>
    </row>
    <row r="28" spans="2:14" x14ac:dyDescent="0.15">
      <c r="B28" s="32">
        <v>11</v>
      </c>
      <c r="C28" s="32">
        <v>36</v>
      </c>
      <c r="D28" s="165">
        <f t="shared" si="4"/>
        <v>31874.849201999998</v>
      </c>
      <c r="E28" s="165">
        <f t="shared" si="6"/>
        <v>3187.4849202</v>
      </c>
      <c r="F28" s="165">
        <f t="shared" si="7"/>
        <v>2000</v>
      </c>
      <c r="G28" s="165">
        <f t="shared" si="5"/>
        <v>37062.334122199994</v>
      </c>
      <c r="H28" s="172"/>
      <c r="I28" s="170">
        <v>10</v>
      </c>
      <c r="J28" s="32">
        <v>36</v>
      </c>
      <c r="K28" s="165">
        <f t="shared" si="3"/>
        <v>53930.45187985876</v>
      </c>
      <c r="L28" s="165">
        <f t="shared" si="1"/>
        <v>5393.0451879858765</v>
      </c>
      <c r="M28" s="165"/>
      <c r="N28" s="165">
        <f t="shared" si="2"/>
        <v>59323.497067844633</v>
      </c>
    </row>
    <row r="29" spans="2:14" x14ac:dyDescent="0.15">
      <c r="B29" s="32">
        <v>12</v>
      </c>
      <c r="C29" s="32">
        <v>37</v>
      </c>
      <c r="D29" s="165">
        <f t="shared" si="4"/>
        <v>37062.334122199994</v>
      </c>
      <c r="E29" s="165">
        <f t="shared" si="6"/>
        <v>3706.2334122199995</v>
      </c>
      <c r="F29" s="165">
        <f t="shared" si="7"/>
        <v>2000</v>
      </c>
      <c r="G29" s="165">
        <f t="shared" si="5"/>
        <v>42768.567534419992</v>
      </c>
      <c r="H29" s="172"/>
      <c r="I29" s="170">
        <v>11</v>
      </c>
      <c r="J29" s="32">
        <v>37</v>
      </c>
      <c r="K29" s="165">
        <f t="shared" si="3"/>
        <v>59323.497067844633</v>
      </c>
      <c r="L29" s="165">
        <f t="shared" si="1"/>
        <v>5932.3497067844637</v>
      </c>
      <c r="M29" s="165"/>
      <c r="N29" s="165">
        <f t="shared" si="2"/>
        <v>65255.846774629099</v>
      </c>
    </row>
    <row r="30" spans="2:14" x14ac:dyDescent="0.15">
      <c r="B30" s="32">
        <v>13</v>
      </c>
      <c r="C30" s="32">
        <v>38</v>
      </c>
      <c r="D30" s="165">
        <f t="shared" si="4"/>
        <v>42768.567534419992</v>
      </c>
      <c r="E30" s="165">
        <f t="shared" si="6"/>
        <v>4276.856753441999</v>
      </c>
      <c r="F30" s="165">
        <f t="shared" si="7"/>
        <v>2000</v>
      </c>
      <c r="G30" s="165">
        <f t="shared" si="5"/>
        <v>49045.424287861992</v>
      </c>
      <c r="H30" s="172"/>
      <c r="I30" s="170">
        <v>12</v>
      </c>
      <c r="J30" s="32">
        <v>38</v>
      </c>
      <c r="K30" s="165">
        <f t="shared" si="3"/>
        <v>65255.846774629099</v>
      </c>
      <c r="L30" s="165">
        <f t="shared" si="1"/>
        <v>6525.5846774629099</v>
      </c>
      <c r="M30" s="165"/>
      <c r="N30" s="165">
        <f t="shared" si="2"/>
        <v>71781.431452092016</v>
      </c>
    </row>
    <row r="31" spans="2:14" x14ac:dyDescent="0.15">
      <c r="B31" s="32">
        <v>14</v>
      </c>
      <c r="C31" s="32">
        <v>39</v>
      </c>
      <c r="D31" s="165">
        <f t="shared" si="4"/>
        <v>49045.424287861992</v>
      </c>
      <c r="E31" s="165">
        <f t="shared" si="6"/>
        <v>4904.5424287861997</v>
      </c>
      <c r="F31" s="165">
        <f t="shared" si="7"/>
        <v>2000</v>
      </c>
      <c r="G31" s="165">
        <f t="shared" si="5"/>
        <v>55949.966716648189</v>
      </c>
      <c r="H31" s="172"/>
      <c r="I31" s="170">
        <v>13</v>
      </c>
      <c r="J31" s="32">
        <v>39</v>
      </c>
      <c r="K31" s="165">
        <f t="shared" si="3"/>
        <v>71781.431452092016</v>
      </c>
      <c r="L31" s="165">
        <f t="shared" si="1"/>
        <v>7178.143145209202</v>
      </c>
      <c r="M31" s="165"/>
      <c r="N31" s="165">
        <f t="shared" si="2"/>
        <v>78959.574597301224</v>
      </c>
    </row>
    <row r="32" spans="2:14" x14ac:dyDescent="0.15">
      <c r="B32" s="32">
        <v>15</v>
      </c>
      <c r="C32" s="32">
        <v>40</v>
      </c>
      <c r="D32" s="165">
        <f t="shared" si="4"/>
        <v>55949.966716648189</v>
      </c>
      <c r="E32" s="165">
        <f t="shared" si="6"/>
        <v>5594.9966716648196</v>
      </c>
      <c r="F32" s="165">
        <f t="shared" si="7"/>
        <v>2000</v>
      </c>
      <c r="G32" s="165">
        <f t="shared" si="5"/>
        <v>63544.963388313008</v>
      </c>
      <c r="H32" s="172"/>
      <c r="I32" s="170">
        <v>14</v>
      </c>
      <c r="J32" s="32">
        <v>40</v>
      </c>
      <c r="K32" s="165">
        <f t="shared" si="3"/>
        <v>78959.574597301224</v>
      </c>
      <c r="L32" s="165">
        <f t="shared" si="1"/>
        <v>7895.9574597301225</v>
      </c>
      <c r="M32" s="165"/>
      <c r="N32" s="165">
        <f t="shared" si="2"/>
        <v>86855.532057031349</v>
      </c>
    </row>
    <row r="33" spans="2:14" x14ac:dyDescent="0.15">
      <c r="B33" s="32">
        <v>16</v>
      </c>
      <c r="C33" s="32">
        <v>41</v>
      </c>
      <c r="D33" s="165">
        <f t="shared" si="4"/>
        <v>63544.963388313008</v>
      </c>
      <c r="E33" s="165">
        <f t="shared" si="6"/>
        <v>6354.4963388313008</v>
      </c>
      <c r="F33" s="165">
        <f t="shared" si="7"/>
        <v>2000</v>
      </c>
      <c r="G33" s="165">
        <f t="shared" si="5"/>
        <v>71899.459727144305</v>
      </c>
      <c r="H33" s="172"/>
      <c r="I33" s="170">
        <v>15</v>
      </c>
      <c r="J33" s="32">
        <v>41</v>
      </c>
      <c r="K33" s="165">
        <f t="shared" si="3"/>
        <v>86855.532057031349</v>
      </c>
      <c r="L33" s="165">
        <f t="shared" si="1"/>
        <v>8685.553205703136</v>
      </c>
      <c r="M33" s="165"/>
      <c r="N33" s="165">
        <f t="shared" si="2"/>
        <v>95541.085262734487</v>
      </c>
    </row>
    <row r="34" spans="2:14" x14ac:dyDescent="0.15">
      <c r="B34" s="32">
        <v>17</v>
      </c>
      <c r="C34" s="32">
        <v>42</v>
      </c>
      <c r="D34" s="165">
        <f t="shared" si="4"/>
        <v>71899.459727144305</v>
      </c>
      <c r="E34" s="165">
        <f t="shared" si="6"/>
        <v>7189.9459727144313</v>
      </c>
      <c r="F34" s="165">
        <f t="shared" si="7"/>
        <v>2000</v>
      </c>
      <c r="G34" s="165">
        <f t="shared" si="5"/>
        <v>81089.405699858733</v>
      </c>
      <c r="H34" s="172"/>
      <c r="I34" s="170">
        <v>16</v>
      </c>
      <c r="J34" s="32">
        <v>42</v>
      </c>
      <c r="K34" s="165">
        <f t="shared" si="3"/>
        <v>95541.085262734487</v>
      </c>
      <c r="L34" s="165">
        <f t="shared" si="1"/>
        <v>9554.1085262734487</v>
      </c>
      <c r="M34" s="165"/>
      <c r="N34" s="165">
        <f t="shared" si="2"/>
        <v>105095.19378900793</v>
      </c>
    </row>
    <row r="35" spans="2:14" x14ac:dyDescent="0.15">
      <c r="B35" s="32">
        <v>18</v>
      </c>
      <c r="C35" s="32">
        <v>43</v>
      </c>
      <c r="D35" s="165">
        <f t="shared" si="4"/>
        <v>81089.405699858733</v>
      </c>
      <c r="E35" s="165">
        <f t="shared" si="6"/>
        <v>8108.9405699858735</v>
      </c>
      <c r="F35" s="165">
        <f t="shared" si="7"/>
        <v>2000</v>
      </c>
      <c r="G35" s="165">
        <f t="shared" si="5"/>
        <v>91198.346269844609</v>
      </c>
      <c r="H35" s="172"/>
      <c r="I35" s="170">
        <v>17</v>
      </c>
      <c r="J35" s="32">
        <v>43</v>
      </c>
      <c r="K35" s="165">
        <f t="shared" si="3"/>
        <v>105095.19378900793</v>
      </c>
      <c r="L35" s="165">
        <f t="shared" si="1"/>
        <v>10509.519378900794</v>
      </c>
      <c r="M35" s="165"/>
      <c r="N35" s="165">
        <f t="shared" si="2"/>
        <v>115604.71316790872</v>
      </c>
    </row>
    <row r="36" spans="2:14" x14ac:dyDescent="0.15">
      <c r="B36" s="32">
        <v>19</v>
      </c>
      <c r="C36" s="32">
        <v>44</v>
      </c>
      <c r="D36" s="165">
        <f t="shared" si="4"/>
        <v>91198.346269844609</v>
      </c>
      <c r="E36" s="165">
        <f t="shared" si="6"/>
        <v>9119.8346269844606</v>
      </c>
      <c r="F36" s="165">
        <f t="shared" si="7"/>
        <v>2000</v>
      </c>
      <c r="G36" s="165">
        <f t="shared" si="5"/>
        <v>102318.18089682907</v>
      </c>
      <c r="H36" s="172"/>
      <c r="I36" s="170">
        <v>18</v>
      </c>
      <c r="J36" s="32">
        <v>44</v>
      </c>
      <c r="K36" s="165">
        <f t="shared" si="3"/>
        <v>115604.71316790872</v>
      </c>
      <c r="L36" s="165">
        <f t="shared" si="1"/>
        <v>11560.471316790872</v>
      </c>
      <c r="M36" s="165"/>
      <c r="N36" s="165">
        <f t="shared" si="2"/>
        <v>127165.1844846996</v>
      </c>
    </row>
    <row r="37" spans="2:14" x14ac:dyDescent="0.15">
      <c r="B37" s="32">
        <v>20</v>
      </c>
      <c r="C37" s="32">
        <v>45</v>
      </c>
      <c r="D37" s="165">
        <f t="shared" si="4"/>
        <v>102318.18089682907</v>
      </c>
      <c r="E37" s="165">
        <f t="shared" si="6"/>
        <v>10231.818089682907</v>
      </c>
      <c r="F37" s="165">
        <f t="shared" si="7"/>
        <v>2000</v>
      </c>
      <c r="G37" s="165">
        <f t="shared" si="5"/>
        <v>114549.99898651199</v>
      </c>
      <c r="H37" s="172"/>
      <c r="I37" s="170">
        <v>19</v>
      </c>
      <c r="J37" s="32">
        <v>45</v>
      </c>
      <c r="K37" s="165">
        <f t="shared" si="3"/>
        <v>127165.1844846996</v>
      </c>
      <c r="L37" s="165">
        <f t="shared" si="1"/>
        <v>12716.51844846996</v>
      </c>
      <c r="M37" s="165"/>
      <c r="N37" s="165">
        <f t="shared" si="2"/>
        <v>139881.70293316955</v>
      </c>
    </row>
    <row r="38" spans="2:14" x14ac:dyDescent="0.15">
      <c r="B38" s="32">
        <v>21</v>
      </c>
      <c r="C38" s="32">
        <v>46</v>
      </c>
      <c r="D38" s="165">
        <f t="shared" si="4"/>
        <v>114549.99898651199</v>
      </c>
      <c r="E38" s="165">
        <f t="shared" si="6"/>
        <v>11454.9998986512</v>
      </c>
      <c r="F38" s="165">
        <f t="shared" si="7"/>
        <v>2000</v>
      </c>
      <c r="G38" s="165">
        <f t="shared" si="5"/>
        <v>128004.99888516319</v>
      </c>
      <c r="H38" s="172"/>
      <c r="I38" s="170">
        <v>20</v>
      </c>
      <c r="J38" s="32">
        <v>46</v>
      </c>
      <c r="K38" s="165">
        <f t="shared" si="3"/>
        <v>139881.70293316955</v>
      </c>
      <c r="L38" s="165">
        <f t="shared" si="1"/>
        <v>13988.170293316956</v>
      </c>
      <c r="M38" s="165"/>
      <c r="N38" s="165">
        <f t="shared" si="2"/>
        <v>153869.8732264865</v>
      </c>
    </row>
    <row r="39" spans="2:14" x14ac:dyDescent="0.15">
      <c r="B39" s="32">
        <v>22</v>
      </c>
      <c r="C39" s="32">
        <v>47</v>
      </c>
      <c r="D39" s="165">
        <f t="shared" si="4"/>
        <v>128004.99888516319</v>
      </c>
      <c r="E39" s="165">
        <f t="shared" si="6"/>
        <v>12800.49988851632</v>
      </c>
      <c r="F39" s="165">
        <f t="shared" si="7"/>
        <v>2000</v>
      </c>
      <c r="G39" s="165">
        <f t="shared" si="5"/>
        <v>142805.49877367952</v>
      </c>
      <c r="H39" s="172"/>
      <c r="I39" s="170">
        <v>21</v>
      </c>
      <c r="J39" s="32">
        <v>47</v>
      </c>
      <c r="K39" s="165">
        <f t="shared" si="3"/>
        <v>153869.8732264865</v>
      </c>
      <c r="L39" s="165">
        <f t="shared" si="1"/>
        <v>15386.987322648651</v>
      </c>
      <c r="M39" s="165"/>
      <c r="N39" s="165">
        <f t="shared" si="2"/>
        <v>169256.86054913513</v>
      </c>
    </row>
    <row r="40" spans="2:14" x14ac:dyDescent="0.15">
      <c r="B40" s="32">
        <v>23</v>
      </c>
      <c r="C40" s="32">
        <v>48</v>
      </c>
      <c r="D40" s="165">
        <f t="shared" si="4"/>
        <v>142805.49877367952</v>
      </c>
      <c r="E40" s="165">
        <f t="shared" si="6"/>
        <v>14280.549877367952</v>
      </c>
      <c r="F40" s="165">
        <f t="shared" si="7"/>
        <v>2000</v>
      </c>
      <c r="G40" s="165">
        <f t="shared" si="5"/>
        <v>159086.04865104746</v>
      </c>
      <c r="H40" s="172"/>
      <c r="I40" s="170">
        <v>22</v>
      </c>
      <c r="J40" s="32">
        <v>48</v>
      </c>
      <c r="K40" s="165">
        <f t="shared" si="3"/>
        <v>169256.86054913513</v>
      </c>
      <c r="L40" s="165">
        <f t="shared" si="1"/>
        <v>16925.686054913513</v>
      </c>
      <c r="M40" s="165"/>
      <c r="N40" s="165">
        <f t="shared" si="2"/>
        <v>186182.54660404864</v>
      </c>
    </row>
    <row r="41" spans="2:14" x14ac:dyDescent="0.15">
      <c r="B41" s="32">
        <v>24</v>
      </c>
      <c r="C41" s="32">
        <v>49</v>
      </c>
      <c r="D41" s="165">
        <f t="shared" si="4"/>
        <v>159086.04865104746</v>
      </c>
      <c r="E41" s="165">
        <f t="shared" si="6"/>
        <v>15908.604865104746</v>
      </c>
      <c r="F41" s="165">
        <f t="shared" si="7"/>
        <v>2000</v>
      </c>
      <c r="G41" s="165">
        <f t="shared" si="5"/>
        <v>176994.6535161522</v>
      </c>
      <c r="H41" s="172"/>
      <c r="I41" s="170">
        <v>23</v>
      </c>
      <c r="J41" s="32">
        <v>49</v>
      </c>
      <c r="K41" s="165">
        <f t="shared" si="3"/>
        <v>186182.54660404864</v>
      </c>
      <c r="L41" s="165">
        <f t="shared" si="1"/>
        <v>18618.254660404866</v>
      </c>
      <c r="M41" s="165"/>
      <c r="N41" s="165">
        <f t="shared" si="2"/>
        <v>204800.8012644535</v>
      </c>
    </row>
    <row r="42" spans="2:14" x14ac:dyDescent="0.15">
      <c r="B42" s="32">
        <v>25</v>
      </c>
      <c r="C42" s="32">
        <v>50</v>
      </c>
      <c r="D42" s="165">
        <f t="shared" si="4"/>
        <v>176994.6535161522</v>
      </c>
      <c r="E42" s="165">
        <f t="shared" si="6"/>
        <v>17699.465351615221</v>
      </c>
      <c r="F42" s="165">
        <f t="shared" si="7"/>
        <v>2000</v>
      </c>
      <c r="G42" s="165">
        <f t="shared" si="5"/>
        <v>196694.11886776742</v>
      </c>
      <c r="H42" s="172"/>
      <c r="I42" s="170">
        <v>24</v>
      </c>
      <c r="J42" s="32">
        <v>50</v>
      </c>
      <c r="K42" s="165">
        <f t="shared" si="3"/>
        <v>204800.8012644535</v>
      </c>
      <c r="L42" s="165">
        <f t="shared" si="1"/>
        <v>20480.080126445351</v>
      </c>
      <c r="M42" s="165"/>
      <c r="N42" s="165">
        <f t="shared" si="2"/>
        <v>225280.88139089887</v>
      </c>
    </row>
    <row r="43" spans="2:14" x14ac:dyDescent="0.15">
      <c r="B43" s="32">
        <v>26</v>
      </c>
      <c r="C43" s="32">
        <v>51</v>
      </c>
      <c r="D43" s="165">
        <f t="shared" si="4"/>
        <v>196694.11886776742</v>
      </c>
      <c r="E43" s="165">
        <f t="shared" si="6"/>
        <v>19669.411886776743</v>
      </c>
      <c r="F43" s="165">
        <f t="shared" si="7"/>
        <v>2000</v>
      </c>
      <c r="G43" s="165">
        <f t="shared" si="5"/>
        <v>218363.53075454416</v>
      </c>
      <c r="H43" s="172"/>
      <c r="I43" s="170">
        <v>25</v>
      </c>
      <c r="J43" s="32">
        <v>51</v>
      </c>
      <c r="K43" s="165">
        <f t="shared" si="3"/>
        <v>225280.88139089887</v>
      </c>
      <c r="L43" s="165">
        <f t="shared" si="1"/>
        <v>22528.088139089887</v>
      </c>
      <c r="M43" s="165"/>
      <c r="N43" s="165">
        <f t="shared" si="2"/>
        <v>247808.96952998877</v>
      </c>
    </row>
    <row r="44" spans="2:14" x14ac:dyDescent="0.15">
      <c r="B44" s="32">
        <v>27</v>
      </c>
      <c r="C44" s="32">
        <v>52</v>
      </c>
      <c r="D44" s="165">
        <f t="shared" si="4"/>
        <v>218363.53075454416</v>
      </c>
      <c r="E44" s="165">
        <f t="shared" si="6"/>
        <v>21836.353075454419</v>
      </c>
      <c r="F44" s="165">
        <f t="shared" si="7"/>
        <v>2000</v>
      </c>
      <c r="G44" s="165">
        <f t="shared" si="5"/>
        <v>242199.88382999858</v>
      </c>
      <c r="H44" s="172"/>
      <c r="I44" s="170">
        <v>26</v>
      </c>
      <c r="J44" s="32">
        <v>52</v>
      </c>
      <c r="K44" s="165">
        <f t="shared" si="3"/>
        <v>247808.96952998877</v>
      </c>
      <c r="L44" s="165">
        <f t="shared" si="1"/>
        <v>24780.896952998879</v>
      </c>
      <c r="M44" s="165"/>
      <c r="N44" s="165">
        <f t="shared" si="2"/>
        <v>272589.86648298765</v>
      </c>
    </row>
    <row r="45" spans="2:14" x14ac:dyDescent="0.15">
      <c r="B45" s="32">
        <v>28</v>
      </c>
      <c r="C45" s="32">
        <v>53</v>
      </c>
      <c r="D45" s="165">
        <f t="shared" si="4"/>
        <v>242199.88382999858</v>
      </c>
      <c r="E45" s="165">
        <f t="shared" si="6"/>
        <v>24219.988382999858</v>
      </c>
      <c r="F45" s="165">
        <f t="shared" si="7"/>
        <v>2000</v>
      </c>
      <c r="G45" s="165">
        <f t="shared" si="5"/>
        <v>268419.87221299845</v>
      </c>
      <c r="H45" s="172"/>
      <c r="I45" s="170">
        <v>27</v>
      </c>
      <c r="J45" s="32">
        <v>53</v>
      </c>
      <c r="K45" s="165">
        <f t="shared" si="3"/>
        <v>272589.86648298765</v>
      </c>
      <c r="L45" s="165">
        <f t="shared" si="1"/>
        <v>27258.986648298767</v>
      </c>
      <c r="M45" s="165"/>
      <c r="N45" s="165">
        <f t="shared" si="2"/>
        <v>299848.85313128639</v>
      </c>
    </row>
    <row r="46" spans="2:14" x14ac:dyDescent="0.15">
      <c r="B46" s="32">
        <v>29</v>
      </c>
      <c r="C46" s="32">
        <v>54</v>
      </c>
      <c r="D46" s="165">
        <f t="shared" si="4"/>
        <v>268419.87221299845</v>
      </c>
      <c r="E46" s="165">
        <f t="shared" si="6"/>
        <v>26841.987221299845</v>
      </c>
      <c r="F46" s="165">
        <f t="shared" si="7"/>
        <v>2000</v>
      </c>
      <c r="G46" s="165">
        <f t="shared" si="5"/>
        <v>297261.8594342983</v>
      </c>
      <c r="H46" s="172"/>
      <c r="I46" s="170">
        <v>28</v>
      </c>
      <c r="J46" s="32">
        <v>54</v>
      </c>
      <c r="K46" s="165">
        <f t="shared" si="3"/>
        <v>299848.85313128639</v>
      </c>
      <c r="L46" s="165">
        <f t="shared" si="1"/>
        <v>29984.885313128641</v>
      </c>
      <c r="M46" s="165"/>
      <c r="N46" s="165">
        <f t="shared" si="2"/>
        <v>329833.73844441504</v>
      </c>
    </row>
    <row r="47" spans="2:14" x14ac:dyDescent="0.15">
      <c r="B47" s="32">
        <v>30</v>
      </c>
      <c r="C47" s="32">
        <v>55</v>
      </c>
      <c r="D47" s="165">
        <f t="shared" si="4"/>
        <v>297261.8594342983</v>
      </c>
      <c r="E47" s="165">
        <f t="shared" si="6"/>
        <v>29726.185943429831</v>
      </c>
      <c r="F47" s="165">
        <f t="shared" si="7"/>
        <v>2000</v>
      </c>
      <c r="G47" s="165">
        <f t="shared" si="5"/>
        <v>328988.04537772812</v>
      </c>
      <c r="H47" s="172"/>
      <c r="I47" s="170">
        <v>29</v>
      </c>
      <c r="J47" s="32">
        <v>55</v>
      </c>
      <c r="K47" s="165">
        <f t="shared" si="3"/>
        <v>329833.73844441504</v>
      </c>
      <c r="L47" s="165">
        <f t="shared" si="1"/>
        <v>32983.373844441507</v>
      </c>
      <c r="M47" s="165"/>
      <c r="N47" s="165">
        <f t="shared" si="2"/>
        <v>362817.11228885653</v>
      </c>
    </row>
    <row r="48" spans="2:14" x14ac:dyDescent="0.15">
      <c r="B48" s="32">
        <v>31</v>
      </c>
      <c r="C48" s="32">
        <v>56</v>
      </c>
      <c r="D48" s="165">
        <f t="shared" si="4"/>
        <v>328988.04537772812</v>
      </c>
      <c r="E48" s="165">
        <f t="shared" si="6"/>
        <v>32898.804537772812</v>
      </c>
      <c r="F48" s="165">
        <f t="shared" si="7"/>
        <v>2000</v>
      </c>
      <c r="G48" s="165">
        <f t="shared" si="5"/>
        <v>363886.84991550096</v>
      </c>
      <c r="H48" s="172"/>
      <c r="I48" s="170">
        <v>30</v>
      </c>
      <c r="J48" s="32">
        <v>56</v>
      </c>
      <c r="K48" s="165">
        <f t="shared" si="3"/>
        <v>362817.11228885653</v>
      </c>
      <c r="L48" s="165">
        <f t="shared" si="1"/>
        <v>36281.711228885652</v>
      </c>
      <c r="M48" s="165"/>
      <c r="N48" s="165">
        <f t="shared" si="2"/>
        <v>399098.82351774216</v>
      </c>
    </row>
    <row r="49" spans="2:14" x14ac:dyDescent="0.15">
      <c r="B49" s="32">
        <v>32</v>
      </c>
      <c r="C49" s="32">
        <v>57</v>
      </c>
      <c r="D49" s="165">
        <f t="shared" si="4"/>
        <v>363886.84991550096</v>
      </c>
      <c r="E49" s="165">
        <f t="shared" si="6"/>
        <v>36388.684991550101</v>
      </c>
      <c r="F49" s="165">
        <f t="shared" si="7"/>
        <v>2000</v>
      </c>
      <c r="G49" s="165">
        <f t="shared" si="5"/>
        <v>402275.53490705107</v>
      </c>
      <c r="H49" s="172"/>
      <c r="I49" s="170">
        <v>31</v>
      </c>
      <c r="J49" s="32">
        <v>57</v>
      </c>
      <c r="K49" s="165">
        <f t="shared" si="3"/>
        <v>399098.82351774216</v>
      </c>
      <c r="L49" s="165">
        <f t="shared" si="1"/>
        <v>39909.88235177422</v>
      </c>
      <c r="M49" s="165"/>
      <c r="N49" s="165">
        <f t="shared" si="2"/>
        <v>439008.70586951636</v>
      </c>
    </row>
    <row r="50" spans="2:14" x14ac:dyDescent="0.15">
      <c r="B50" s="32">
        <v>33</v>
      </c>
      <c r="C50" s="32">
        <v>58</v>
      </c>
      <c r="D50" s="165">
        <f t="shared" si="4"/>
        <v>402275.53490705107</v>
      </c>
      <c r="E50" s="165">
        <f t="shared" si="6"/>
        <v>40227.553490705111</v>
      </c>
      <c r="F50" s="165">
        <f t="shared" si="7"/>
        <v>2000</v>
      </c>
      <c r="G50" s="165">
        <f t="shared" si="5"/>
        <v>444503.08839775616</v>
      </c>
      <c r="H50" s="172"/>
      <c r="I50" s="170">
        <v>32</v>
      </c>
      <c r="J50" s="32">
        <v>58</v>
      </c>
      <c r="K50" s="165">
        <f t="shared" si="3"/>
        <v>439008.70586951636</v>
      </c>
      <c r="L50" s="165">
        <f t="shared" si="1"/>
        <v>43900.870586951642</v>
      </c>
      <c r="M50" s="165"/>
      <c r="N50" s="165">
        <f t="shared" si="2"/>
        <v>482909.57645646797</v>
      </c>
    </row>
    <row r="51" spans="2:14" x14ac:dyDescent="0.15">
      <c r="B51" s="32">
        <v>34</v>
      </c>
      <c r="C51" s="32">
        <v>59</v>
      </c>
      <c r="D51" s="165">
        <f t="shared" si="4"/>
        <v>444503.08839775616</v>
      </c>
      <c r="E51" s="165">
        <f t="shared" si="6"/>
        <v>44450.308839775622</v>
      </c>
      <c r="F51" s="165">
        <f t="shared" si="7"/>
        <v>2000</v>
      </c>
      <c r="G51" s="165">
        <f t="shared" si="5"/>
        <v>490953.39723753178</v>
      </c>
      <c r="H51" s="172"/>
      <c r="I51" s="170">
        <v>33</v>
      </c>
      <c r="J51" s="32">
        <v>59</v>
      </c>
      <c r="K51" s="165">
        <f t="shared" si="3"/>
        <v>482909.57645646797</v>
      </c>
      <c r="L51" s="165">
        <f t="shared" si="1"/>
        <v>48290.957645646798</v>
      </c>
      <c r="M51" s="165"/>
      <c r="N51" s="165">
        <f t="shared" si="2"/>
        <v>531200.53410211473</v>
      </c>
    </row>
    <row r="52" spans="2:14" x14ac:dyDescent="0.15">
      <c r="B52" s="32">
        <v>35</v>
      </c>
      <c r="C52" s="32">
        <v>60</v>
      </c>
      <c r="D52" s="165">
        <f t="shared" si="4"/>
        <v>490953.39723753178</v>
      </c>
      <c r="E52" s="165">
        <f t="shared" si="6"/>
        <v>49095.339723753183</v>
      </c>
      <c r="F52" s="165">
        <f t="shared" si="7"/>
        <v>2000</v>
      </c>
      <c r="G52" s="165">
        <f t="shared" si="5"/>
        <v>542048.736961285</v>
      </c>
      <c r="H52" s="172"/>
      <c r="I52" s="170">
        <v>34</v>
      </c>
      <c r="J52" s="32">
        <v>60</v>
      </c>
      <c r="K52" s="165">
        <f t="shared" si="3"/>
        <v>531200.53410211473</v>
      </c>
      <c r="L52" s="165">
        <f t="shared" si="1"/>
        <v>53120.053410211476</v>
      </c>
      <c r="M52" s="165"/>
      <c r="N52" s="165">
        <f t="shared" si="2"/>
        <v>584320.58751232619</v>
      </c>
    </row>
    <row r="53" spans="2:14" x14ac:dyDescent="0.15">
      <c r="B53" s="32">
        <v>36</v>
      </c>
      <c r="C53" s="32">
        <v>61</v>
      </c>
      <c r="D53" s="165">
        <f t="shared" si="4"/>
        <v>542048.736961285</v>
      </c>
      <c r="E53" s="165">
        <f t="shared" si="6"/>
        <v>54204.873696128503</v>
      </c>
      <c r="F53" s="165">
        <f t="shared" si="7"/>
        <v>2000</v>
      </c>
      <c r="G53" s="165">
        <f t="shared" si="5"/>
        <v>598253.61065741349</v>
      </c>
      <c r="H53" s="172"/>
      <c r="I53" s="170">
        <v>35</v>
      </c>
      <c r="J53" s="32">
        <v>61</v>
      </c>
      <c r="K53" s="165">
        <f t="shared" si="3"/>
        <v>584320.58751232619</v>
      </c>
      <c r="L53" s="165">
        <f t="shared" si="1"/>
        <v>58432.058751232624</v>
      </c>
      <c r="M53" s="165"/>
      <c r="N53" s="165">
        <f t="shared" si="2"/>
        <v>642752.64626355877</v>
      </c>
    </row>
    <row r="54" spans="2:14" x14ac:dyDescent="0.15">
      <c r="B54" s="32">
        <v>37</v>
      </c>
      <c r="C54" s="32">
        <v>62</v>
      </c>
      <c r="D54" s="165">
        <f t="shared" si="4"/>
        <v>598253.61065741349</v>
      </c>
      <c r="E54" s="165">
        <f t="shared" si="6"/>
        <v>59825.361065741352</v>
      </c>
      <c r="F54" s="165">
        <f t="shared" si="7"/>
        <v>2000</v>
      </c>
      <c r="G54" s="165">
        <f t="shared" si="5"/>
        <v>660078.97172315489</v>
      </c>
      <c r="H54" s="172"/>
      <c r="I54" s="170">
        <v>36</v>
      </c>
      <c r="J54" s="32">
        <v>62</v>
      </c>
      <c r="K54" s="165">
        <f t="shared" si="3"/>
        <v>642752.64626355877</v>
      </c>
      <c r="L54" s="165">
        <f t="shared" si="1"/>
        <v>64275.264626355878</v>
      </c>
      <c r="M54" s="165"/>
      <c r="N54" s="165">
        <f t="shared" si="2"/>
        <v>707027.91088991461</v>
      </c>
    </row>
    <row r="55" spans="2:14" x14ac:dyDescent="0.15">
      <c r="B55" s="32">
        <v>38</v>
      </c>
      <c r="C55" s="32">
        <v>63</v>
      </c>
      <c r="D55" s="165">
        <f t="shared" si="4"/>
        <v>660078.97172315489</v>
      </c>
      <c r="E55" s="165">
        <f t="shared" si="6"/>
        <v>66007.897172315497</v>
      </c>
      <c r="F55" s="165">
        <f t="shared" si="7"/>
        <v>2000</v>
      </c>
      <c r="G55" s="165">
        <f t="shared" si="5"/>
        <v>728086.8688954704</v>
      </c>
      <c r="H55" s="172"/>
      <c r="I55" s="170">
        <v>37</v>
      </c>
      <c r="J55" s="32">
        <v>63</v>
      </c>
      <c r="K55" s="165">
        <f t="shared" si="3"/>
        <v>707027.91088991461</v>
      </c>
      <c r="L55" s="165">
        <f t="shared" si="1"/>
        <v>70702.791088991464</v>
      </c>
      <c r="M55" s="165"/>
      <c r="N55" s="165">
        <f t="shared" si="2"/>
        <v>777730.70197890606</v>
      </c>
    </row>
    <row r="56" spans="2:14" x14ac:dyDescent="0.15">
      <c r="B56" s="32">
        <v>39</v>
      </c>
      <c r="C56" s="32">
        <v>64</v>
      </c>
      <c r="D56" s="165">
        <f t="shared" si="4"/>
        <v>728086.8688954704</v>
      </c>
      <c r="E56" s="165">
        <f t="shared" si="6"/>
        <v>72808.68688954704</v>
      </c>
      <c r="F56" s="165">
        <f t="shared" si="7"/>
        <v>2000</v>
      </c>
      <c r="G56" s="165">
        <f t="shared" si="5"/>
        <v>802895.55578501744</v>
      </c>
      <c r="H56" s="172"/>
      <c r="I56" s="170">
        <v>38</v>
      </c>
      <c r="J56" s="32">
        <v>64</v>
      </c>
      <c r="K56" s="165">
        <f t="shared" si="3"/>
        <v>777730.70197890606</v>
      </c>
      <c r="L56" s="165">
        <f t="shared" si="1"/>
        <v>77773.070197890615</v>
      </c>
      <c r="M56" s="165"/>
      <c r="N56" s="165">
        <f t="shared" si="2"/>
        <v>855503.77217679669</v>
      </c>
    </row>
    <row r="57" spans="2:14" x14ac:dyDescent="0.15">
      <c r="B57" s="32">
        <v>40</v>
      </c>
      <c r="C57" s="32">
        <v>65</v>
      </c>
      <c r="D57" s="165">
        <f t="shared" si="4"/>
        <v>802895.55578501744</v>
      </c>
      <c r="E57" s="165">
        <f t="shared" si="6"/>
        <v>80289.55557850175</v>
      </c>
      <c r="F57" s="165">
        <f t="shared" si="7"/>
        <v>2000</v>
      </c>
      <c r="G57" s="165">
        <f t="shared" si="5"/>
        <v>885185.11136351922</v>
      </c>
      <c r="H57" s="172"/>
      <c r="I57" s="170">
        <v>39</v>
      </c>
      <c r="J57" s="32">
        <v>65</v>
      </c>
      <c r="K57" s="165">
        <f t="shared" si="3"/>
        <v>855503.77217679669</v>
      </c>
      <c r="L57" s="165">
        <f t="shared" si="1"/>
        <v>85550.377217679677</v>
      </c>
      <c r="M57" s="165"/>
      <c r="N57" s="165">
        <f t="shared" si="2"/>
        <v>941054.14939447632</v>
      </c>
    </row>
    <row r="58" spans="2:14" ht="14" thickBot="1" x14ac:dyDescent="0.2">
      <c r="C58" s="32"/>
      <c r="D58" s="32"/>
      <c r="E58" s="32"/>
      <c r="F58" s="32"/>
      <c r="G58" s="32"/>
      <c r="H58" s="32"/>
      <c r="I58" s="171"/>
    </row>
    <row r="59" spans="2:14" ht="14" thickBot="1" x14ac:dyDescent="0.2">
      <c r="B59" s="211" t="s">
        <v>170</v>
      </c>
      <c r="C59" s="212"/>
    </row>
    <row r="60" spans="2:14" s="108" customFormat="1" ht="14" thickBot="1" x14ac:dyDescent="0.2">
      <c r="B60" s="44"/>
    </row>
    <row r="61" spans="2:14" s="108" customFormat="1" ht="14" thickBot="1" x14ac:dyDescent="0.2">
      <c r="B61"/>
      <c r="C61" s="58" t="s">
        <v>41</v>
      </c>
      <c r="D61"/>
      <c r="E61"/>
      <c r="F61"/>
    </row>
    <row r="62" spans="2:14" s="108" customFormat="1" x14ac:dyDescent="0.15">
      <c r="B62"/>
      <c r="C62" t="s">
        <v>33</v>
      </c>
      <c r="D62" s="101">
        <v>500000</v>
      </c>
      <c r="E62"/>
      <c r="F62"/>
    </row>
    <row r="63" spans="2:14" s="108" customFormat="1" x14ac:dyDescent="0.15">
      <c r="B63"/>
      <c r="C63" t="s">
        <v>42</v>
      </c>
      <c r="D63" s="100">
        <f>0.03/12</f>
        <v>2.5000000000000001E-3</v>
      </c>
      <c r="E63" s="131" t="s">
        <v>159</v>
      </c>
      <c r="F63"/>
    </row>
    <row r="64" spans="2:14" s="108" customFormat="1" x14ac:dyDescent="0.15">
      <c r="B64"/>
      <c r="C64" t="s">
        <v>36</v>
      </c>
      <c r="D64" s="32">
        <v>360</v>
      </c>
      <c r="E64"/>
      <c r="F64"/>
    </row>
    <row r="65" spans="2:6" s="108" customFormat="1" x14ac:dyDescent="0.15">
      <c r="B65"/>
      <c r="C65" t="s">
        <v>7</v>
      </c>
      <c r="D65" s="98">
        <f>PMT(D63,D64,D62)</f>
        <v>-2108.0201686472524</v>
      </c>
      <c r="E65"/>
      <c r="F65"/>
    </row>
    <row r="66" spans="2:6" s="108" customFormat="1" x14ac:dyDescent="0.15">
      <c r="B66"/>
      <c r="C66"/>
      <c r="D66"/>
      <c r="E66"/>
      <c r="F66"/>
    </row>
    <row r="67" spans="2:6" s="108" customFormat="1" ht="28" x14ac:dyDescent="0.15">
      <c r="B67"/>
      <c r="C67" s="1" t="s">
        <v>57</v>
      </c>
      <c r="D67" s="47" t="s">
        <v>43</v>
      </c>
      <c r="E67" s="1" t="s">
        <v>0</v>
      </c>
      <c r="F67" s="1" t="s">
        <v>13</v>
      </c>
    </row>
    <row r="68" spans="2:6" s="108" customFormat="1" x14ac:dyDescent="0.15">
      <c r="B68" s="32">
        <v>1</v>
      </c>
      <c r="C68" s="121">
        <f>D62</f>
        <v>500000</v>
      </c>
      <c r="D68" s="122">
        <f>C68*$D$63</f>
        <v>1250</v>
      </c>
      <c r="E68" s="122">
        <f>$D$65</f>
        <v>-2108.0201686472524</v>
      </c>
      <c r="F68" s="122">
        <f>C68+D68+E68</f>
        <v>499141.97983135277</v>
      </c>
    </row>
    <row r="69" spans="2:6" s="108" customFormat="1" x14ac:dyDescent="0.15">
      <c r="B69" s="32">
        <v>2</v>
      </c>
      <c r="C69" s="122">
        <f>F68</f>
        <v>499141.97983135277</v>
      </c>
      <c r="D69" s="122">
        <f t="shared" ref="D69:D103" si="8">C69*$D$63</f>
        <v>1247.854949578382</v>
      </c>
      <c r="E69" s="122">
        <f t="shared" ref="E69:E103" si="9">$D$65</f>
        <v>-2108.0201686472524</v>
      </c>
      <c r="F69" s="122">
        <f>C69+D69+E69</f>
        <v>498281.81461228395</v>
      </c>
    </row>
    <row r="70" spans="2:6" s="108" customFormat="1" x14ac:dyDescent="0.15">
      <c r="B70" s="32">
        <v>3</v>
      </c>
      <c r="C70" s="122">
        <f t="shared" ref="C70:C103" si="10">F69</f>
        <v>498281.81461228395</v>
      </c>
      <c r="D70" s="122">
        <f t="shared" si="8"/>
        <v>1245.7045365307099</v>
      </c>
      <c r="E70" s="122">
        <f t="shared" si="9"/>
        <v>-2108.0201686472524</v>
      </c>
      <c r="F70" s="122">
        <f t="shared" ref="F70:F103" si="11">C70+D70+E70</f>
        <v>497419.49898016744</v>
      </c>
    </row>
    <row r="71" spans="2:6" s="108" customFormat="1" x14ac:dyDescent="0.15">
      <c r="B71" s="32">
        <v>4</v>
      </c>
      <c r="C71" s="122">
        <f t="shared" si="10"/>
        <v>497419.49898016744</v>
      </c>
      <c r="D71" s="122">
        <f t="shared" si="8"/>
        <v>1243.5487474504187</v>
      </c>
      <c r="E71" s="122">
        <f t="shared" si="9"/>
        <v>-2108.0201686472524</v>
      </c>
      <c r="F71" s="122">
        <f t="shared" si="11"/>
        <v>496555.02755897061</v>
      </c>
    </row>
    <row r="72" spans="2:6" s="108" customFormat="1" x14ac:dyDescent="0.15">
      <c r="B72" s="32">
        <v>5</v>
      </c>
      <c r="C72" s="122">
        <f t="shared" si="10"/>
        <v>496555.02755897061</v>
      </c>
      <c r="D72" s="122">
        <f t="shared" si="8"/>
        <v>1241.3875688974265</v>
      </c>
      <c r="E72" s="122">
        <f t="shared" si="9"/>
        <v>-2108.0201686472524</v>
      </c>
      <c r="F72" s="122">
        <f t="shared" si="11"/>
        <v>495688.39495922084</v>
      </c>
    </row>
    <row r="73" spans="2:6" s="108" customFormat="1" x14ac:dyDescent="0.15">
      <c r="B73" s="32">
        <v>6</v>
      </c>
      <c r="C73" s="122">
        <f t="shared" si="10"/>
        <v>495688.39495922084</v>
      </c>
      <c r="D73" s="122">
        <f t="shared" si="8"/>
        <v>1239.2209873980521</v>
      </c>
      <c r="E73" s="122">
        <f t="shared" si="9"/>
        <v>-2108.0201686472524</v>
      </c>
      <c r="F73" s="122">
        <f t="shared" si="11"/>
        <v>494819.59577797167</v>
      </c>
    </row>
    <row r="74" spans="2:6" s="108" customFormat="1" x14ac:dyDescent="0.15">
      <c r="B74" s="32">
        <v>7</v>
      </c>
      <c r="C74" s="122">
        <f t="shared" si="10"/>
        <v>494819.59577797167</v>
      </c>
      <c r="D74" s="122">
        <f t="shared" si="8"/>
        <v>1237.0489894449292</v>
      </c>
      <c r="E74" s="122">
        <f t="shared" si="9"/>
        <v>-2108.0201686472524</v>
      </c>
      <c r="F74" s="122">
        <f t="shared" si="11"/>
        <v>493948.62459876935</v>
      </c>
    </row>
    <row r="75" spans="2:6" s="108" customFormat="1" x14ac:dyDescent="0.15">
      <c r="B75" s="32">
        <v>8</v>
      </c>
      <c r="C75" s="122">
        <f t="shared" si="10"/>
        <v>493948.62459876935</v>
      </c>
      <c r="D75" s="122">
        <f t="shared" si="8"/>
        <v>1234.8715614969235</v>
      </c>
      <c r="E75" s="122">
        <f t="shared" si="9"/>
        <v>-2108.0201686472524</v>
      </c>
      <c r="F75" s="122">
        <f t="shared" si="11"/>
        <v>493075.47599161905</v>
      </c>
    </row>
    <row r="76" spans="2:6" s="108" customFormat="1" x14ac:dyDescent="0.15">
      <c r="B76" s="32">
        <v>9</v>
      </c>
      <c r="C76" s="122">
        <f t="shared" si="10"/>
        <v>493075.47599161905</v>
      </c>
      <c r="D76" s="122">
        <f t="shared" si="8"/>
        <v>1232.6886899790477</v>
      </c>
      <c r="E76" s="122">
        <f t="shared" si="9"/>
        <v>-2108.0201686472524</v>
      </c>
      <c r="F76" s="122">
        <f t="shared" si="11"/>
        <v>492200.14451295085</v>
      </c>
    </row>
    <row r="77" spans="2:6" s="108" customFormat="1" x14ac:dyDescent="0.15">
      <c r="B77" s="32">
        <v>10</v>
      </c>
      <c r="C77" s="122">
        <f t="shared" si="10"/>
        <v>492200.14451295085</v>
      </c>
      <c r="D77" s="122">
        <f t="shared" si="8"/>
        <v>1230.5003612823771</v>
      </c>
      <c r="E77" s="122">
        <f t="shared" si="9"/>
        <v>-2108.0201686472524</v>
      </c>
      <c r="F77" s="122">
        <f t="shared" si="11"/>
        <v>491322.624705586</v>
      </c>
    </row>
    <row r="78" spans="2:6" s="108" customFormat="1" x14ac:dyDescent="0.15">
      <c r="B78" s="32">
        <v>11</v>
      </c>
      <c r="C78" s="122">
        <f t="shared" si="10"/>
        <v>491322.624705586</v>
      </c>
      <c r="D78" s="122">
        <f t="shared" si="8"/>
        <v>1228.306561763965</v>
      </c>
      <c r="E78" s="122">
        <f t="shared" si="9"/>
        <v>-2108.0201686472524</v>
      </c>
      <c r="F78" s="122">
        <f t="shared" si="11"/>
        <v>490442.91109870275</v>
      </c>
    </row>
    <row r="79" spans="2:6" s="108" customFormat="1" x14ac:dyDescent="0.15">
      <c r="B79" s="32">
        <v>12</v>
      </c>
      <c r="C79" s="122">
        <f t="shared" si="10"/>
        <v>490442.91109870275</v>
      </c>
      <c r="D79" s="122">
        <f t="shared" si="8"/>
        <v>1226.1072777467568</v>
      </c>
      <c r="E79" s="122">
        <f t="shared" si="9"/>
        <v>-2108.0201686472524</v>
      </c>
      <c r="F79" s="122">
        <f t="shared" si="11"/>
        <v>489560.9982078023</v>
      </c>
    </row>
    <row r="80" spans="2:6" s="108" customFormat="1" x14ac:dyDescent="0.15">
      <c r="B80" s="32">
        <v>13</v>
      </c>
      <c r="C80" s="122">
        <f t="shared" si="10"/>
        <v>489560.9982078023</v>
      </c>
      <c r="D80" s="122">
        <f t="shared" si="8"/>
        <v>1223.9024955195057</v>
      </c>
      <c r="E80" s="122">
        <f t="shared" si="9"/>
        <v>-2108.0201686472524</v>
      </c>
      <c r="F80" s="122">
        <f t="shared" si="11"/>
        <v>488676.88053467456</v>
      </c>
    </row>
    <row r="81" spans="2:6" s="108" customFormat="1" x14ac:dyDescent="0.15">
      <c r="B81" s="32">
        <v>14</v>
      </c>
      <c r="C81" s="122">
        <f t="shared" si="10"/>
        <v>488676.88053467456</v>
      </c>
      <c r="D81" s="122">
        <f t="shared" si="8"/>
        <v>1221.6922013366864</v>
      </c>
      <c r="E81" s="122">
        <f t="shared" si="9"/>
        <v>-2108.0201686472524</v>
      </c>
      <c r="F81" s="122">
        <f t="shared" si="11"/>
        <v>487790.55256736401</v>
      </c>
    </row>
    <row r="82" spans="2:6" s="108" customFormat="1" x14ac:dyDescent="0.15">
      <c r="B82" s="32">
        <v>15</v>
      </c>
      <c r="C82" s="122">
        <f t="shared" si="10"/>
        <v>487790.55256736401</v>
      </c>
      <c r="D82" s="122">
        <f t="shared" si="8"/>
        <v>1219.47638141841</v>
      </c>
      <c r="E82" s="122">
        <f t="shared" si="9"/>
        <v>-2108.0201686472524</v>
      </c>
      <c r="F82" s="122">
        <f t="shared" si="11"/>
        <v>486902.00878013519</v>
      </c>
    </row>
    <row r="83" spans="2:6" s="108" customFormat="1" x14ac:dyDescent="0.15">
      <c r="B83" s="32">
        <v>16</v>
      </c>
      <c r="C83" s="122">
        <f t="shared" si="10"/>
        <v>486902.00878013519</v>
      </c>
      <c r="D83" s="122">
        <f t="shared" si="8"/>
        <v>1217.255021950338</v>
      </c>
      <c r="E83" s="122">
        <f t="shared" si="9"/>
        <v>-2108.0201686472524</v>
      </c>
      <c r="F83" s="122">
        <f t="shared" si="11"/>
        <v>486011.24363343831</v>
      </c>
    </row>
    <row r="84" spans="2:6" s="108" customFormat="1" x14ac:dyDescent="0.15">
      <c r="B84" s="32">
        <v>17</v>
      </c>
      <c r="C84" s="122">
        <f t="shared" si="10"/>
        <v>486011.24363343831</v>
      </c>
      <c r="D84" s="122">
        <f t="shared" si="8"/>
        <v>1215.0281090835958</v>
      </c>
      <c r="E84" s="122">
        <f t="shared" si="9"/>
        <v>-2108.0201686472524</v>
      </c>
      <c r="F84" s="122">
        <f t="shared" si="11"/>
        <v>485118.25157387467</v>
      </c>
    </row>
    <row r="85" spans="2:6" s="108" customFormat="1" x14ac:dyDescent="0.15">
      <c r="B85" s="32">
        <v>18</v>
      </c>
      <c r="C85" s="122">
        <f t="shared" si="10"/>
        <v>485118.25157387467</v>
      </c>
      <c r="D85" s="122">
        <f t="shared" si="8"/>
        <v>1212.7956289346866</v>
      </c>
      <c r="E85" s="122">
        <f t="shared" si="9"/>
        <v>-2108.0201686472524</v>
      </c>
      <c r="F85" s="122">
        <f t="shared" si="11"/>
        <v>484223.02703416214</v>
      </c>
    </row>
    <row r="86" spans="2:6" s="108" customFormat="1" x14ac:dyDescent="0.15">
      <c r="B86" s="32">
        <v>19</v>
      </c>
      <c r="C86" s="122">
        <f t="shared" si="10"/>
        <v>484223.02703416214</v>
      </c>
      <c r="D86" s="122">
        <f t="shared" si="8"/>
        <v>1210.5575675854054</v>
      </c>
      <c r="E86" s="122">
        <f t="shared" si="9"/>
        <v>-2108.0201686472524</v>
      </c>
      <c r="F86" s="122">
        <f t="shared" si="11"/>
        <v>483325.56443310034</v>
      </c>
    </row>
    <row r="87" spans="2:6" s="108" customFormat="1" x14ac:dyDescent="0.15">
      <c r="B87" s="32">
        <v>20</v>
      </c>
      <c r="C87" s="122">
        <f t="shared" si="10"/>
        <v>483325.56443310034</v>
      </c>
      <c r="D87" s="122">
        <f t="shared" si="8"/>
        <v>1208.3139110827508</v>
      </c>
      <c r="E87" s="122">
        <f t="shared" si="9"/>
        <v>-2108.0201686472524</v>
      </c>
      <c r="F87" s="122">
        <f t="shared" si="11"/>
        <v>482425.85817553586</v>
      </c>
    </row>
    <row r="88" spans="2:6" s="108" customFormat="1" x14ac:dyDescent="0.15">
      <c r="B88" s="32">
        <v>21</v>
      </c>
      <c r="C88" s="122">
        <f t="shared" si="10"/>
        <v>482425.85817553586</v>
      </c>
      <c r="D88" s="122">
        <f t="shared" si="8"/>
        <v>1206.0646454388398</v>
      </c>
      <c r="E88" s="122">
        <f t="shared" si="9"/>
        <v>-2108.0201686472524</v>
      </c>
      <c r="F88" s="122">
        <f t="shared" si="11"/>
        <v>481523.9026523275</v>
      </c>
    </row>
    <row r="89" spans="2:6" s="108" customFormat="1" x14ac:dyDescent="0.15">
      <c r="B89" s="32">
        <v>22</v>
      </c>
      <c r="C89" s="122">
        <f t="shared" si="10"/>
        <v>481523.9026523275</v>
      </c>
      <c r="D89" s="122">
        <f t="shared" si="8"/>
        <v>1203.8097566308188</v>
      </c>
      <c r="E89" s="122">
        <f t="shared" si="9"/>
        <v>-2108.0201686472524</v>
      </c>
      <c r="F89" s="122">
        <f t="shared" si="11"/>
        <v>480619.69224031107</v>
      </c>
    </row>
    <row r="90" spans="2:6" s="108" customFormat="1" x14ac:dyDescent="0.15">
      <c r="B90" s="32">
        <v>23</v>
      </c>
      <c r="C90" s="122">
        <f t="shared" si="10"/>
        <v>480619.69224031107</v>
      </c>
      <c r="D90" s="122">
        <f t="shared" si="8"/>
        <v>1201.5492306007777</v>
      </c>
      <c r="E90" s="122">
        <f t="shared" si="9"/>
        <v>-2108.0201686472524</v>
      </c>
      <c r="F90" s="122">
        <f t="shared" si="11"/>
        <v>479713.2213022646</v>
      </c>
    </row>
    <row r="91" spans="2:6" s="108" customFormat="1" x14ac:dyDescent="0.15">
      <c r="B91" s="32">
        <v>24</v>
      </c>
      <c r="C91" s="122">
        <f t="shared" si="10"/>
        <v>479713.2213022646</v>
      </c>
      <c r="D91" s="122">
        <f t="shared" si="8"/>
        <v>1199.2830532556616</v>
      </c>
      <c r="E91" s="122">
        <f t="shared" si="9"/>
        <v>-2108.0201686472524</v>
      </c>
      <c r="F91" s="122">
        <f t="shared" si="11"/>
        <v>478804.48418687301</v>
      </c>
    </row>
    <row r="92" spans="2:6" s="108" customFormat="1" x14ac:dyDescent="0.15">
      <c r="B92" s="32">
        <v>25</v>
      </c>
      <c r="C92" s="122">
        <f t="shared" si="10"/>
        <v>478804.48418687301</v>
      </c>
      <c r="D92" s="122">
        <f t="shared" si="8"/>
        <v>1197.0112104671825</v>
      </c>
      <c r="E92" s="122">
        <f t="shared" si="9"/>
        <v>-2108.0201686472524</v>
      </c>
      <c r="F92" s="122">
        <f t="shared" si="11"/>
        <v>477893.47522869299</v>
      </c>
    </row>
    <row r="93" spans="2:6" s="108" customFormat="1" x14ac:dyDescent="0.15">
      <c r="B93" s="32">
        <v>26</v>
      </c>
      <c r="C93" s="122">
        <f t="shared" si="10"/>
        <v>477893.47522869299</v>
      </c>
      <c r="D93" s="122">
        <f t="shared" si="8"/>
        <v>1194.7336880717326</v>
      </c>
      <c r="E93" s="122">
        <f t="shared" si="9"/>
        <v>-2108.0201686472524</v>
      </c>
      <c r="F93" s="122">
        <f t="shared" si="11"/>
        <v>476980.18874811748</v>
      </c>
    </row>
    <row r="94" spans="2:6" s="108" customFormat="1" x14ac:dyDescent="0.15">
      <c r="B94" s="32">
        <v>27</v>
      </c>
      <c r="C94" s="122">
        <f t="shared" si="10"/>
        <v>476980.18874811748</v>
      </c>
      <c r="D94" s="122">
        <f t="shared" si="8"/>
        <v>1192.4504718702938</v>
      </c>
      <c r="E94" s="122">
        <f t="shared" si="9"/>
        <v>-2108.0201686472524</v>
      </c>
      <c r="F94" s="122">
        <f t="shared" si="11"/>
        <v>476064.61905134056</v>
      </c>
    </row>
    <row r="95" spans="2:6" s="108" customFormat="1" x14ac:dyDescent="0.15">
      <c r="B95" s="32">
        <v>28</v>
      </c>
      <c r="C95" s="122">
        <f t="shared" si="10"/>
        <v>476064.61905134056</v>
      </c>
      <c r="D95" s="122">
        <f t="shared" si="8"/>
        <v>1190.1615476283514</v>
      </c>
      <c r="E95" s="122">
        <f t="shared" si="9"/>
        <v>-2108.0201686472524</v>
      </c>
      <c r="F95" s="122">
        <f t="shared" si="11"/>
        <v>475146.76043032168</v>
      </c>
    </row>
    <row r="96" spans="2:6" s="108" customFormat="1" x14ac:dyDescent="0.15">
      <c r="B96" s="32">
        <v>29</v>
      </c>
      <c r="C96" s="122">
        <f t="shared" si="10"/>
        <v>475146.76043032168</v>
      </c>
      <c r="D96" s="122">
        <f t="shared" si="8"/>
        <v>1187.8669010758042</v>
      </c>
      <c r="E96" s="122">
        <f t="shared" si="9"/>
        <v>-2108.0201686472524</v>
      </c>
      <c r="F96" s="122">
        <f t="shared" si="11"/>
        <v>474226.60716275027</v>
      </c>
    </row>
    <row r="97" spans="2:7" s="108" customFormat="1" x14ac:dyDescent="0.15">
      <c r="B97" s="32">
        <v>30</v>
      </c>
      <c r="C97" s="122">
        <f t="shared" si="10"/>
        <v>474226.60716275027</v>
      </c>
      <c r="D97" s="122">
        <f t="shared" si="8"/>
        <v>1185.5665179068758</v>
      </c>
      <c r="E97" s="122">
        <f t="shared" si="9"/>
        <v>-2108.0201686472524</v>
      </c>
      <c r="F97" s="122">
        <f t="shared" si="11"/>
        <v>473304.15351200994</v>
      </c>
    </row>
    <row r="98" spans="2:7" s="108" customFormat="1" x14ac:dyDescent="0.15">
      <c r="B98" s="32">
        <v>31</v>
      </c>
      <c r="C98" s="122">
        <f t="shared" si="10"/>
        <v>473304.15351200994</v>
      </c>
      <c r="D98" s="122">
        <f t="shared" si="8"/>
        <v>1183.260383780025</v>
      </c>
      <c r="E98" s="122">
        <f t="shared" si="9"/>
        <v>-2108.0201686472524</v>
      </c>
      <c r="F98" s="122">
        <f t="shared" si="11"/>
        <v>472379.39372714271</v>
      </c>
    </row>
    <row r="99" spans="2:7" s="108" customFormat="1" x14ac:dyDescent="0.15">
      <c r="B99" s="32">
        <v>32</v>
      </c>
      <c r="C99" s="122">
        <f t="shared" si="10"/>
        <v>472379.39372714271</v>
      </c>
      <c r="D99" s="122">
        <f t="shared" si="8"/>
        <v>1180.9484843178568</v>
      </c>
      <c r="E99" s="122">
        <f t="shared" si="9"/>
        <v>-2108.0201686472524</v>
      </c>
      <c r="F99" s="122">
        <f t="shared" si="11"/>
        <v>471452.32204281335</v>
      </c>
    </row>
    <row r="100" spans="2:7" s="108" customFormat="1" x14ac:dyDescent="0.15">
      <c r="B100" s="32">
        <v>33</v>
      </c>
      <c r="C100" s="122">
        <f t="shared" si="10"/>
        <v>471452.32204281335</v>
      </c>
      <c r="D100" s="122">
        <f t="shared" si="8"/>
        <v>1178.6308051070334</v>
      </c>
      <c r="E100" s="122">
        <f t="shared" si="9"/>
        <v>-2108.0201686472524</v>
      </c>
      <c r="F100" s="122">
        <f t="shared" si="11"/>
        <v>470522.93267927313</v>
      </c>
    </row>
    <row r="101" spans="2:7" s="108" customFormat="1" x14ac:dyDescent="0.15">
      <c r="B101" s="32">
        <v>34</v>
      </c>
      <c r="C101" s="122">
        <f t="shared" si="10"/>
        <v>470522.93267927313</v>
      </c>
      <c r="D101" s="122">
        <f t="shared" si="8"/>
        <v>1176.3073316981829</v>
      </c>
      <c r="E101" s="122">
        <f t="shared" si="9"/>
        <v>-2108.0201686472524</v>
      </c>
      <c r="F101" s="122">
        <f t="shared" si="11"/>
        <v>469591.21984232409</v>
      </c>
    </row>
    <row r="102" spans="2:7" s="108" customFormat="1" x14ac:dyDescent="0.15">
      <c r="B102" s="32">
        <v>35</v>
      </c>
      <c r="C102" s="122">
        <f t="shared" si="10"/>
        <v>469591.21984232409</v>
      </c>
      <c r="D102" s="122">
        <f t="shared" si="8"/>
        <v>1173.9780496058102</v>
      </c>
      <c r="E102" s="122">
        <f t="shared" si="9"/>
        <v>-2108.0201686472524</v>
      </c>
      <c r="F102" s="122">
        <f t="shared" si="11"/>
        <v>468657.17772328266</v>
      </c>
    </row>
    <row r="103" spans="2:7" s="108" customFormat="1" x14ac:dyDescent="0.15">
      <c r="B103" s="32">
        <v>36</v>
      </c>
      <c r="C103" s="122">
        <f t="shared" si="10"/>
        <v>468657.17772328266</v>
      </c>
      <c r="D103" s="122">
        <f t="shared" si="8"/>
        <v>1171.6429443082068</v>
      </c>
      <c r="E103" s="122">
        <f t="shared" si="9"/>
        <v>-2108.0201686472524</v>
      </c>
      <c r="F103" s="123">
        <f t="shared" si="11"/>
        <v>467720.80049894366</v>
      </c>
    </row>
    <row r="104" spans="2:7" s="108" customFormat="1" x14ac:dyDescent="0.15">
      <c r="B104" s="44"/>
    </row>
    <row r="105" spans="2:7" s="108" customFormat="1" ht="14" thickBot="1" x14ac:dyDescent="0.2">
      <c r="B105" s="44"/>
    </row>
    <row r="106" spans="2:7" ht="14" thickBot="1" x14ac:dyDescent="0.2">
      <c r="B106" s="44"/>
      <c r="C106" s="120" t="s">
        <v>44</v>
      </c>
    </row>
    <row r="107" spans="2:7" x14ac:dyDescent="0.15">
      <c r="B107" s="44"/>
      <c r="C107" s="1" t="s">
        <v>33</v>
      </c>
      <c r="D107" s="97">
        <f>500000</f>
        <v>500000</v>
      </c>
      <c r="E107" s="38" t="s">
        <v>35</v>
      </c>
      <c r="F107" s="45">
        <f>0.03/12</f>
        <v>2.5000000000000001E-3</v>
      </c>
      <c r="G107" s="128" t="s">
        <v>146</v>
      </c>
    </row>
    <row r="108" spans="2:7" ht="14" thickBot="1" x14ac:dyDescent="0.2">
      <c r="B108" s="44"/>
      <c r="C108" s="1" t="s">
        <v>34</v>
      </c>
      <c r="D108" s="201">
        <f>0.02*500000</f>
        <v>10000</v>
      </c>
      <c r="E108" s="1" t="s">
        <v>36</v>
      </c>
      <c r="F108" s="32">
        <v>360</v>
      </c>
    </row>
    <row r="109" spans="2:7" ht="42" x14ac:dyDescent="0.15">
      <c r="B109" s="44"/>
      <c r="C109" s="47" t="s">
        <v>64</v>
      </c>
      <c r="D109" s="97">
        <f>D107-D108</f>
        <v>490000</v>
      </c>
      <c r="E109" s="47" t="s">
        <v>37</v>
      </c>
      <c r="F109" s="32">
        <v>36</v>
      </c>
    </row>
    <row r="110" spans="2:7" x14ac:dyDescent="0.15">
      <c r="C110" s="39" t="s">
        <v>7</v>
      </c>
      <c r="D110" s="98">
        <f>PMT(F107,F108,D107)</f>
        <v>-2108.0201686472524</v>
      </c>
    </row>
    <row r="111" spans="2:7" ht="14" thickBot="1" x14ac:dyDescent="0.2"/>
    <row r="112" spans="2:7" x14ac:dyDescent="0.15">
      <c r="B112" s="32">
        <v>1</v>
      </c>
      <c r="C112" s="55">
        <f>D109</f>
        <v>490000</v>
      </c>
      <c r="D112" s="199" t="s">
        <v>0</v>
      </c>
      <c r="E112" s="35" t="s">
        <v>14</v>
      </c>
    </row>
    <row r="113" spans="2:6" ht="14" thickBot="1" x14ac:dyDescent="0.2">
      <c r="B113" s="32">
        <v>2</v>
      </c>
      <c r="C113" s="53">
        <f>$D$113</f>
        <v>-2108.0201686472524</v>
      </c>
      <c r="D113" s="200">
        <f>D110</f>
        <v>-2108.0201686472524</v>
      </c>
      <c r="E113" s="99">
        <f>D107+CUMPRINC(F107,F108,D107,1,F109,0)</f>
        <v>467720.80049894273</v>
      </c>
      <c r="F113" t="s">
        <v>45</v>
      </c>
    </row>
    <row r="114" spans="2:6" x14ac:dyDescent="0.15">
      <c r="B114" s="32">
        <v>3</v>
      </c>
      <c r="C114" s="53">
        <f t="shared" ref="C114:C147" si="12">$D$113</f>
        <v>-2108.0201686472524</v>
      </c>
    </row>
    <row r="115" spans="2:6" x14ac:dyDescent="0.15">
      <c r="B115" s="32">
        <v>4</v>
      </c>
      <c r="C115" s="53">
        <f t="shared" si="12"/>
        <v>-2108.0201686472524</v>
      </c>
    </row>
    <row r="116" spans="2:6" x14ac:dyDescent="0.15">
      <c r="B116" s="32">
        <v>5</v>
      </c>
      <c r="C116" s="53">
        <f t="shared" si="12"/>
        <v>-2108.0201686472524</v>
      </c>
    </row>
    <row r="117" spans="2:6" x14ac:dyDescent="0.15">
      <c r="B117" s="32">
        <v>6</v>
      </c>
      <c r="C117" s="53">
        <f t="shared" si="12"/>
        <v>-2108.0201686472524</v>
      </c>
    </row>
    <row r="118" spans="2:6" x14ac:dyDescent="0.15">
      <c r="B118" s="32">
        <v>7</v>
      </c>
      <c r="C118" s="53">
        <f t="shared" si="12"/>
        <v>-2108.0201686472524</v>
      </c>
    </row>
    <row r="119" spans="2:6" x14ac:dyDescent="0.15">
      <c r="B119" s="32">
        <v>8</v>
      </c>
      <c r="C119" s="53">
        <f t="shared" si="12"/>
        <v>-2108.0201686472524</v>
      </c>
    </row>
    <row r="120" spans="2:6" x14ac:dyDescent="0.15">
      <c r="B120" s="32">
        <v>9</v>
      </c>
      <c r="C120" s="53">
        <f t="shared" si="12"/>
        <v>-2108.0201686472524</v>
      </c>
    </row>
    <row r="121" spans="2:6" x14ac:dyDescent="0.15">
      <c r="B121" s="32">
        <v>10</v>
      </c>
      <c r="C121" s="53">
        <f t="shared" si="12"/>
        <v>-2108.0201686472524</v>
      </c>
    </row>
    <row r="122" spans="2:6" x14ac:dyDescent="0.15">
      <c r="B122" s="32">
        <v>11</v>
      </c>
      <c r="C122" s="53">
        <f t="shared" si="12"/>
        <v>-2108.0201686472524</v>
      </c>
    </row>
    <row r="123" spans="2:6" x14ac:dyDescent="0.15">
      <c r="B123" s="32">
        <v>12</v>
      </c>
      <c r="C123" s="53">
        <f t="shared" si="12"/>
        <v>-2108.0201686472524</v>
      </c>
    </row>
    <row r="124" spans="2:6" x14ac:dyDescent="0.15">
      <c r="B124" s="32">
        <v>13</v>
      </c>
      <c r="C124" s="53">
        <f t="shared" si="12"/>
        <v>-2108.0201686472524</v>
      </c>
    </row>
    <row r="125" spans="2:6" x14ac:dyDescent="0.15">
      <c r="B125" s="32">
        <v>14</v>
      </c>
      <c r="C125" s="53">
        <f t="shared" si="12"/>
        <v>-2108.0201686472524</v>
      </c>
    </row>
    <row r="126" spans="2:6" x14ac:dyDescent="0.15">
      <c r="B126" s="32">
        <v>15</v>
      </c>
      <c r="C126" s="53">
        <f t="shared" si="12"/>
        <v>-2108.0201686472524</v>
      </c>
    </row>
    <row r="127" spans="2:6" x14ac:dyDescent="0.15">
      <c r="B127" s="32">
        <v>16</v>
      </c>
      <c r="C127" s="53">
        <f t="shared" si="12"/>
        <v>-2108.0201686472524</v>
      </c>
    </row>
    <row r="128" spans="2:6" x14ac:dyDescent="0.15">
      <c r="B128" s="32">
        <v>17</v>
      </c>
      <c r="C128" s="53">
        <f t="shared" si="12"/>
        <v>-2108.0201686472524</v>
      </c>
    </row>
    <row r="129" spans="2:3" x14ac:dyDescent="0.15">
      <c r="B129" s="32">
        <v>18</v>
      </c>
      <c r="C129" s="53">
        <f t="shared" si="12"/>
        <v>-2108.0201686472524</v>
      </c>
    </row>
    <row r="130" spans="2:3" x14ac:dyDescent="0.15">
      <c r="B130" s="32">
        <v>19</v>
      </c>
      <c r="C130" s="53">
        <f t="shared" si="12"/>
        <v>-2108.0201686472524</v>
      </c>
    </row>
    <row r="131" spans="2:3" x14ac:dyDescent="0.15">
      <c r="B131" s="32">
        <v>20</v>
      </c>
      <c r="C131" s="53">
        <f t="shared" si="12"/>
        <v>-2108.0201686472524</v>
      </c>
    </row>
    <row r="132" spans="2:3" x14ac:dyDescent="0.15">
      <c r="B132" s="32">
        <v>21</v>
      </c>
      <c r="C132" s="53">
        <f t="shared" si="12"/>
        <v>-2108.0201686472524</v>
      </c>
    </row>
    <row r="133" spans="2:3" x14ac:dyDescent="0.15">
      <c r="B133" s="32">
        <v>22</v>
      </c>
      <c r="C133" s="53">
        <f t="shared" si="12"/>
        <v>-2108.0201686472524</v>
      </c>
    </row>
    <row r="134" spans="2:3" x14ac:dyDescent="0.15">
      <c r="B134" s="32">
        <v>23</v>
      </c>
      <c r="C134" s="53">
        <f t="shared" si="12"/>
        <v>-2108.0201686472524</v>
      </c>
    </row>
    <row r="135" spans="2:3" x14ac:dyDescent="0.15">
      <c r="B135" s="32">
        <v>24</v>
      </c>
      <c r="C135" s="53">
        <f t="shared" si="12"/>
        <v>-2108.0201686472524</v>
      </c>
    </row>
    <row r="136" spans="2:3" x14ac:dyDescent="0.15">
      <c r="B136" s="32">
        <v>25</v>
      </c>
      <c r="C136" s="53">
        <f t="shared" si="12"/>
        <v>-2108.0201686472524</v>
      </c>
    </row>
    <row r="137" spans="2:3" x14ac:dyDescent="0.15">
      <c r="B137" s="32">
        <v>26</v>
      </c>
      <c r="C137" s="53">
        <f t="shared" si="12"/>
        <v>-2108.0201686472524</v>
      </c>
    </row>
    <row r="138" spans="2:3" x14ac:dyDescent="0.15">
      <c r="B138" s="32">
        <v>27</v>
      </c>
      <c r="C138" s="53">
        <f t="shared" si="12"/>
        <v>-2108.0201686472524</v>
      </c>
    </row>
    <row r="139" spans="2:3" x14ac:dyDescent="0.15">
      <c r="B139" s="32">
        <v>28</v>
      </c>
      <c r="C139" s="53">
        <f t="shared" si="12"/>
        <v>-2108.0201686472524</v>
      </c>
    </row>
    <row r="140" spans="2:3" x14ac:dyDescent="0.15">
      <c r="B140" s="32">
        <v>29</v>
      </c>
      <c r="C140" s="53">
        <f t="shared" si="12"/>
        <v>-2108.0201686472524</v>
      </c>
    </row>
    <row r="141" spans="2:3" x14ac:dyDescent="0.15">
      <c r="B141" s="32">
        <v>30</v>
      </c>
      <c r="C141" s="53">
        <f t="shared" si="12"/>
        <v>-2108.0201686472524</v>
      </c>
    </row>
    <row r="142" spans="2:3" x14ac:dyDescent="0.15">
      <c r="B142" s="32">
        <v>31</v>
      </c>
      <c r="C142" s="53">
        <f t="shared" si="12"/>
        <v>-2108.0201686472524</v>
      </c>
    </row>
    <row r="143" spans="2:3" x14ac:dyDescent="0.15">
      <c r="B143" s="32">
        <v>32</v>
      </c>
      <c r="C143" s="53">
        <f t="shared" si="12"/>
        <v>-2108.0201686472524</v>
      </c>
    </row>
    <row r="144" spans="2:3" x14ac:dyDescent="0.15">
      <c r="B144" s="32">
        <v>33</v>
      </c>
      <c r="C144" s="53">
        <f t="shared" si="12"/>
        <v>-2108.0201686472524</v>
      </c>
    </row>
    <row r="145" spans="2:7" x14ac:dyDescent="0.15">
      <c r="B145" s="32">
        <v>34</v>
      </c>
      <c r="C145" s="53">
        <f t="shared" si="12"/>
        <v>-2108.0201686472524</v>
      </c>
    </row>
    <row r="146" spans="2:7" x14ac:dyDescent="0.15">
      <c r="B146" s="32">
        <v>35</v>
      </c>
      <c r="C146" s="53">
        <f t="shared" si="12"/>
        <v>-2108.0201686472524</v>
      </c>
    </row>
    <row r="147" spans="2:7" x14ac:dyDescent="0.15">
      <c r="B147" s="32">
        <v>36</v>
      </c>
      <c r="C147" s="53">
        <f t="shared" si="12"/>
        <v>-2108.0201686472524</v>
      </c>
    </row>
    <row r="148" spans="2:7" ht="14" thickBot="1" x14ac:dyDescent="0.2">
      <c r="B148" s="36">
        <v>37</v>
      </c>
      <c r="C148" s="54">
        <f>-E113+D113</f>
        <v>-469828.82066758996</v>
      </c>
      <c r="D148" s="38" t="s">
        <v>83</v>
      </c>
    </row>
    <row r="149" spans="2:7" x14ac:dyDescent="0.15">
      <c r="C149" s="32"/>
    </row>
    <row r="150" spans="2:7" x14ac:dyDescent="0.15">
      <c r="B150" s="57" t="s">
        <v>15</v>
      </c>
      <c r="C150" s="202">
        <f>IRR(C112:C148,0.05)</f>
        <v>3.1064354703271846E-3</v>
      </c>
      <c r="D150" s="111" t="s">
        <v>66</v>
      </c>
    </row>
    <row r="151" spans="2:7" ht="28" x14ac:dyDescent="0.15">
      <c r="B151" s="47" t="s">
        <v>65</v>
      </c>
      <c r="C151" s="37">
        <f>C150*12</f>
        <v>3.7277225643926215E-2</v>
      </c>
      <c r="D151" t="s">
        <v>16</v>
      </c>
    </row>
    <row r="154" spans="2:7" x14ac:dyDescent="0.15">
      <c r="B154" s="27"/>
      <c r="C154" s="104"/>
      <c r="D154" s="27"/>
      <c r="E154" s="27"/>
      <c r="F154" s="27"/>
      <c r="G154" s="27"/>
    </row>
    <row r="155" spans="2:7" x14ac:dyDescent="0.15">
      <c r="B155" s="27"/>
      <c r="C155" s="27"/>
      <c r="D155" s="112"/>
      <c r="E155" s="27"/>
      <c r="F155" s="27"/>
      <c r="G155" s="27"/>
    </row>
    <row r="156" spans="2:7" x14ac:dyDescent="0.15">
      <c r="B156" s="27"/>
      <c r="C156" s="27"/>
      <c r="D156" s="113"/>
      <c r="E156" s="27"/>
      <c r="F156" s="27"/>
      <c r="G156" s="27"/>
    </row>
    <row r="157" spans="2:7" x14ac:dyDescent="0.15">
      <c r="B157" s="27"/>
      <c r="C157" s="27"/>
      <c r="D157" s="76"/>
      <c r="E157" s="27"/>
      <c r="F157" s="27"/>
      <c r="G157" s="27"/>
    </row>
    <row r="158" spans="2:7" x14ac:dyDescent="0.15">
      <c r="B158" s="27"/>
      <c r="C158" s="27"/>
      <c r="D158" s="114"/>
      <c r="E158" s="27"/>
      <c r="F158" s="27"/>
      <c r="G158" s="27"/>
    </row>
    <row r="159" spans="2:7" x14ac:dyDescent="0.15">
      <c r="B159" s="27"/>
      <c r="C159" s="27"/>
      <c r="D159" s="27"/>
      <c r="E159" s="27"/>
      <c r="F159" s="27"/>
      <c r="G159" s="27"/>
    </row>
    <row r="160" spans="2:7" x14ac:dyDescent="0.15">
      <c r="B160" s="27"/>
      <c r="C160" s="39"/>
      <c r="D160" s="115"/>
      <c r="E160" s="39"/>
      <c r="F160" s="39"/>
      <c r="G160" s="27"/>
    </row>
    <row r="161" spans="2:7" x14ac:dyDescent="0.15">
      <c r="B161" s="76"/>
      <c r="C161" s="116"/>
      <c r="D161" s="117"/>
      <c r="E161" s="118"/>
      <c r="F161" s="117"/>
      <c r="G161" s="27"/>
    </row>
    <row r="162" spans="2:7" x14ac:dyDescent="0.15">
      <c r="B162" s="76"/>
      <c r="C162" s="117"/>
      <c r="D162" s="117"/>
      <c r="E162" s="118"/>
      <c r="F162" s="117"/>
      <c r="G162" s="27"/>
    </row>
    <row r="163" spans="2:7" x14ac:dyDescent="0.15">
      <c r="B163" s="76"/>
      <c r="C163" s="117"/>
      <c r="D163" s="117"/>
      <c r="E163" s="118"/>
      <c r="F163" s="117"/>
      <c r="G163" s="27"/>
    </row>
    <row r="164" spans="2:7" x14ac:dyDescent="0.15">
      <c r="B164" s="76"/>
      <c r="C164" s="117"/>
      <c r="D164" s="117"/>
      <c r="E164" s="118"/>
      <c r="F164" s="117"/>
      <c r="G164" s="27"/>
    </row>
    <row r="165" spans="2:7" x14ac:dyDescent="0.15">
      <c r="B165" s="76"/>
      <c r="C165" s="117"/>
      <c r="D165" s="117"/>
      <c r="E165" s="118"/>
      <c r="F165" s="117"/>
      <c r="G165" s="27"/>
    </row>
    <row r="166" spans="2:7" x14ac:dyDescent="0.15">
      <c r="B166" s="76"/>
      <c r="C166" s="117"/>
      <c r="D166" s="117"/>
      <c r="E166" s="118"/>
      <c r="F166" s="117"/>
      <c r="G166" s="27"/>
    </row>
    <row r="167" spans="2:7" x14ac:dyDescent="0.15">
      <c r="B167" s="76"/>
      <c r="C167" s="117"/>
      <c r="D167" s="117"/>
      <c r="E167" s="118"/>
      <c r="F167" s="117"/>
      <c r="G167" s="27"/>
    </row>
    <row r="168" spans="2:7" x14ac:dyDescent="0.15">
      <c r="B168" s="76"/>
      <c r="C168" s="117"/>
      <c r="D168" s="117"/>
      <c r="E168" s="118"/>
      <c r="F168" s="117"/>
      <c r="G168" s="27"/>
    </row>
    <row r="169" spans="2:7" x14ac:dyDescent="0.15">
      <c r="B169" s="76"/>
      <c r="C169" s="117"/>
      <c r="D169" s="117"/>
      <c r="E169" s="118"/>
      <c r="F169" s="117"/>
      <c r="G169" s="27"/>
    </row>
    <row r="170" spans="2:7" x14ac:dyDescent="0.15">
      <c r="B170" s="76"/>
      <c r="C170" s="117"/>
      <c r="D170" s="117"/>
      <c r="E170" s="118"/>
      <c r="F170" s="117"/>
      <c r="G170" s="27"/>
    </row>
    <row r="171" spans="2:7" x14ac:dyDescent="0.15">
      <c r="B171" s="76"/>
      <c r="C171" s="117"/>
      <c r="D171" s="117"/>
      <c r="E171" s="118"/>
      <c r="F171" s="117"/>
      <c r="G171" s="27"/>
    </row>
    <row r="172" spans="2:7" x14ac:dyDescent="0.15">
      <c r="B172" s="76"/>
      <c r="C172" s="117"/>
      <c r="D172" s="117"/>
      <c r="E172" s="118"/>
      <c r="F172" s="117"/>
      <c r="G172" s="27"/>
    </row>
    <row r="173" spans="2:7" x14ac:dyDescent="0.15">
      <c r="B173" s="76"/>
      <c r="C173" s="117"/>
      <c r="D173" s="117"/>
      <c r="E173" s="118"/>
      <c r="F173" s="117"/>
      <c r="G173" s="27"/>
    </row>
    <row r="174" spans="2:7" x14ac:dyDescent="0.15">
      <c r="B174" s="76"/>
      <c r="C174" s="117"/>
      <c r="D174" s="117"/>
      <c r="E174" s="118"/>
      <c r="F174" s="117"/>
      <c r="G174" s="27"/>
    </row>
    <row r="175" spans="2:7" x14ac:dyDescent="0.15">
      <c r="B175" s="76"/>
      <c r="C175" s="117"/>
      <c r="D175" s="117"/>
      <c r="E175" s="118"/>
      <c r="F175" s="117"/>
      <c r="G175" s="27"/>
    </row>
    <row r="176" spans="2:7" x14ac:dyDescent="0.15">
      <c r="B176" s="76"/>
      <c r="C176" s="117"/>
      <c r="D176" s="117"/>
      <c r="E176" s="118"/>
      <c r="F176" s="117"/>
      <c r="G176" s="27"/>
    </row>
    <row r="177" spans="2:7" x14ac:dyDescent="0.15">
      <c r="B177" s="76"/>
      <c r="C177" s="117"/>
      <c r="D177" s="117"/>
      <c r="E177" s="118"/>
      <c r="F177" s="117"/>
      <c r="G177" s="27"/>
    </row>
    <row r="178" spans="2:7" x14ac:dyDescent="0.15">
      <c r="B178" s="76"/>
      <c r="C178" s="117"/>
      <c r="D178" s="117"/>
      <c r="E178" s="118"/>
      <c r="F178" s="117"/>
      <c r="G178" s="27"/>
    </row>
    <row r="179" spans="2:7" x14ac:dyDescent="0.15">
      <c r="B179" s="76"/>
      <c r="C179" s="117"/>
      <c r="D179" s="117"/>
      <c r="E179" s="118"/>
      <c r="F179" s="117"/>
      <c r="G179" s="27"/>
    </row>
    <row r="180" spans="2:7" x14ac:dyDescent="0.15">
      <c r="B180" s="76"/>
      <c r="C180" s="117"/>
      <c r="D180" s="117"/>
      <c r="E180" s="118"/>
      <c r="F180" s="117"/>
      <c r="G180" s="27"/>
    </row>
    <row r="181" spans="2:7" x14ac:dyDescent="0.15">
      <c r="B181" s="76"/>
      <c r="C181" s="117"/>
      <c r="D181" s="117"/>
      <c r="E181" s="118"/>
      <c r="F181" s="117"/>
      <c r="G181" s="27"/>
    </row>
    <row r="182" spans="2:7" x14ac:dyDescent="0.15">
      <c r="B182" s="76"/>
      <c r="C182" s="117"/>
      <c r="D182" s="117"/>
      <c r="E182" s="118"/>
      <c r="F182" s="117"/>
      <c r="G182" s="27"/>
    </row>
    <row r="183" spans="2:7" x14ac:dyDescent="0.15">
      <c r="B183" s="76"/>
      <c r="C183" s="117"/>
      <c r="D183" s="117"/>
      <c r="E183" s="118"/>
      <c r="F183" s="117"/>
      <c r="G183" s="27"/>
    </row>
    <row r="184" spans="2:7" x14ac:dyDescent="0.15">
      <c r="B184" s="76"/>
      <c r="C184" s="117"/>
      <c r="D184" s="117"/>
      <c r="E184" s="118"/>
      <c r="F184" s="117"/>
      <c r="G184" s="27"/>
    </row>
    <row r="185" spans="2:7" x14ac:dyDescent="0.15">
      <c r="B185" s="76"/>
      <c r="C185" s="117"/>
      <c r="D185" s="117"/>
      <c r="E185" s="118"/>
      <c r="F185" s="117"/>
      <c r="G185" s="27"/>
    </row>
    <row r="186" spans="2:7" x14ac:dyDescent="0.15">
      <c r="B186" s="76"/>
      <c r="C186" s="117"/>
      <c r="D186" s="117"/>
      <c r="E186" s="118"/>
      <c r="F186" s="117"/>
      <c r="G186" s="27"/>
    </row>
    <row r="187" spans="2:7" x14ac:dyDescent="0.15">
      <c r="B187" s="76"/>
      <c r="C187" s="117"/>
      <c r="D187" s="117"/>
      <c r="E187" s="118"/>
      <c r="F187" s="117"/>
      <c r="G187" s="27"/>
    </row>
    <row r="188" spans="2:7" x14ac:dyDescent="0.15">
      <c r="B188" s="76"/>
      <c r="C188" s="117"/>
      <c r="D188" s="117"/>
      <c r="E188" s="118"/>
      <c r="F188" s="117"/>
      <c r="G188" s="27"/>
    </row>
    <row r="189" spans="2:7" x14ac:dyDescent="0.15">
      <c r="B189" s="76"/>
      <c r="C189" s="117"/>
      <c r="D189" s="117"/>
      <c r="E189" s="118"/>
      <c r="F189" s="117"/>
      <c r="G189" s="27"/>
    </row>
    <row r="190" spans="2:7" x14ac:dyDescent="0.15">
      <c r="B190" s="76"/>
      <c r="C190" s="117"/>
      <c r="D190" s="117"/>
      <c r="E190" s="118"/>
      <c r="F190" s="117"/>
      <c r="G190" s="27"/>
    </row>
    <row r="191" spans="2:7" x14ac:dyDescent="0.15">
      <c r="B191" s="76"/>
      <c r="C191" s="117"/>
      <c r="D191" s="117"/>
      <c r="E191" s="118"/>
      <c r="F191" s="117"/>
      <c r="G191" s="27"/>
    </row>
    <row r="192" spans="2:7" x14ac:dyDescent="0.15">
      <c r="B192" s="76"/>
      <c r="C192" s="117"/>
      <c r="D192" s="117"/>
      <c r="E192" s="118"/>
      <c r="F192" s="117"/>
      <c r="G192" s="27"/>
    </row>
    <row r="193" spans="2:7" x14ac:dyDescent="0.15">
      <c r="B193" s="76"/>
      <c r="C193" s="117"/>
      <c r="D193" s="117"/>
      <c r="E193" s="118"/>
      <c r="F193" s="117"/>
      <c r="G193" s="27"/>
    </row>
    <row r="194" spans="2:7" x14ac:dyDescent="0.15">
      <c r="B194" s="76"/>
      <c r="C194" s="117"/>
      <c r="D194" s="117"/>
      <c r="E194" s="118"/>
      <c r="F194" s="117"/>
      <c r="G194" s="27"/>
    </row>
    <row r="195" spans="2:7" x14ac:dyDescent="0.15">
      <c r="B195" s="76"/>
      <c r="C195" s="117"/>
      <c r="D195" s="117"/>
      <c r="E195" s="118"/>
      <c r="F195" s="117"/>
      <c r="G195" s="27"/>
    </row>
    <row r="196" spans="2:7" x14ac:dyDescent="0.15">
      <c r="B196" s="76"/>
      <c r="C196" s="117"/>
      <c r="D196" s="117"/>
      <c r="E196" s="118"/>
      <c r="F196" s="119"/>
      <c r="G196" s="27"/>
    </row>
    <row r="197" spans="2:7" x14ac:dyDescent="0.15">
      <c r="B197" s="27"/>
      <c r="C197" s="27"/>
      <c r="D197" s="27"/>
      <c r="E197" s="27"/>
      <c r="F197" s="27"/>
      <c r="G197" s="27"/>
    </row>
    <row r="198" spans="2:7" x14ac:dyDescent="0.15">
      <c r="B198" s="27"/>
      <c r="C198" s="27"/>
      <c r="D198" s="27"/>
      <c r="E198" s="27"/>
      <c r="F198" s="27"/>
      <c r="G198" s="27"/>
    </row>
    <row r="199" spans="2:7" x14ac:dyDescent="0.15">
      <c r="B199" s="27"/>
      <c r="C199" s="27"/>
      <c r="D199" s="27"/>
      <c r="E199" s="27"/>
      <c r="F199" s="27"/>
      <c r="G199" s="27"/>
    </row>
    <row r="200" spans="2:7" x14ac:dyDescent="0.15">
      <c r="B200" s="27"/>
      <c r="C200" s="27"/>
      <c r="D200" s="27"/>
      <c r="E200" s="27"/>
      <c r="F200" s="27"/>
      <c r="G200" s="27"/>
    </row>
    <row r="201" spans="2:7" x14ac:dyDescent="0.15">
      <c r="B201" s="27"/>
      <c r="C201" s="27"/>
      <c r="D201" s="27"/>
      <c r="E201" s="27"/>
      <c r="F201" s="27"/>
      <c r="G201" s="27"/>
    </row>
    <row r="202" spans="2:7" x14ac:dyDescent="0.15">
      <c r="B202" s="27"/>
      <c r="C202" s="27"/>
      <c r="D202" s="27"/>
      <c r="E202" s="27"/>
      <c r="F202" s="27"/>
      <c r="G202" s="27"/>
    </row>
    <row r="203" spans="2:7" x14ac:dyDescent="0.15">
      <c r="B203" s="27"/>
      <c r="C203" s="27"/>
      <c r="D203" s="27"/>
      <c r="E203" s="27"/>
      <c r="F203" s="27"/>
      <c r="G203" s="27"/>
    </row>
  </sheetData>
  <phoneticPr fontId="4" type="noConversion"/>
  <pageMargins left="0.75" right="0.75" top="1" bottom="1" header="0.5" footer="0.5"/>
  <pageSetup orientation="portrait" horizontalDpi="4294967292" verticalDpi="429496729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23"/>
  <sheetViews>
    <sheetView showGridLines="0" zoomScale="134" zoomScaleNormal="133" workbookViewId="0">
      <selection activeCell="F34" sqref="F34"/>
    </sheetView>
  </sheetViews>
  <sheetFormatPr baseColWidth="10" defaultColWidth="11" defaultRowHeight="13" x14ac:dyDescent="0.15"/>
  <cols>
    <col min="2" max="2" width="19.83203125" customWidth="1"/>
    <col min="3" max="3" width="13.1640625" bestFit="1" customWidth="1"/>
  </cols>
  <sheetData>
    <row r="2" spans="2:7" x14ac:dyDescent="0.15">
      <c r="B2" t="s">
        <v>33</v>
      </c>
      <c r="C2" s="138">
        <v>500000</v>
      </c>
    </row>
    <row r="3" spans="2:7" x14ac:dyDescent="0.15">
      <c r="B3" t="s">
        <v>86</v>
      </c>
      <c r="C3" s="135">
        <v>0.03</v>
      </c>
    </row>
    <row r="4" spans="2:7" x14ac:dyDescent="0.15">
      <c r="B4" t="s">
        <v>87</v>
      </c>
      <c r="C4">
        <v>360</v>
      </c>
    </row>
    <row r="5" spans="2:7" x14ac:dyDescent="0.15">
      <c r="B5" t="s">
        <v>0</v>
      </c>
      <c r="C5" s="147">
        <f>PMT(C3/12,C4,C2)</f>
        <v>-2108.0201686472524</v>
      </c>
      <c r="D5" s="131" t="s">
        <v>88</v>
      </c>
    </row>
    <row r="7" spans="2:7" x14ac:dyDescent="0.15">
      <c r="B7" s="131" t="s">
        <v>90</v>
      </c>
      <c r="C7" s="140">
        <v>20000</v>
      </c>
    </row>
    <row r="8" spans="2:7" x14ac:dyDescent="0.15">
      <c r="B8" s="131" t="s">
        <v>89</v>
      </c>
      <c r="C8" s="135">
        <v>2.5000000000000001E-3</v>
      </c>
    </row>
    <row r="9" spans="2:7" ht="16" x14ac:dyDescent="0.2">
      <c r="E9" s="136" t="s">
        <v>86</v>
      </c>
    </row>
    <row r="10" spans="2:7" x14ac:dyDescent="0.15">
      <c r="C10" s="148">
        <f>C5</f>
        <v>-2108.0201686472524</v>
      </c>
      <c r="D10" s="146">
        <v>0.03</v>
      </c>
      <c r="E10" s="146">
        <f>D10+$C$8</f>
        <v>3.2500000000000001E-2</v>
      </c>
      <c r="F10" s="146">
        <f t="shared" ref="F10:G10" si="0">E10+$C$8</f>
        <v>3.5000000000000003E-2</v>
      </c>
      <c r="G10" s="146">
        <f t="shared" si="0"/>
        <v>3.7500000000000006E-2</v>
      </c>
    </row>
    <row r="11" spans="2:7" x14ac:dyDescent="0.15">
      <c r="C11" s="203">
        <v>500000</v>
      </c>
      <c r="D11" s="139">
        <f t="dataTable" ref="D11:G14" dt2D="1" dtr="1" r1="C3" r2="C2"/>
        <v>-2108.0201686472524</v>
      </c>
      <c r="E11" s="139">
        <v>-2176.0315953619033</v>
      </c>
      <c r="F11" s="139">
        <v>-2245.2234390441222</v>
      </c>
      <c r="G11" s="139">
        <v>-2315.5779578606393</v>
      </c>
    </row>
    <row r="12" spans="2:7" ht="16" x14ac:dyDescent="0.2">
      <c r="B12" s="137" t="s">
        <v>33</v>
      </c>
      <c r="C12" s="203">
        <f>C11+$C$7</f>
        <v>520000</v>
      </c>
      <c r="D12" s="139">
        <v>-2192.3409753931423</v>
      </c>
      <c r="E12" s="139">
        <v>-2263.0728591763791</v>
      </c>
      <c r="F12" s="141">
        <v>-2335.0323766058873</v>
      </c>
      <c r="G12" s="139">
        <v>-2408.2010761750644</v>
      </c>
    </row>
    <row r="13" spans="2:7" x14ac:dyDescent="0.15">
      <c r="C13" s="203">
        <f t="shared" ref="C13:C14" si="1">C12+$C$7</f>
        <v>540000</v>
      </c>
      <c r="D13" s="139">
        <v>-2276.6617821390323</v>
      </c>
      <c r="E13" s="139">
        <v>-2350.1141229908553</v>
      </c>
      <c r="F13" s="139">
        <v>-2424.8413141676519</v>
      </c>
      <c r="G13" s="139">
        <v>-2500.8241944894903</v>
      </c>
    </row>
    <row r="14" spans="2:7" x14ac:dyDescent="0.15">
      <c r="C14" s="203">
        <f t="shared" si="1"/>
        <v>560000</v>
      </c>
      <c r="D14" s="139">
        <v>-2360.9825888849227</v>
      </c>
      <c r="E14" s="139">
        <v>-2437.1553868053311</v>
      </c>
      <c r="F14" s="139">
        <v>-2514.6502517294171</v>
      </c>
      <c r="G14" s="139">
        <v>-2593.4473128039158</v>
      </c>
    </row>
    <row r="18" spans="3:5" ht="14" thickBot="1" x14ac:dyDescent="0.2"/>
    <row r="19" spans="3:5" ht="14" thickBot="1" x14ac:dyDescent="0.2">
      <c r="C19" s="58" t="s">
        <v>91</v>
      </c>
    </row>
    <row r="20" spans="3:5" x14ac:dyDescent="0.15">
      <c r="C20" t="s">
        <v>33</v>
      </c>
      <c r="D20" s="138">
        <v>520000</v>
      </c>
      <c r="E20" s="131" t="s">
        <v>93</v>
      </c>
    </row>
    <row r="21" spans="3:5" x14ac:dyDescent="0.15">
      <c r="C21" t="s">
        <v>86</v>
      </c>
      <c r="D21" s="135">
        <v>3.5000000000000003E-2</v>
      </c>
      <c r="E21" s="131" t="s">
        <v>93</v>
      </c>
    </row>
    <row r="22" spans="3:5" x14ac:dyDescent="0.15">
      <c r="C22" t="s">
        <v>87</v>
      </c>
      <c r="D22">
        <v>360</v>
      </c>
    </row>
    <row r="23" spans="3:5" x14ac:dyDescent="0.15">
      <c r="C23" t="s">
        <v>0</v>
      </c>
      <c r="D23" s="142">
        <f>PMT(D21/12,D22,D20)</f>
        <v>-2335.0323766058873</v>
      </c>
      <c r="E23" s="131" t="s">
        <v>92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Answers</vt:lpstr>
      <vt:lpstr>Details</vt:lpstr>
      <vt:lpstr>Data Table</vt:lpstr>
      <vt:lpstr>Answers!Print_Area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Colon</dc:creator>
  <cp:lastModifiedBy>J.M. Colon</cp:lastModifiedBy>
  <cp:lastPrinted>2014-10-22T01:49:51Z</cp:lastPrinted>
  <dcterms:created xsi:type="dcterms:W3CDTF">2007-02-19T03:24:13Z</dcterms:created>
  <dcterms:modified xsi:type="dcterms:W3CDTF">2020-10-18T14:53:52Z</dcterms:modified>
</cp:coreProperties>
</file>