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data\"/>
    </mc:Choice>
  </mc:AlternateContent>
  <xr:revisionPtr revIDLastSave="0" documentId="13_ncr:1_{350917CF-10AA-463C-B610-EB2A7DE5ED26}" xr6:coauthVersionLast="45" xr6:coauthVersionMax="45" xr10:uidLastSave="{00000000-0000-0000-0000-000000000000}"/>
  <bookViews>
    <workbookView xWindow="-120" yWindow="-120" windowWidth="20730" windowHeight="11160" activeTab="5" xr2:uid="{1AC0E601-1297-4C8D-8E5F-6A8C787FDED8}"/>
  </bookViews>
  <sheets>
    <sheet name="Sheet1" sheetId="1" r:id="rId1"/>
    <sheet name="Container glass" sheetId="4" r:id="rId2"/>
    <sheet name="Flat glass" sheetId="2" r:id="rId3"/>
    <sheet name="Flows" sheetId="3" r:id="rId4"/>
    <sheet name="Building_flows" sheetId="5" r:id="rId5"/>
    <sheet name="Car_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D22" i="2"/>
  <c r="C2" i="6"/>
  <c r="C3" i="6"/>
  <c r="B3" i="6"/>
  <c r="B2" i="5"/>
  <c r="D27" i="3"/>
  <c r="D21" i="2"/>
  <c r="D26" i="3"/>
  <c r="B3" i="5" s="1"/>
  <c r="D20" i="2"/>
  <c r="D19" i="2"/>
  <c r="C2" i="5"/>
  <c r="X31" i="3" l="1"/>
  <c r="Y35" i="3"/>
  <c r="Y36" i="3"/>
  <c r="Y37" i="3"/>
  <c r="Y38" i="3"/>
  <c r="Y39" i="3"/>
  <c r="Y40" i="3"/>
  <c r="Y41" i="3"/>
  <c r="X41" i="3"/>
  <c r="X40" i="3"/>
  <c r="X39" i="3"/>
  <c r="X38" i="3"/>
  <c r="X37" i="3"/>
  <c r="X36" i="3"/>
  <c r="X35" i="3"/>
  <c r="X34" i="3"/>
  <c r="Y34" i="3"/>
  <c r="Y33" i="3"/>
  <c r="X33" i="3"/>
  <c r="Y32" i="3"/>
  <c r="X32" i="3"/>
  <c r="Y31" i="3"/>
  <c r="O14" i="3"/>
  <c r="S8" i="3"/>
  <c r="V8" i="3"/>
  <c r="S10" i="3"/>
  <c r="U11" i="3"/>
  <c r="S14" i="3"/>
  <c r="T14" i="3"/>
  <c r="V14" i="3"/>
  <c r="S15" i="3"/>
  <c r="T15" i="3"/>
  <c r="V15" i="3"/>
  <c r="S16" i="3"/>
  <c r="T16" i="3"/>
  <c r="V16" i="3"/>
  <c r="T18" i="3"/>
  <c r="V19" i="3"/>
  <c r="S20" i="3"/>
  <c r="S21" i="3"/>
  <c r="T21" i="3"/>
  <c r="S22" i="3"/>
  <c r="T22" i="3"/>
  <c r="S23" i="3"/>
  <c r="S24" i="3"/>
  <c r="T24" i="3"/>
  <c r="S25" i="3"/>
  <c r="T25" i="3"/>
  <c r="S26" i="3"/>
  <c r="T26" i="3"/>
  <c r="U26" i="3"/>
  <c r="V26" i="3"/>
  <c r="S27" i="3"/>
  <c r="T27" i="3"/>
  <c r="U27" i="3"/>
  <c r="V27" i="3"/>
  <c r="Q19" i="3"/>
  <c r="Q18" i="3"/>
  <c r="V18" i="3" s="1"/>
  <c r="Q2" i="3"/>
  <c r="Q10" i="3"/>
  <c r="V10" i="3" s="1"/>
  <c r="Q11" i="3"/>
  <c r="V11" i="3" s="1"/>
  <c r="Q27" i="3"/>
  <c r="Q26" i="3"/>
  <c r="I13" i="3"/>
  <c r="Q20" i="3" s="1"/>
  <c r="Q17" i="3"/>
  <c r="V17" i="3" s="1"/>
  <c r="Q16" i="3"/>
  <c r="Q15" i="3"/>
  <c r="Q14" i="3"/>
  <c r="Q13" i="3"/>
  <c r="V13" i="3" s="1"/>
  <c r="Q12" i="3"/>
  <c r="V12" i="3" s="1"/>
  <c r="Q8" i="3"/>
  <c r="Q3" i="3"/>
  <c r="V3" i="3" s="1"/>
  <c r="P27" i="3"/>
  <c r="P26" i="3"/>
  <c r="P13" i="3"/>
  <c r="U13" i="3" s="1"/>
  <c r="P11" i="3"/>
  <c r="P4" i="3" s="1"/>
  <c r="P10" i="3"/>
  <c r="U10" i="3" s="1"/>
  <c r="P3" i="3"/>
  <c r="U3" i="3" s="1"/>
  <c r="P2" i="3"/>
  <c r="O27" i="3"/>
  <c r="O26" i="3"/>
  <c r="O25" i="3"/>
  <c r="O24" i="3"/>
  <c r="O23" i="3"/>
  <c r="T23" i="3" s="1"/>
  <c r="O22" i="3"/>
  <c r="O21" i="3"/>
  <c r="O19" i="3"/>
  <c r="T19" i="3" s="1"/>
  <c r="O18" i="3"/>
  <c r="O17" i="3"/>
  <c r="T17" i="3" s="1"/>
  <c r="O16" i="3"/>
  <c r="O15" i="3"/>
  <c r="O11" i="3"/>
  <c r="O3" i="3" s="1"/>
  <c r="O2" i="3"/>
  <c r="O20" i="3"/>
  <c r="O9" i="3" s="1"/>
  <c r="T9" i="3" s="1"/>
  <c r="I12" i="3"/>
  <c r="P19" i="3" s="1"/>
  <c r="I11" i="3"/>
  <c r="P18" i="3" s="1"/>
  <c r="I10" i="3"/>
  <c r="P17" i="3" s="1"/>
  <c r="I9" i="3"/>
  <c r="P16" i="3" s="1"/>
  <c r="U16" i="3" s="1"/>
  <c r="AD35" i="3" s="1"/>
  <c r="I8" i="3"/>
  <c r="P15" i="3" s="1"/>
  <c r="P24" i="3" s="1"/>
  <c r="U24" i="3" s="1"/>
  <c r="I7" i="3"/>
  <c r="P14" i="3" s="1"/>
  <c r="I5" i="3"/>
  <c r="O8" i="3" s="1"/>
  <c r="T8" i="3" s="1"/>
  <c r="I6" i="3"/>
  <c r="O10" i="3" s="1"/>
  <c r="T10" i="3" s="1"/>
  <c r="N25" i="3"/>
  <c r="N24" i="3"/>
  <c r="N23" i="3"/>
  <c r="D25" i="3"/>
  <c r="D24" i="3"/>
  <c r="D23" i="3"/>
  <c r="D22" i="3"/>
  <c r="D21" i="3"/>
  <c r="D20" i="3"/>
  <c r="I4" i="3"/>
  <c r="N11" i="3" s="1"/>
  <c r="N26" i="3"/>
  <c r="N22" i="3"/>
  <c r="N21" i="3"/>
  <c r="N20" i="3"/>
  <c r="N19" i="3"/>
  <c r="S19" i="3" s="1"/>
  <c r="N18" i="3"/>
  <c r="S18" i="3" s="1"/>
  <c r="N17" i="3"/>
  <c r="N16" i="3"/>
  <c r="N8" i="3" s="1"/>
  <c r="N15" i="3"/>
  <c r="N14" i="3"/>
  <c r="N13" i="3"/>
  <c r="N10" i="3"/>
  <c r="N27" i="3"/>
  <c r="D19" i="3"/>
  <c r="D18" i="3"/>
  <c r="D17" i="3"/>
  <c r="C3" i="5" s="1"/>
  <c r="D16" i="3"/>
  <c r="D15" i="3"/>
  <c r="D14" i="3"/>
  <c r="D12" i="3" s="1"/>
  <c r="D13" i="3"/>
  <c r="S13" i="3" s="1"/>
  <c r="D11" i="3"/>
  <c r="D3" i="3" s="1"/>
  <c r="T3" i="3" s="1"/>
  <c r="D10" i="3"/>
  <c r="U17" i="3" l="1"/>
  <c r="S17" i="3"/>
  <c r="D4" i="3"/>
  <c r="U4" i="3" s="1"/>
  <c r="S11" i="3"/>
  <c r="AB32" i="3" s="1"/>
  <c r="U18" i="3"/>
  <c r="AD36" i="3" s="1"/>
  <c r="O4" i="3"/>
  <c r="T11" i="3"/>
  <c r="U19" i="3"/>
  <c r="AD37" i="3" s="1"/>
  <c r="N9" i="3"/>
  <c r="S9" i="3" s="1"/>
  <c r="AB31" i="3" s="1"/>
  <c r="O12" i="3"/>
  <c r="T12" i="3" s="1"/>
  <c r="AC33" i="3" s="1"/>
  <c r="O13" i="3"/>
  <c r="T13" i="3" s="1"/>
  <c r="AC34" i="3" s="1"/>
  <c r="T20" i="3"/>
  <c r="Q23" i="3"/>
  <c r="V23" i="3" s="1"/>
  <c r="V20" i="3"/>
  <c r="AE38" i="3" s="1"/>
  <c r="U14" i="3"/>
  <c r="P20" i="3"/>
  <c r="U20" i="3" s="1"/>
  <c r="AD38" i="3" s="1"/>
  <c r="P8" i="3"/>
  <c r="U8" i="3" s="1"/>
  <c r="P12" i="3"/>
  <c r="U12" i="3" s="1"/>
  <c r="P22" i="3"/>
  <c r="U22" i="3" s="1"/>
  <c r="AD40" i="3" s="1"/>
  <c r="Q24" i="3"/>
  <c r="V24" i="3" s="1"/>
  <c r="U15" i="3"/>
  <c r="P21" i="3"/>
  <c r="U21" i="3" s="1"/>
  <c r="AD39" i="3" s="1"/>
  <c r="Q25" i="3"/>
  <c r="V25" i="3" s="1"/>
  <c r="AE41" i="3" s="1"/>
  <c r="Q21" i="3"/>
  <c r="V21" i="3" s="1"/>
  <c r="AE39" i="3" s="1"/>
  <c r="Q22" i="3"/>
  <c r="V22" i="3" s="1"/>
  <c r="AE40" i="3" s="1"/>
  <c r="Q4" i="3"/>
  <c r="V4" i="3" s="1"/>
  <c r="P23" i="3"/>
  <c r="U23" i="3" s="1"/>
  <c r="P25" i="3"/>
  <c r="U25" i="3" s="1"/>
  <c r="AD41" i="3" s="1"/>
  <c r="O5" i="3"/>
  <c r="T5" i="3" s="1"/>
  <c r="N3" i="3"/>
  <c r="S3" i="3" s="1"/>
  <c r="N2" i="3"/>
  <c r="S2" i="3" s="1"/>
  <c r="N4" i="3"/>
  <c r="S4" i="3" s="1"/>
  <c r="N12" i="3"/>
  <c r="S12" i="3" s="1"/>
  <c r="N7" i="3"/>
  <c r="S7" i="3" s="1"/>
  <c r="N6" i="3"/>
  <c r="S6" i="3" s="1"/>
  <c r="N5" i="3"/>
  <c r="S5" i="3" s="1"/>
  <c r="D8" i="3"/>
  <c r="D2" i="3"/>
  <c r="U2" i="3" s="1"/>
  <c r="D12" i="2"/>
  <c r="D18" i="2"/>
  <c r="D17" i="2"/>
  <c r="D7" i="4"/>
  <c r="D13" i="4"/>
  <c r="V2" i="3" l="1"/>
  <c r="T4" i="3"/>
  <c r="T2" i="3"/>
  <c r="P9" i="3"/>
  <c r="P5" i="3" s="1"/>
  <c r="U5" i="3" s="1"/>
  <c r="P7" i="3"/>
  <c r="U7" i="3" s="1"/>
  <c r="U9" i="3"/>
  <c r="P6" i="3"/>
  <c r="U6" i="3" s="1"/>
  <c r="Q9" i="3"/>
  <c r="Q6" i="3" s="1"/>
  <c r="V6" i="3" s="1"/>
  <c r="O7" i="3"/>
  <c r="T7" i="3" s="1"/>
  <c r="O6" i="3"/>
  <c r="T6" i="3" s="1"/>
  <c r="D6" i="4"/>
  <c r="D5" i="4"/>
  <c r="Q5" i="3" l="1"/>
  <c r="V5" i="3" s="1"/>
  <c r="V9" i="3"/>
  <c r="AE31" i="3" s="1"/>
  <c r="Q7" i="3"/>
  <c r="V7" i="3" s="1"/>
  <c r="D9" i="3"/>
  <c r="D7" i="3" l="1"/>
  <c r="D6" i="3"/>
  <c r="D5" i="3"/>
  <c r="D16" i="2"/>
  <c r="D15" i="2"/>
  <c r="D11" i="1"/>
  <c r="D12" i="1"/>
  <c r="D10" i="1"/>
  <c r="C14" i="1"/>
</calcChain>
</file>

<file path=xl/sharedStrings.xml><?xml version="1.0" encoding="utf-8"?>
<sst xmlns="http://schemas.openxmlformats.org/spreadsheetml/2006/main" count="256" uniqueCount="110">
  <si>
    <t>Global production of glass</t>
  </si>
  <si>
    <t>Global emissions of glass</t>
  </si>
  <si>
    <t>Figures to synchronise (hopefully for 2014)</t>
  </si>
  <si>
    <t xml:space="preserve">Global energy of glass production </t>
  </si>
  <si>
    <t>Mentioned twice in introduction</t>
  </si>
  <si>
    <t>Process emissions</t>
  </si>
  <si>
    <t>Combustion emissions</t>
  </si>
  <si>
    <t>Indirect</t>
  </si>
  <si>
    <t xml:space="preserve">Total 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</si>
  <si>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</si>
  <si>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</si>
  <si>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</si>
  <si>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</si>
  <si>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</si>
  <si>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</si>
  <si>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</si>
  <si>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</si>
  <si>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</si>
  <si>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</si>
  <si>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</si>
  <si>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</si>
  <si>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</si>
  <si>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</si>
  <si>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</si>
  <si>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</si>
  <si>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</si>
  <si>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</si>
  <si>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</si>
  <si>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</si>
  <si>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</si>
  <si>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</si>
  <si>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</si>
  <si>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</si>
  <si>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</si>
  <si>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</si>
  <si>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</si>
  <si>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</si>
  <si>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</si>
  <si>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</si>
  <si>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</si>
  <si>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</si>
  <si>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</si>
  <si>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</si>
  <si>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</si>
  <si>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</si>
  <si>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</si>
  <si>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Beverages</t>
  </si>
  <si>
    <t>Food</t>
  </si>
  <si>
    <t>Other CG</t>
  </si>
  <si>
    <t>Buildings</t>
  </si>
  <si>
    <t>Automotive</t>
  </si>
  <si>
    <t>Other FG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</si>
  <si>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</si>
  <si>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</si>
  <si>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</si>
  <si>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</si>
  <si>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</si>
  <si>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</si>
  <si>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</si>
  <si>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</si>
  <si>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</si>
  <si>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</si>
  <si>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</si>
  <si>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</si>
  <si>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</si>
  <si>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</si>
  <si>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</si>
  <si>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</si>
  <si>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</si>
  <si>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</si>
  <si>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</si>
  <si>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</si>
  <si>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</si>
  <si>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</si>
  <si>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</si>
  <si>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</si>
  <si>
    <t>Global container glass production (final number) [Mt]</t>
  </si>
  <si>
    <t>Global flat glass production (final number) [Mt]</t>
  </si>
  <si>
    <t>beta</t>
  </si>
  <si>
    <t>gamma</t>
  </si>
  <si>
    <t>delta</t>
  </si>
  <si>
    <t>gamma_1</t>
  </si>
  <si>
    <t>gamma_2</t>
  </si>
  <si>
    <t>delta_11</t>
  </si>
  <si>
    <t>delta_12</t>
  </si>
  <si>
    <t>delta_13</t>
  </si>
  <si>
    <t>delta_21</t>
  </si>
  <si>
    <t>delta_22</t>
  </si>
  <si>
    <t>delta_23</t>
  </si>
  <si>
    <t>epsilon</t>
  </si>
  <si>
    <t>-</t>
  </si>
  <si>
    <t>Container glass melting</t>
  </si>
  <si>
    <t>Flat glass melting</t>
  </si>
  <si>
    <t>Container glass forming</t>
  </si>
  <si>
    <t>Flat glass forming</t>
  </si>
  <si>
    <t>Use of flat glass (automotive)</t>
  </si>
  <si>
    <t>Use of flat glass (other)</t>
  </si>
  <si>
    <t>Use of container glass (other)</t>
  </si>
  <si>
    <t>Use of container glass (beverages)</t>
  </si>
  <si>
    <t>Use of container glass (food)</t>
  </si>
  <si>
    <t>Disposal</t>
  </si>
  <si>
    <t>Table 15.6 and table 15.7: https://www.sciencedirect.com/science/article/pii/B9780128150603000153</t>
  </si>
  <si>
    <t>Sensitivity variation</t>
  </si>
  <si>
    <t>Pilkington, 2010</t>
  </si>
  <si>
    <t>Glabal flat glass construction and demolition waste [Mt]</t>
  </si>
  <si>
    <t>Glabal flat glass automotive waste [Mt]</t>
  </si>
  <si>
    <t>Out</t>
  </si>
  <si>
    <t>In</t>
  </si>
  <si>
    <t>https://www.sciencedirect.com/science/article/pii/B9780123814753100117</t>
  </si>
  <si>
    <t>Table 11.7: https://www.sciencedirect.com/science/article/pii/B9780123814753100117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</si>
</sst>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2" applyFont="1"/>
    <xf numFmtId="0" fontId="3" fillId="0" borderId="0" xfId="0" applyFont="1"/>
    <xf numFmtId="164" fontId="3" fillId="0" borderId="0" xfId="0" applyNumberFormat="1" applyFont="1"/>
    <xf numFmtId="0" fontId="0" fillId="0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4"/>
  <sheetViews>
    <sheetView workbookViewId="0">
      <selection activeCell="C12" sqref="C12"/>
    </sheetView>
  </sheetViews>
  <sheetFormatPr defaultRowHeight="15" x14ac:dyDescent="0.25"/>
  <sheetData>
    <row r="2" spans="2:4" x14ac:dyDescent="0.25">
      <c r="B2" t="s">
        <v>2</v>
      </c>
    </row>
    <row r="3" spans="2:4" x14ac:dyDescent="0.25">
      <c r="B3" t="s">
        <v>0</v>
      </c>
    </row>
    <row r="4" spans="2:4" x14ac:dyDescent="0.25">
      <c r="B4" t="s">
        <v>1</v>
      </c>
    </row>
    <row r="5" spans="2:4" x14ac:dyDescent="0.25">
      <c r="B5" t="s">
        <v>3</v>
      </c>
      <c r="C5" t="s">
        <v>4</v>
      </c>
    </row>
    <row r="10" spans="2:4" x14ac:dyDescent="0.25">
      <c r="B10" t="s">
        <v>5</v>
      </c>
      <c r="C10">
        <v>4.45</v>
      </c>
      <c r="D10">
        <f>C10/$C$14</f>
        <v>0.16457100591715978</v>
      </c>
    </row>
    <row r="11" spans="2:4" x14ac:dyDescent="0.25">
      <c r="B11" t="s">
        <v>6</v>
      </c>
      <c r="C11">
        <v>16.89</v>
      </c>
      <c r="D11">
        <f t="shared" ref="D11:D12" si="0">C11/$C$14</f>
        <v>0.62463017751479299</v>
      </c>
    </row>
    <row r="12" spans="2:4" x14ac:dyDescent="0.25">
      <c r="B12" t="s">
        <v>7</v>
      </c>
      <c r="C12">
        <v>5.7</v>
      </c>
      <c r="D12">
        <f t="shared" si="0"/>
        <v>0.21079881656804736</v>
      </c>
    </row>
    <row r="14" spans="2:4" x14ac:dyDescent="0.25">
      <c r="B14" t="s">
        <v>8</v>
      </c>
      <c r="C14">
        <f>SUM(C10:C12)</f>
        <v>27.04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workbookViewId="0">
      <selection activeCell="D8" sqref="D8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10</v>
      </c>
      <c r="C2" t="s">
        <v>9</v>
      </c>
      <c r="D2" t="s">
        <v>29</v>
      </c>
      <c r="E2" t="s">
        <v>11</v>
      </c>
    </row>
    <row r="3" spans="2:5" x14ac:dyDescent="0.25">
      <c r="B3" t="s">
        <v>54</v>
      </c>
      <c r="C3">
        <v>2014</v>
      </c>
      <c r="D3" s="2">
        <v>77</v>
      </c>
      <c r="E3" t="s">
        <v>53</v>
      </c>
    </row>
    <row r="4" spans="2:5" x14ac:dyDescent="0.25">
      <c r="B4" t="s">
        <v>54</v>
      </c>
      <c r="C4">
        <v>2007</v>
      </c>
      <c r="D4" s="2">
        <v>72</v>
      </c>
      <c r="E4" t="s">
        <v>55</v>
      </c>
    </row>
    <row r="5" spans="2:5" x14ac:dyDescent="0.25">
      <c r="B5" t="s">
        <v>56</v>
      </c>
      <c r="C5">
        <v>2007</v>
      </c>
      <c r="D5" s="2">
        <f>11129+906+68+98+238+1484+8+70+561+1097+857+2051+384+245+3157+5341+99+12058</f>
        <v>39851</v>
      </c>
      <c r="E5" s="1" t="s">
        <v>27</v>
      </c>
    </row>
    <row r="6" spans="2:5" x14ac:dyDescent="0.25">
      <c r="B6" t="s">
        <v>56</v>
      </c>
      <c r="C6">
        <v>2014</v>
      </c>
      <c r="D6" s="2">
        <f>11625+346+384+139+188+736+38+13+453+975+744+5240+4303+6104+244+13005+422</f>
        <v>44959</v>
      </c>
      <c r="E6" s="1" t="s">
        <v>27</v>
      </c>
    </row>
    <row r="7" spans="2:5" x14ac:dyDescent="0.25">
      <c r="B7" t="s">
        <v>54</v>
      </c>
      <c r="C7">
        <v>2014</v>
      </c>
      <c r="D7" s="2">
        <f>D6*(D4-(D8+D10))/D5+(D9+D11)</f>
        <v>80.700707635943886</v>
      </c>
      <c r="E7" t="s">
        <v>28</v>
      </c>
    </row>
    <row r="8" spans="2:5" x14ac:dyDescent="0.25">
      <c r="B8" t="s">
        <v>57</v>
      </c>
      <c r="C8">
        <v>2007</v>
      </c>
      <c r="D8">
        <v>4.2</v>
      </c>
      <c r="E8" s="1" t="s">
        <v>27</v>
      </c>
    </row>
    <row r="9" spans="2:5" x14ac:dyDescent="0.25">
      <c r="B9" t="s">
        <v>57</v>
      </c>
      <c r="C9">
        <v>2014</v>
      </c>
      <c r="D9">
        <v>4</v>
      </c>
      <c r="E9" s="1" t="s">
        <v>27</v>
      </c>
    </row>
    <row r="10" spans="2:5" x14ac:dyDescent="0.25">
      <c r="B10" t="s">
        <v>58</v>
      </c>
      <c r="C10">
        <v>2007</v>
      </c>
      <c r="D10">
        <v>0.7</v>
      </c>
      <c r="E10" s="1" t="s">
        <v>27</v>
      </c>
    </row>
    <row r="11" spans="2:5" x14ac:dyDescent="0.25">
      <c r="B11" t="s">
        <v>58</v>
      </c>
      <c r="C11">
        <v>2014</v>
      </c>
      <c r="D11">
        <v>1</v>
      </c>
      <c r="E11" s="1" t="s">
        <v>27</v>
      </c>
    </row>
    <row r="13" spans="2:5" x14ac:dyDescent="0.25">
      <c r="B13" t="s">
        <v>76</v>
      </c>
      <c r="C13">
        <v>2014</v>
      </c>
      <c r="D13" s="2">
        <f>AVERAGE(D7,D3)</f>
        <v>78.85035381797195</v>
      </c>
      <c r="E13" t="s">
        <v>28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F22"/>
  <sheetViews>
    <sheetView workbookViewId="0">
      <selection activeCell="E23" sqref="E23"/>
    </sheetView>
  </sheetViews>
  <sheetFormatPr defaultRowHeight="15" x14ac:dyDescent="0.25"/>
  <cols>
    <col min="2" max="2" width="35.5703125" customWidth="1"/>
    <col min="4" max="4" width="10.140625" customWidth="1"/>
  </cols>
  <sheetData>
    <row r="2" spans="2:6" x14ac:dyDescent="0.25">
      <c r="B2" t="s">
        <v>10</v>
      </c>
      <c r="C2" t="s">
        <v>9</v>
      </c>
      <c r="D2" t="s">
        <v>29</v>
      </c>
      <c r="E2" t="s">
        <v>11</v>
      </c>
    </row>
    <row r="3" spans="2:6" x14ac:dyDescent="0.25">
      <c r="B3" t="s">
        <v>17</v>
      </c>
      <c r="C3">
        <v>2014</v>
      </c>
      <c r="D3" s="2">
        <v>65</v>
      </c>
      <c r="E3" t="s">
        <v>12</v>
      </c>
      <c r="F3" s="1" t="s">
        <v>13</v>
      </c>
    </row>
    <row r="4" spans="2:6" x14ac:dyDescent="0.25">
      <c r="B4" t="s">
        <v>17</v>
      </c>
      <c r="C4">
        <v>2015</v>
      </c>
      <c r="D4" s="2">
        <v>73.2</v>
      </c>
      <c r="E4" s="1" t="s">
        <v>14</v>
      </c>
    </row>
    <row r="5" spans="2:6" x14ac:dyDescent="0.25">
      <c r="B5" t="s">
        <v>17</v>
      </c>
      <c r="C5">
        <v>2006</v>
      </c>
      <c r="D5" s="2">
        <v>44</v>
      </c>
      <c r="E5" t="s">
        <v>108</v>
      </c>
    </row>
    <row r="6" spans="2:6" x14ac:dyDescent="0.25">
      <c r="B6" t="s">
        <v>18</v>
      </c>
      <c r="C6">
        <v>2014</v>
      </c>
      <c r="D6" s="2">
        <v>41.56</v>
      </c>
      <c r="E6" t="s">
        <v>15</v>
      </c>
    </row>
    <row r="7" spans="2:6" x14ac:dyDescent="0.25">
      <c r="B7" t="s">
        <v>19</v>
      </c>
      <c r="C7">
        <v>2014</v>
      </c>
      <c r="D7" s="2">
        <v>9.2799999999999994</v>
      </c>
      <c r="E7" t="s">
        <v>24</v>
      </c>
    </row>
    <row r="8" spans="2:6" x14ac:dyDescent="0.25">
      <c r="B8" t="s">
        <v>20</v>
      </c>
      <c r="C8">
        <v>2014</v>
      </c>
      <c r="D8" s="2">
        <v>3.53</v>
      </c>
      <c r="E8" s="3" t="s">
        <v>16</v>
      </c>
    </row>
    <row r="9" spans="2:6" x14ac:dyDescent="0.25">
      <c r="B9" t="s">
        <v>21</v>
      </c>
      <c r="C9">
        <v>2006</v>
      </c>
      <c r="D9" s="2">
        <v>36</v>
      </c>
      <c r="E9" t="s">
        <v>108</v>
      </c>
    </row>
    <row r="10" spans="2:6" x14ac:dyDescent="0.25">
      <c r="B10" t="s">
        <v>22</v>
      </c>
      <c r="C10">
        <v>2006</v>
      </c>
      <c r="D10" s="2">
        <v>22</v>
      </c>
      <c r="E10" t="s">
        <v>108</v>
      </c>
    </row>
    <row r="11" spans="2:6" x14ac:dyDescent="0.25">
      <c r="B11" t="s">
        <v>23</v>
      </c>
      <c r="C11">
        <v>2006</v>
      </c>
      <c r="D11" s="2">
        <v>14</v>
      </c>
      <c r="E11" t="s">
        <v>108</v>
      </c>
    </row>
    <row r="12" spans="2:6" x14ac:dyDescent="0.25">
      <c r="B12" t="s">
        <v>17</v>
      </c>
      <c r="C12">
        <v>2014</v>
      </c>
      <c r="D12" s="2">
        <f>SUM(D6:D8)*100/SUM(D9:D11)</f>
        <v>75.513888888888886</v>
      </c>
      <c r="E12" t="s">
        <v>28</v>
      </c>
    </row>
    <row r="13" spans="2:6" x14ac:dyDescent="0.25">
      <c r="B13" t="s">
        <v>17</v>
      </c>
      <c r="C13">
        <v>2010</v>
      </c>
      <c r="D13" s="2">
        <v>54</v>
      </c>
      <c r="E13" t="s">
        <v>103</v>
      </c>
    </row>
    <row r="14" spans="2:6" x14ac:dyDescent="0.25">
      <c r="B14" t="s">
        <v>19</v>
      </c>
      <c r="C14">
        <v>2018</v>
      </c>
      <c r="D14" s="2">
        <v>10.6</v>
      </c>
      <c r="E14" s="1" t="s">
        <v>25</v>
      </c>
    </row>
    <row r="15" spans="2:6" x14ac:dyDescent="0.25">
      <c r="B15" t="s">
        <v>26</v>
      </c>
      <c r="C15">
        <v>2010</v>
      </c>
      <c r="D15" s="2">
        <f>55102+39+48+2+121+137+4262+5363+15+14023+1993+6103</f>
        <v>87208</v>
      </c>
      <c r="E15" s="1" t="s">
        <v>27</v>
      </c>
    </row>
    <row r="16" spans="2:6" x14ac:dyDescent="0.25">
      <c r="B16" t="s">
        <v>26</v>
      </c>
      <c r="C16">
        <v>2014</v>
      </c>
      <c r="D16" s="2">
        <f>1333+78220+400+2+120+1+1974+413+2849+17754+16+164+2919+1599+8187+253</f>
        <v>116204</v>
      </c>
      <c r="E16" s="1" t="s">
        <v>27</v>
      </c>
    </row>
    <row r="17" spans="2:5" x14ac:dyDescent="0.25">
      <c r="B17" t="s">
        <v>17</v>
      </c>
      <c r="C17" s="4">
        <v>2014</v>
      </c>
      <c r="D17" s="2">
        <f>D16*D13/D15</f>
        <v>71.95459132189707</v>
      </c>
      <c r="E17" t="s">
        <v>28</v>
      </c>
    </row>
    <row r="18" spans="2:5" x14ac:dyDescent="0.25">
      <c r="B18" s="10" t="s">
        <v>77</v>
      </c>
      <c r="C18" s="10">
        <v>2014</v>
      </c>
      <c r="D18" s="11">
        <f>AVERAGE(D12,D3,D17)</f>
        <v>70.822826736928661</v>
      </c>
      <c r="E18" s="10" t="s">
        <v>28</v>
      </c>
    </row>
    <row r="19" spans="2:5" x14ac:dyDescent="0.25">
      <c r="B19" t="s">
        <v>104</v>
      </c>
      <c r="C19">
        <v>2006</v>
      </c>
      <c r="D19" s="2">
        <f>0.9 + 0.59 + 0.85 + 0.15 + 0.14 + 0.06</f>
        <v>2.69</v>
      </c>
      <c r="E19" t="s">
        <v>108</v>
      </c>
    </row>
    <row r="20" spans="2:5" x14ac:dyDescent="0.25">
      <c r="B20" t="s">
        <v>104</v>
      </c>
      <c r="C20">
        <v>2014</v>
      </c>
      <c r="D20" s="2">
        <f>2.6 + 1.6 + 0.2 + 7.5 + 0.4 + 0.1</f>
        <v>12.4</v>
      </c>
      <c r="E20" s="12" t="s">
        <v>101</v>
      </c>
    </row>
    <row r="21" spans="2:5" x14ac:dyDescent="0.25">
      <c r="B21" t="s">
        <v>105</v>
      </c>
      <c r="C21">
        <v>2014</v>
      </c>
      <c r="D21" s="2">
        <f>(0.15+0.25+0.08+0.1)*100/(15+16+16+28)</f>
        <v>0.77333333333333343</v>
      </c>
      <c r="E21" t="s">
        <v>52</v>
      </c>
    </row>
    <row r="22" spans="2:5" x14ac:dyDescent="0.25">
      <c r="B22" t="s">
        <v>105</v>
      </c>
      <c r="C22">
        <v>2006</v>
      </c>
      <c r="D22">
        <f>0.01 + 0.04 + 0.08 + 0.1</f>
        <v>0.23</v>
      </c>
      <c r="E22" t="s">
        <v>109</v>
      </c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AE41"/>
  <sheetViews>
    <sheetView workbookViewId="0">
      <selection activeCell="I15" sqref="I15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22" x14ac:dyDescent="0.25">
      <c r="A1" t="s">
        <v>61</v>
      </c>
      <c r="B1" t="s">
        <v>62</v>
      </c>
      <c r="C1" t="s">
        <v>63</v>
      </c>
      <c r="D1" t="s">
        <v>64</v>
      </c>
      <c r="G1" t="s">
        <v>30</v>
      </c>
      <c r="H1" s="5">
        <v>0.22409999999999999</v>
      </c>
      <c r="N1" t="s">
        <v>78</v>
      </c>
      <c r="O1" t="s">
        <v>79</v>
      </c>
      <c r="P1" t="s">
        <v>80</v>
      </c>
      <c r="Q1" t="s">
        <v>89</v>
      </c>
      <c r="S1" t="s">
        <v>78</v>
      </c>
      <c r="T1" t="s">
        <v>79</v>
      </c>
      <c r="U1" t="s">
        <v>80</v>
      </c>
      <c r="V1" t="s">
        <v>89</v>
      </c>
    </row>
    <row r="2" spans="1:22" x14ac:dyDescent="0.25">
      <c r="A2" t="s">
        <v>65</v>
      </c>
      <c r="B2" t="s">
        <v>66</v>
      </c>
      <c r="C2" t="s">
        <v>31</v>
      </c>
      <c r="D2" s="4">
        <f>(('Flat glass'!$D$18+D11))*$H$1</f>
        <v>18.776050481185038</v>
      </c>
      <c r="G2" t="s">
        <v>32</v>
      </c>
      <c r="H2" s="5">
        <v>0.14069999999999999</v>
      </c>
      <c r="N2" s="4">
        <f>(('Flat glass'!$D$18+N11))*$H$1</f>
        <v>18.556524578213157</v>
      </c>
      <c r="O2" s="4">
        <f>(('Flat glass'!$D$18+O11))*$H$1</f>
        <v>18.776050481185038</v>
      </c>
      <c r="P2" s="4">
        <f>(('Flat glass'!$D$18+P11))*$H$1</f>
        <v>18.776050481185038</v>
      </c>
      <c r="Q2" s="4">
        <f>(('Flat glass'!$D$18+Q11))*$H$1</f>
        <v>18.776050481185038</v>
      </c>
      <c r="S2" s="8">
        <f>N2/$D2</f>
        <v>0.98830819595463582</v>
      </c>
      <c r="T2" s="8">
        <f>O2/$D2</f>
        <v>1</v>
      </c>
      <c r="U2" s="8">
        <f>P2/$D2</f>
        <v>1</v>
      </c>
      <c r="V2" s="8">
        <f>Q2/$D2</f>
        <v>1</v>
      </c>
    </row>
    <row r="3" spans="1:22" x14ac:dyDescent="0.25">
      <c r="A3" t="s">
        <v>65</v>
      </c>
      <c r="B3" t="s">
        <v>66</v>
      </c>
      <c r="C3" t="s">
        <v>33</v>
      </c>
      <c r="D3" s="4">
        <f>(('Flat glass'!$D$18+D11))*$H$3</f>
        <v>53.219755759253616</v>
      </c>
      <c r="G3" t="s">
        <v>34</v>
      </c>
      <c r="H3" s="5">
        <v>0.63519999999999999</v>
      </c>
      <c r="N3" s="4">
        <f>(('Flat glass'!$D$18+N11))*$H$3</f>
        <v>52.597520803574284</v>
      </c>
      <c r="O3" s="4">
        <f>(('Flat glass'!$D$18+O11))*$H$3</f>
        <v>53.219755759253616</v>
      </c>
      <c r="P3" s="4">
        <f>(('Flat glass'!$D$18+P11))*$H$3</f>
        <v>53.219755759253616</v>
      </c>
      <c r="Q3" s="4">
        <f>(('Flat glass'!$D$18+Q11))*$H$3</f>
        <v>53.219755759253616</v>
      </c>
      <c r="S3" s="8">
        <f t="shared" ref="S3:S27" si="0">N3/$D3</f>
        <v>0.98830819595463593</v>
      </c>
      <c r="T3" s="8">
        <f t="shared" ref="T3:T27" si="1">O3/$D3</f>
        <v>1</v>
      </c>
      <c r="U3" s="8">
        <f t="shared" ref="U3:U27" si="2">P3/$D3</f>
        <v>1</v>
      </c>
      <c r="V3" s="8">
        <f t="shared" ref="V3:V27" si="3">Q3/$D3</f>
        <v>1</v>
      </c>
    </row>
    <row r="4" spans="1:22" x14ac:dyDescent="0.25">
      <c r="A4" t="s">
        <v>65</v>
      </c>
      <c r="B4" t="s">
        <v>66</v>
      </c>
      <c r="C4" t="s">
        <v>35</v>
      </c>
      <c r="D4" s="4">
        <f>(('Flat glass'!$D$18+D11))*$H$2</f>
        <v>11.788444010275478</v>
      </c>
      <c r="F4" t="s">
        <v>78</v>
      </c>
      <c r="G4" t="s">
        <v>36</v>
      </c>
      <c r="H4" s="5">
        <v>0.84530000000000005</v>
      </c>
      <c r="I4" s="5">
        <f>H4+I15</f>
        <v>0.85530000000000006</v>
      </c>
      <c r="N4" s="4">
        <f>(('Flat glass'!$D$18+N11))*$H$2</f>
        <v>11.65061583290759</v>
      </c>
      <c r="O4" s="4">
        <f>(('Flat glass'!$D$18+O11))*$H$2</f>
        <v>11.788444010275478</v>
      </c>
      <c r="P4" s="4">
        <f>(('Flat glass'!$D$18+P11))*$H$2</f>
        <v>11.788444010275478</v>
      </c>
      <c r="Q4" s="4">
        <f>(('Flat glass'!$D$18+Q11))*$H$2</f>
        <v>11.788444010275478</v>
      </c>
      <c r="S4" s="8">
        <f t="shared" si="0"/>
        <v>0.98830819595463582</v>
      </c>
      <c r="T4" s="8">
        <f t="shared" si="1"/>
        <v>1</v>
      </c>
      <c r="U4" s="8">
        <f t="shared" si="2"/>
        <v>1</v>
      </c>
      <c r="V4" s="8">
        <f t="shared" si="3"/>
        <v>1</v>
      </c>
    </row>
    <row r="5" spans="1:22" x14ac:dyDescent="0.25">
      <c r="A5" t="s">
        <v>65</v>
      </c>
      <c r="B5" t="s">
        <v>67</v>
      </c>
      <c r="C5" t="s">
        <v>31</v>
      </c>
      <c r="D5" s="4">
        <f>(('Container glass'!$D$13+D9)-(SUM(D20:D22)))*$H$1</f>
        <v>13.58776385767761</v>
      </c>
      <c r="F5" t="s">
        <v>81</v>
      </c>
      <c r="G5" t="s">
        <v>37</v>
      </c>
      <c r="H5" s="5">
        <v>0.1</v>
      </c>
      <c r="I5" s="5">
        <f>H5-I15</f>
        <v>9.0000000000000011E-2</v>
      </c>
      <c r="N5" s="4">
        <f>(('Container glass'!$D$13+N9)-(SUM(N20:N22)))*$H$1</f>
        <v>13.428898385238961</v>
      </c>
      <c r="O5" s="4">
        <f>(('Container glass'!$D$13+O9)-(SUM(O20:O22)))*$H$1</f>
        <v>13.58776385767761</v>
      </c>
      <c r="P5" s="4">
        <f>(('Container glass'!$D$13+P9)-(SUM(P20:P22)))*$H$1</f>
        <v>13.58776385767761</v>
      </c>
      <c r="Q5" s="4">
        <f>(('Container glass'!$D$13+Q9)-(SUM(Q20:Q22)))*$H$1</f>
        <v>13.378721336790262</v>
      </c>
      <c r="S5" s="8">
        <f t="shared" si="0"/>
        <v>0.98830819595463582</v>
      </c>
      <c r="T5" s="8">
        <f t="shared" si="1"/>
        <v>1</v>
      </c>
      <c r="U5" s="8">
        <f t="shared" si="2"/>
        <v>1</v>
      </c>
      <c r="V5" s="8">
        <f t="shared" si="3"/>
        <v>0.98461538461538467</v>
      </c>
    </row>
    <row r="6" spans="1:22" x14ac:dyDescent="0.25">
      <c r="A6" t="s">
        <v>65</v>
      </c>
      <c r="B6" t="s">
        <v>67</v>
      </c>
      <c r="C6" t="s">
        <v>33</v>
      </c>
      <c r="D6" s="4">
        <f>(('Container glass'!$D$13+D9)-(SUM(D20:D22)))*$H$3</f>
        <v>38.513822411409272</v>
      </c>
      <c r="F6" t="s">
        <v>82</v>
      </c>
      <c r="G6" t="s">
        <v>38</v>
      </c>
      <c r="H6" s="5">
        <v>0.15</v>
      </c>
      <c r="I6" s="5">
        <f>H6-I15</f>
        <v>0.13999999999999999</v>
      </c>
      <c r="N6" s="4">
        <f>(('Container glass'!$D$13+N9)-(SUM(N20:N22)))*$H$3</f>
        <v>38.06352634673712</v>
      </c>
      <c r="O6" s="4">
        <f>(('Container glass'!$D$13+O9)-(SUM(O20:O22)))*$H$3</f>
        <v>38.513822411409272</v>
      </c>
      <c r="P6" s="4">
        <f>(('Container glass'!$D$13+P9)-(SUM(P20:P22)))*$H$3</f>
        <v>38.513822411409272</v>
      </c>
      <c r="Q6" s="4">
        <f>(('Container glass'!$D$13+Q9)-(SUM(Q20:Q22)))*$H$3</f>
        <v>37.92130206661836</v>
      </c>
      <c r="S6" s="8">
        <f t="shared" si="0"/>
        <v>0.98830819595463582</v>
      </c>
      <c r="T6" s="8">
        <f t="shared" si="1"/>
        <v>1</v>
      </c>
      <c r="U6" s="8">
        <f t="shared" si="2"/>
        <v>1</v>
      </c>
      <c r="V6" s="8">
        <f t="shared" si="3"/>
        <v>0.98461538461538456</v>
      </c>
    </row>
    <row r="7" spans="1:22" x14ac:dyDescent="0.25">
      <c r="A7" t="s">
        <v>65</v>
      </c>
      <c r="B7" t="s">
        <v>67</v>
      </c>
      <c r="C7" t="s">
        <v>35</v>
      </c>
      <c r="D7" s="4">
        <f>(('Container glass'!$D$13+D9)-(SUM(D20:D22)))*$H$2</f>
        <v>8.5310056884214163</v>
      </c>
      <c r="F7" t="s">
        <v>83</v>
      </c>
      <c r="G7" t="s">
        <v>39</v>
      </c>
      <c r="H7" s="5">
        <v>0.75</v>
      </c>
      <c r="I7" s="5">
        <f>H7+I15</f>
        <v>0.76</v>
      </c>
      <c r="N7" s="4">
        <f>(('Container glass'!$D$13+N9)-(SUM(N20:N22)))*$H$2</f>
        <v>8.4312628416025071</v>
      </c>
      <c r="O7" s="4">
        <f>(('Container glass'!$D$13+O9)-(SUM(O20:O22)))*$H$2</f>
        <v>8.5310056884214163</v>
      </c>
      <c r="P7" s="4">
        <f>(('Container glass'!$D$13+P9)-(SUM(P20:P22)))*$H$2</f>
        <v>8.5310056884214163</v>
      </c>
      <c r="Q7" s="4">
        <f>(('Container glass'!$D$13+Q9)-(SUM(Q20:Q22)))*$H$2</f>
        <v>8.3997594470610881</v>
      </c>
      <c r="S7" s="8">
        <f t="shared" si="0"/>
        <v>0.98830819595463593</v>
      </c>
      <c r="T7" s="8">
        <f t="shared" si="1"/>
        <v>1</v>
      </c>
      <c r="U7" s="8">
        <f t="shared" si="2"/>
        <v>1</v>
      </c>
      <c r="V7" s="8">
        <f t="shared" si="3"/>
        <v>0.98461538461538478</v>
      </c>
    </row>
    <row r="8" spans="1:22" x14ac:dyDescent="0.25">
      <c r="A8" t="s">
        <v>67</v>
      </c>
      <c r="B8" t="s">
        <v>70</v>
      </c>
      <c r="C8" t="s">
        <v>68</v>
      </c>
      <c r="D8" s="4">
        <f>SUM(D14:D16)/(1-$H$5)</f>
        <v>87.61150424219106</v>
      </c>
      <c r="F8" t="s">
        <v>84</v>
      </c>
      <c r="G8" t="s">
        <v>40</v>
      </c>
      <c r="H8" s="5">
        <v>0.2</v>
      </c>
      <c r="I8" s="7">
        <f>H8-I15/2</f>
        <v>0.19500000000000001</v>
      </c>
      <c r="N8" s="4">
        <f>SUM(N14:N16)/(1-$H$5)</f>
        <v>87.61150424219106</v>
      </c>
      <c r="O8" s="4">
        <f>SUM(O14:O16)/(1-$I$5)</f>
        <v>86.648740459309835</v>
      </c>
      <c r="P8" s="4">
        <f>SUM(P14:P16)/(1-$H$5)</f>
        <v>87.61150424219106</v>
      </c>
      <c r="Q8" s="4">
        <f>SUM(Q14:Q16)/(1-$H$5)</f>
        <v>87.61150424219106</v>
      </c>
      <c r="S8" s="8">
        <f t="shared" si="0"/>
        <v>1</v>
      </c>
      <c r="T8" s="8">
        <f t="shared" si="1"/>
        <v>0.98901098901098894</v>
      </c>
      <c r="U8" s="8">
        <f t="shared" si="2"/>
        <v>1</v>
      </c>
      <c r="V8" s="8">
        <f t="shared" si="3"/>
        <v>1</v>
      </c>
    </row>
    <row r="9" spans="1:22" x14ac:dyDescent="0.25">
      <c r="A9" t="s">
        <v>67</v>
      </c>
      <c r="B9" t="s">
        <v>59</v>
      </c>
      <c r="C9" t="s">
        <v>69</v>
      </c>
      <c r="D9" s="4">
        <f>(('Container glass'!$D$13-SUM(D20:D22))/$H$4)*(1-$H$4)</f>
        <v>9.3798619758265307</v>
      </c>
      <c r="F9" t="s">
        <v>85</v>
      </c>
      <c r="G9" t="s">
        <v>41</v>
      </c>
      <c r="H9" s="5">
        <v>0.05</v>
      </c>
      <c r="I9" s="7">
        <f>H9-I15/2</f>
        <v>4.5000000000000005E-2</v>
      </c>
      <c r="N9" s="4">
        <f>(('Container glass'!$D$13-SUM(N20:N22))/$I$4)*(1-$I$4)</f>
        <v>8.6709575918968174</v>
      </c>
      <c r="O9" s="4">
        <f>(('Container glass'!$D$13-SUM(O20:O22))/$H$4)*(1-$H$4)</f>
        <v>9.3798619758265307</v>
      </c>
      <c r="P9" s="4">
        <f>(('Container glass'!$D$13-SUM(P20:P22))/$H$4)*(1-$H$4)</f>
        <v>9.3798619758265307</v>
      </c>
      <c r="Q9" s="4">
        <f>(('Container glass'!$D$13-SUM(Q20:Q22))/$H$4)*(1-$H$4)</f>
        <v>9.2355564069676603</v>
      </c>
      <c r="S9" s="8">
        <f t="shared" si="0"/>
        <v>0.92442272756713495</v>
      </c>
      <c r="T9" s="8">
        <f t="shared" si="1"/>
        <v>1</v>
      </c>
      <c r="U9" s="8">
        <f t="shared" si="2"/>
        <v>1</v>
      </c>
      <c r="V9" s="8">
        <f t="shared" si="3"/>
        <v>0.98461538461538456</v>
      </c>
    </row>
    <row r="10" spans="1:22" x14ac:dyDescent="0.25">
      <c r="A10" t="s">
        <v>66</v>
      </c>
      <c r="B10" t="s">
        <v>71</v>
      </c>
      <c r="C10" t="s">
        <v>68</v>
      </c>
      <c r="D10" s="4">
        <f>'Flat glass'!$D$18/(1-$H$6)</f>
        <v>83.320972631680775</v>
      </c>
      <c r="F10" t="s">
        <v>86</v>
      </c>
      <c r="G10" t="s">
        <v>42</v>
      </c>
      <c r="H10" s="5">
        <v>0.83</v>
      </c>
      <c r="I10" s="5">
        <f>H10+I15</f>
        <v>0.84</v>
      </c>
      <c r="N10" s="4">
        <f>'Flat glass'!$D$18/(1-$H$6)</f>
        <v>83.320972631680775</v>
      </c>
      <c r="O10" s="4">
        <f>'Flat glass'!$D$18/(1-$I$6)</f>
        <v>82.352124112707742</v>
      </c>
      <c r="P10" s="4">
        <f>'Flat glass'!$D$18/(1-$H$6)</f>
        <v>83.320972631680775</v>
      </c>
      <c r="Q10" s="4">
        <f>'Flat glass'!$D$18/(1-$H$6)</f>
        <v>83.320972631680775</v>
      </c>
      <c r="S10" s="8">
        <f t="shared" si="0"/>
        <v>1</v>
      </c>
      <c r="T10" s="8">
        <f t="shared" si="1"/>
        <v>0.98837209302325579</v>
      </c>
      <c r="U10" s="8">
        <f t="shared" si="2"/>
        <v>1</v>
      </c>
      <c r="V10" s="8">
        <f t="shared" si="3"/>
        <v>1</v>
      </c>
    </row>
    <row r="11" spans="1:22" x14ac:dyDescent="0.25">
      <c r="A11" t="s">
        <v>66</v>
      </c>
      <c r="B11" t="s">
        <v>60</v>
      </c>
      <c r="C11" t="s">
        <v>69</v>
      </c>
      <c r="D11" s="4">
        <f>('Flat glass'!$D$18/$H$4)*(1-$H$4)</f>
        <v>12.961423513785473</v>
      </c>
      <c r="F11" t="s">
        <v>87</v>
      </c>
      <c r="G11" t="s">
        <v>43</v>
      </c>
      <c r="H11" s="5">
        <v>0.06</v>
      </c>
      <c r="I11" s="7">
        <f>H11-I15/2</f>
        <v>5.5E-2</v>
      </c>
      <c r="N11" s="4">
        <f>('Flat glass'!$D$18/$I$4)*(1-$I$4)</f>
        <v>11.981834477766366</v>
      </c>
      <c r="O11" s="4">
        <f>('Flat glass'!$D$18/$H$4)*(1-$H$4)</f>
        <v>12.961423513785473</v>
      </c>
      <c r="P11" s="4">
        <f>('Flat glass'!$D$18/$H$4)*(1-$H$4)</f>
        <v>12.961423513785473</v>
      </c>
      <c r="Q11" s="4">
        <f>('Flat glass'!$D$18/$H$4)*(1-$H$4)</f>
        <v>12.961423513785473</v>
      </c>
      <c r="S11" s="8">
        <f t="shared" si="0"/>
        <v>0.92442272756713506</v>
      </c>
      <c r="T11" s="8">
        <f t="shared" si="1"/>
        <v>1</v>
      </c>
      <c r="U11" s="8">
        <f t="shared" si="2"/>
        <v>1</v>
      </c>
      <c r="V11" s="8">
        <f t="shared" si="3"/>
        <v>1</v>
      </c>
    </row>
    <row r="12" spans="1:22" x14ac:dyDescent="0.25">
      <c r="A12" t="s">
        <v>70</v>
      </c>
      <c r="B12" t="s">
        <v>67</v>
      </c>
      <c r="C12" t="s">
        <v>73</v>
      </c>
      <c r="D12" s="4">
        <f>(SUM(D14:D16)/(1-$H$5))-SUM(D14:D16)</f>
        <v>8.7611504242191103</v>
      </c>
      <c r="F12" t="s">
        <v>88</v>
      </c>
      <c r="G12" t="s">
        <v>44</v>
      </c>
      <c r="H12" s="5">
        <v>0.11</v>
      </c>
      <c r="I12" s="7">
        <f>H12-I15/2</f>
        <v>0.105</v>
      </c>
      <c r="N12" s="4">
        <f>(SUM(N14:N16)/(1-$H$5))-SUM(N14:N16)</f>
        <v>8.7611504242191103</v>
      </c>
      <c r="O12" s="4">
        <f>(SUM(O14:O16)/(1-$I$5))-SUM(O14:O16)</f>
        <v>7.7983866413378848</v>
      </c>
      <c r="P12" s="4">
        <f>(SUM(P14:P16)/(1-$H$5))-SUM(P14:P16)</f>
        <v>8.7611504242191103</v>
      </c>
      <c r="Q12" s="4">
        <f>(SUM(Q14:Q16)/(1-$H$5))-SUM(Q14:Q16)</f>
        <v>8.7611504242191103</v>
      </c>
      <c r="S12" s="8">
        <f t="shared" si="0"/>
        <v>1</v>
      </c>
      <c r="T12" s="8">
        <f t="shared" si="1"/>
        <v>0.89010989010988961</v>
      </c>
      <c r="U12" s="8">
        <f t="shared" si="2"/>
        <v>1</v>
      </c>
      <c r="V12" s="8">
        <f t="shared" si="3"/>
        <v>1</v>
      </c>
    </row>
    <row r="13" spans="1:22" x14ac:dyDescent="0.25">
      <c r="A13" t="s">
        <v>71</v>
      </c>
      <c r="B13" t="s">
        <v>66</v>
      </c>
      <c r="C13" t="s">
        <v>73</v>
      </c>
      <c r="D13" s="4">
        <f>('Flat glass'!$D$18/(1-$H$6))-'Flat glass'!$D$18</f>
        <v>12.498145894752113</v>
      </c>
      <c r="F13" t="s">
        <v>89</v>
      </c>
      <c r="G13" t="s">
        <v>45</v>
      </c>
      <c r="H13" s="6">
        <v>0.35</v>
      </c>
      <c r="I13" s="6">
        <f>H13+I15</f>
        <v>0.36</v>
      </c>
      <c r="N13" s="4">
        <f>('Flat glass'!$D$18/(1-$H$6))-'Flat glass'!$D$18</f>
        <v>12.498145894752113</v>
      </c>
      <c r="O13" s="4">
        <f>('Flat glass'!$D$18/(1-$I$6))-'Flat glass'!$D$18</f>
        <v>11.52929737577908</v>
      </c>
      <c r="P13" s="4">
        <f>('Flat glass'!$D$18/(1-$H$6))-'Flat glass'!$D$18</f>
        <v>12.498145894752113</v>
      </c>
      <c r="Q13" s="4">
        <f>('Flat glass'!$D$18/(1-$H$6))-'Flat glass'!$D$18</f>
        <v>12.498145894752113</v>
      </c>
      <c r="S13" s="8">
        <f t="shared" si="0"/>
        <v>1</v>
      </c>
      <c r="T13" s="8">
        <f t="shared" si="1"/>
        <v>0.92248062015503873</v>
      </c>
      <c r="U13" s="8">
        <f t="shared" si="2"/>
        <v>1</v>
      </c>
      <c r="V13" s="8">
        <f t="shared" si="3"/>
        <v>1</v>
      </c>
    </row>
    <row r="14" spans="1:22" x14ac:dyDescent="0.25">
      <c r="A14" t="s">
        <v>70</v>
      </c>
      <c r="B14" t="s">
        <v>72</v>
      </c>
      <c r="C14" t="s">
        <v>46</v>
      </c>
      <c r="D14" s="4">
        <f>'Container glass'!$D$13*$H$7</f>
        <v>59.137765363478962</v>
      </c>
      <c r="H14" s="6"/>
      <c r="N14" s="4">
        <f>'Container glass'!$D$13*$H$7</f>
        <v>59.137765363478962</v>
      </c>
      <c r="O14" s="4">
        <f>'Container glass'!$D$13*$H$7</f>
        <v>59.137765363478962</v>
      </c>
      <c r="P14" s="4">
        <f>'Container glass'!$D$13*$I$7</f>
        <v>59.92626890165868</v>
      </c>
      <c r="Q14" s="4">
        <f>'Container glass'!$D$13*$H$7</f>
        <v>59.137765363478962</v>
      </c>
      <c r="S14" s="8">
        <f t="shared" si="0"/>
        <v>1</v>
      </c>
      <c r="T14" s="8">
        <f t="shared" si="1"/>
        <v>1</v>
      </c>
      <c r="U14" s="8">
        <f t="shared" si="2"/>
        <v>1.0133333333333334</v>
      </c>
      <c r="V14" s="8">
        <f t="shared" si="3"/>
        <v>1</v>
      </c>
    </row>
    <row r="15" spans="1:22" x14ac:dyDescent="0.25">
      <c r="A15" t="s">
        <v>70</v>
      </c>
      <c r="B15" t="s">
        <v>72</v>
      </c>
      <c r="C15" t="s">
        <v>47</v>
      </c>
      <c r="D15" s="4">
        <f>'Container glass'!$D$13*$H$8</f>
        <v>15.77007076359439</v>
      </c>
      <c r="H15" t="s">
        <v>102</v>
      </c>
      <c r="I15" s="6">
        <v>0.01</v>
      </c>
      <c r="N15" s="4">
        <f>'Container glass'!$D$13*$H$8</f>
        <v>15.77007076359439</v>
      </c>
      <c r="O15" s="4">
        <f>'Container glass'!$D$13*$H$8</f>
        <v>15.77007076359439</v>
      </c>
      <c r="P15" s="4">
        <f>'Container glass'!$D$13*$I$8</f>
        <v>15.375818994504531</v>
      </c>
      <c r="Q15" s="4">
        <f>'Container glass'!$D$13*$H$8</f>
        <v>15.77007076359439</v>
      </c>
      <c r="S15" s="8">
        <f t="shared" si="0"/>
        <v>1</v>
      </c>
      <c r="T15" s="8">
        <f t="shared" si="1"/>
        <v>1</v>
      </c>
      <c r="U15" s="8">
        <f t="shared" si="2"/>
        <v>0.97500000000000009</v>
      </c>
      <c r="V15" s="8">
        <f t="shared" si="3"/>
        <v>1</v>
      </c>
    </row>
    <row r="16" spans="1:22" x14ac:dyDescent="0.25">
      <c r="A16" t="s">
        <v>70</v>
      </c>
      <c r="B16" t="s">
        <v>72</v>
      </c>
      <c r="C16" t="s">
        <v>48</v>
      </c>
      <c r="D16" s="4">
        <f>'Container glass'!$D$13*$H$9</f>
        <v>3.9425176908985975</v>
      </c>
      <c r="N16" s="4">
        <f>'Container glass'!$D$13*$H$9</f>
        <v>3.9425176908985975</v>
      </c>
      <c r="O16" s="4">
        <f>'Container glass'!$D$13*$H$9</f>
        <v>3.9425176908985975</v>
      </c>
      <c r="P16" s="4">
        <f>'Container glass'!$D$13*$I$9</f>
        <v>3.548265921808738</v>
      </c>
      <c r="Q16" s="4">
        <f>'Container glass'!$D$13*$H$9</f>
        <v>3.9425176908985975</v>
      </c>
      <c r="S16" s="8">
        <f t="shared" si="0"/>
        <v>1</v>
      </c>
      <c r="T16" s="8">
        <f t="shared" si="1"/>
        <v>1</v>
      </c>
      <c r="U16" s="8">
        <f>P16/$D16</f>
        <v>0.9</v>
      </c>
      <c r="V16" s="8">
        <f t="shared" si="3"/>
        <v>1</v>
      </c>
    </row>
    <row r="17" spans="1:31" x14ac:dyDescent="0.25">
      <c r="A17" t="s">
        <v>71</v>
      </c>
      <c r="B17" t="s">
        <v>74</v>
      </c>
      <c r="C17" t="s">
        <v>49</v>
      </c>
      <c r="D17" s="4">
        <f>'Flat glass'!$D$18*$H$10</f>
        <v>58.782946191650787</v>
      </c>
      <c r="H17" s="5"/>
      <c r="N17" s="4">
        <f>'Flat glass'!$D$18*$H$10</f>
        <v>58.782946191650787</v>
      </c>
      <c r="O17" s="4">
        <f>'Flat glass'!$D$18*$H$10</f>
        <v>58.782946191650787</v>
      </c>
      <c r="P17" s="4">
        <f>'Flat glass'!$D$18*$I$10</f>
        <v>59.491174459020073</v>
      </c>
      <c r="Q17" s="4">
        <f>'Flat glass'!$D$18*$H$10</f>
        <v>58.782946191650787</v>
      </c>
      <c r="S17" s="8">
        <f t="shared" si="0"/>
        <v>1</v>
      </c>
      <c r="T17" s="8">
        <f t="shared" si="1"/>
        <v>1</v>
      </c>
      <c r="U17" s="8">
        <f t="shared" si="2"/>
        <v>1.0120481927710843</v>
      </c>
      <c r="V17" s="8">
        <f t="shared" si="3"/>
        <v>1</v>
      </c>
    </row>
    <row r="18" spans="1:31" x14ac:dyDescent="0.25">
      <c r="A18" t="s">
        <v>71</v>
      </c>
      <c r="B18" t="s">
        <v>74</v>
      </c>
      <c r="C18" t="s">
        <v>50</v>
      </c>
      <c r="D18" s="4">
        <f>'Flat glass'!$D$18*$H$11</f>
        <v>4.2493696042157199</v>
      </c>
      <c r="H18" s="5"/>
      <c r="N18" s="4">
        <f>'Flat glass'!$D$18*$H$11</f>
        <v>4.2493696042157199</v>
      </c>
      <c r="O18" s="4">
        <f>'Flat glass'!$D$18*$H$11</f>
        <v>4.2493696042157199</v>
      </c>
      <c r="P18" s="4">
        <f>'Flat glass'!$D$18*$I$11</f>
        <v>3.8952554705310765</v>
      </c>
      <c r="Q18" s="4">
        <f>'Flat glass'!$D$18*$H$11</f>
        <v>4.2493696042157199</v>
      </c>
      <c r="S18" s="8">
        <f t="shared" si="0"/>
        <v>1</v>
      </c>
      <c r="T18" s="8">
        <f t="shared" si="1"/>
        <v>1</v>
      </c>
      <c r="U18" s="8">
        <f t="shared" si="2"/>
        <v>0.91666666666666663</v>
      </c>
      <c r="V18" s="8">
        <f t="shared" si="3"/>
        <v>1</v>
      </c>
    </row>
    <row r="19" spans="1:31" x14ac:dyDescent="0.25">
      <c r="A19" t="s">
        <v>71</v>
      </c>
      <c r="B19" t="s">
        <v>74</v>
      </c>
      <c r="C19" t="s">
        <v>51</v>
      </c>
      <c r="D19" s="4">
        <f>'Flat glass'!$D$18*$H$12</f>
        <v>7.7905109410621529</v>
      </c>
      <c r="N19" s="4">
        <f>'Flat glass'!$D$18*$H$12</f>
        <v>7.7905109410621529</v>
      </c>
      <c r="O19" s="4">
        <f>'Flat glass'!$D$18*$H$12</f>
        <v>7.7905109410621529</v>
      </c>
      <c r="P19" s="4">
        <f>'Flat glass'!$D$18*$I$12</f>
        <v>7.4363968073775091</v>
      </c>
      <c r="Q19" s="4">
        <f>'Flat glass'!$D$18*$H$12</f>
        <v>7.7905109410621529</v>
      </c>
      <c r="S19" s="8">
        <f t="shared" si="0"/>
        <v>1</v>
      </c>
      <c r="T19" s="8">
        <f t="shared" si="1"/>
        <v>1</v>
      </c>
      <c r="U19" s="8">
        <f t="shared" si="2"/>
        <v>0.95454545454545447</v>
      </c>
      <c r="V19" s="8">
        <f t="shared" si="3"/>
        <v>1</v>
      </c>
    </row>
    <row r="20" spans="1:31" x14ac:dyDescent="0.25">
      <c r="A20" t="s">
        <v>72</v>
      </c>
      <c r="B20" t="s">
        <v>67</v>
      </c>
      <c r="C20" t="s">
        <v>46</v>
      </c>
      <c r="D20" s="4">
        <f>D14*$H$13</f>
        <v>20.698217877217637</v>
      </c>
      <c r="N20" s="4">
        <f t="shared" ref="N20:P22" si="4">N14*$H$13</f>
        <v>20.698217877217637</v>
      </c>
      <c r="O20" s="4">
        <f t="shared" si="4"/>
        <v>20.698217877217637</v>
      </c>
      <c r="P20" s="4">
        <f t="shared" si="4"/>
        <v>20.974194115580538</v>
      </c>
      <c r="Q20" s="4">
        <f>Q14*$I$13</f>
        <v>21.289595530852427</v>
      </c>
      <c r="S20" s="8">
        <f t="shared" si="0"/>
        <v>1</v>
      </c>
      <c r="T20" s="8">
        <f t="shared" si="1"/>
        <v>1</v>
      </c>
      <c r="U20" s="8">
        <f t="shared" si="2"/>
        <v>1.0133333333333332</v>
      </c>
      <c r="V20" s="8">
        <f t="shared" si="3"/>
        <v>1.0285714285714287</v>
      </c>
    </row>
    <row r="21" spans="1:31" x14ac:dyDescent="0.25">
      <c r="A21" t="s">
        <v>72</v>
      </c>
      <c r="B21" t="s">
        <v>67</v>
      </c>
      <c r="C21" t="s">
        <v>47</v>
      </c>
      <c r="D21" s="4">
        <f>D15*$H$13</f>
        <v>5.5195247672580363</v>
      </c>
      <c r="N21" s="4">
        <f t="shared" si="4"/>
        <v>5.5195247672580363</v>
      </c>
      <c r="O21" s="4">
        <f t="shared" si="4"/>
        <v>5.5195247672580363</v>
      </c>
      <c r="P21" s="4">
        <f t="shared" si="4"/>
        <v>5.3815366480765858</v>
      </c>
      <c r="Q21" s="4">
        <f>Q15*$I$13</f>
        <v>5.6772254748939801</v>
      </c>
      <c r="S21" s="8">
        <f t="shared" si="0"/>
        <v>1</v>
      </c>
      <c r="T21" s="8">
        <f t="shared" si="1"/>
        <v>1</v>
      </c>
      <c r="U21" s="8">
        <f t="shared" si="2"/>
        <v>0.97500000000000009</v>
      </c>
      <c r="V21" s="8">
        <f t="shared" si="3"/>
        <v>1.0285714285714285</v>
      </c>
    </row>
    <row r="22" spans="1:31" x14ac:dyDescent="0.25">
      <c r="A22" t="s">
        <v>72</v>
      </c>
      <c r="B22" t="s">
        <v>67</v>
      </c>
      <c r="C22" t="s">
        <v>48</v>
      </c>
      <c r="D22" s="4">
        <f>D16*$H$13</f>
        <v>1.3798811918145091</v>
      </c>
      <c r="N22" s="4">
        <f t="shared" si="4"/>
        <v>1.3798811918145091</v>
      </c>
      <c r="O22" s="4">
        <f t="shared" si="4"/>
        <v>1.3798811918145091</v>
      </c>
      <c r="P22" s="4">
        <f t="shared" si="4"/>
        <v>1.2418930726330581</v>
      </c>
      <c r="Q22" s="4">
        <f>Q16*$I$13</f>
        <v>1.419306368723495</v>
      </c>
      <c r="S22" s="8">
        <f t="shared" si="0"/>
        <v>1</v>
      </c>
      <c r="T22" s="8">
        <f t="shared" si="1"/>
        <v>1</v>
      </c>
      <c r="U22" s="8">
        <f t="shared" si="2"/>
        <v>0.9</v>
      </c>
      <c r="V22" s="8">
        <f t="shared" si="3"/>
        <v>1.0285714285714285</v>
      </c>
    </row>
    <row r="23" spans="1:31" x14ac:dyDescent="0.25">
      <c r="A23" t="s">
        <v>72</v>
      </c>
      <c r="B23" t="s">
        <v>75</v>
      </c>
      <c r="C23" t="s">
        <v>46</v>
      </c>
      <c r="D23" s="4">
        <f>D14*(1-$H$13)</f>
        <v>38.439547486261326</v>
      </c>
      <c r="N23" s="4">
        <f t="shared" ref="N23:P25" si="5">N14*(1-$H$13)</f>
        <v>38.439547486261326</v>
      </c>
      <c r="O23" s="4">
        <f t="shared" si="5"/>
        <v>38.439547486261326</v>
      </c>
      <c r="P23" s="4">
        <f t="shared" si="5"/>
        <v>38.952074786078143</v>
      </c>
      <c r="Q23" s="4">
        <f>Q14*(1-$I$13)</f>
        <v>37.848169832626539</v>
      </c>
      <c r="S23" s="8">
        <f t="shared" si="0"/>
        <v>1</v>
      </c>
      <c r="T23" s="8">
        <f t="shared" si="1"/>
        <v>1</v>
      </c>
      <c r="U23" s="8">
        <f t="shared" si="2"/>
        <v>1.0133333333333334</v>
      </c>
      <c r="V23" s="8">
        <f t="shared" si="3"/>
        <v>0.98461538461538467</v>
      </c>
    </row>
    <row r="24" spans="1:31" x14ac:dyDescent="0.25">
      <c r="A24" t="s">
        <v>72</v>
      </c>
      <c r="B24" t="s">
        <v>75</v>
      </c>
      <c r="C24" t="s">
        <v>47</v>
      </c>
      <c r="D24" s="4">
        <f>D15*(1-$H$13)</f>
        <v>10.250545996336355</v>
      </c>
      <c r="N24" s="4">
        <f t="shared" si="5"/>
        <v>10.250545996336355</v>
      </c>
      <c r="O24" s="4">
        <f t="shared" si="5"/>
        <v>10.250545996336355</v>
      </c>
      <c r="P24" s="4">
        <f t="shared" si="5"/>
        <v>9.994282346427946</v>
      </c>
      <c r="Q24" s="4">
        <f>Q15*(1-$I$13)</f>
        <v>10.09284528870041</v>
      </c>
      <c r="S24" s="8">
        <f t="shared" si="0"/>
        <v>1</v>
      </c>
      <c r="T24" s="8">
        <f t="shared" si="1"/>
        <v>1</v>
      </c>
      <c r="U24" s="8">
        <f t="shared" si="2"/>
        <v>0.97499999999999998</v>
      </c>
      <c r="V24" s="8">
        <f t="shared" si="3"/>
        <v>0.98461538461538456</v>
      </c>
    </row>
    <row r="25" spans="1:31" x14ac:dyDescent="0.25">
      <c r="A25" t="s">
        <v>72</v>
      </c>
      <c r="B25" t="s">
        <v>75</v>
      </c>
      <c r="C25" t="s">
        <v>48</v>
      </c>
      <c r="D25" s="4">
        <f>D16*(1-$H$13)</f>
        <v>2.5626364990840886</v>
      </c>
      <c r="N25" s="4">
        <f t="shared" si="5"/>
        <v>2.5626364990840886</v>
      </c>
      <c r="O25" s="4">
        <f t="shared" si="5"/>
        <v>2.5626364990840886</v>
      </c>
      <c r="P25" s="4">
        <f t="shared" si="5"/>
        <v>2.3063728491756796</v>
      </c>
      <c r="Q25" s="4">
        <f>Q16*(1-$I$13)</f>
        <v>2.5232113221751025</v>
      </c>
      <c r="S25" s="8">
        <f t="shared" si="0"/>
        <v>1</v>
      </c>
      <c r="T25" s="8">
        <f t="shared" si="1"/>
        <v>1</v>
      </c>
      <c r="U25" s="8">
        <f t="shared" si="2"/>
        <v>0.89999999999999991</v>
      </c>
      <c r="V25" s="8">
        <f t="shared" si="3"/>
        <v>0.98461538461538456</v>
      </c>
    </row>
    <row r="26" spans="1:31" x14ac:dyDescent="0.25">
      <c r="A26" t="s">
        <v>74</v>
      </c>
      <c r="B26" t="s">
        <v>75</v>
      </c>
      <c r="C26" t="s">
        <v>49</v>
      </c>
      <c r="D26" s="4">
        <f>'Flat glass'!D20</f>
        <v>12.4</v>
      </c>
      <c r="N26" s="4">
        <f>4.3+2.7+12.5+0.4+0.4+0.1</f>
        <v>20.399999999999999</v>
      </c>
      <c r="O26" s="4">
        <f>4.3+2.7+12.5+0.4+0.4+0.1</f>
        <v>20.399999999999999</v>
      </c>
      <c r="P26" s="4">
        <f>4.3+2.7+12.5+0.4+0.4+0.1</f>
        <v>20.399999999999999</v>
      </c>
      <c r="Q26" s="4">
        <f>4.3+2.7+12.5+0.4+0.4+0.1</f>
        <v>20.399999999999999</v>
      </c>
      <c r="S26" s="8">
        <f t="shared" si="0"/>
        <v>1.6451612903225805</v>
      </c>
      <c r="T26" s="8">
        <f t="shared" si="1"/>
        <v>1.6451612903225805</v>
      </c>
      <c r="U26" s="8">
        <f t="shared" si="2"/>
        <v>1.6451612903225805</v>
      </c>
      <c r="V26" s="8">
        <f t="shared" si="3"/>
        <v>1.6451612903225805</v>
      </c>
    </row>
    <row r="27" spans="1:31" x14ac:dyDescent="0.25">
      <c r="A27" t="s">
        <v>74</v>
      </c>
      <c r="B27" t="s">
        <v>75</v>
      </c>
      <c r="C27" t="s">
        <v>50</v>
      </c>
      <c r="D27" s="4">
        <f>'Flat glass'!D21</f>
        <v>0.77333333333333343</v>
      </c>
      <c r="N27" s="4">
        <f>(0.15+0.25+0.08+0.1)*100/(15+16+16+28)</f>
        <v>0.77333333333333343</v>
      </c>
      <c r="O27" s="4">
        <f>(0.15+0.25+0.08+0.1)*100/(15+16+16+28)</f>
        <v>0.77333333333333343</v>
      </c>
      <c r="P27" s="4">
        <f>(0.15+0.25+0.08+0.1)*100/(15+16+16+28)</f>
        <v>0.77333333333333343</v>
      </c>
      <c r="Q27" s="4">
        <f>(0.15+0.25+0.08+0.1)*100/(15+16+16+28)</f>
        <v>0.77333333333333343</v>
      </c>
      <c r="S27" s="8">
        <f t="shared" si="0"/>
        <v>1</v>
      </c>
      <c r="T27" s="8">
        <f t="shared" si="1"/>
        <v>1</v>
      </c>
      <c r="U27" s="8">
        <f t="shared" si="2"/>
        <v>1</v>
      </c>
      <c r="V27" s="8">
        <f t="shared" si="3"/>
        <v>1</v>
      </c>
    </row>
    <row r="30" spans="1:31" x14ac:dyDescent="0.25">
      <c r="X30" t="s">
        <v>61</v>
      </c>
      <c r="Y30" t="s">
        <v>62</v>
      </c>
      <c r="Z30" t="s">
        <v>61</v>
      </c>
      <c r="AA30" t="s">
        <v>62</v>
      </c>
      <c r="AB30" t="s">
        <v>78</v>
      </c>
      <c r="AC30" t="s">
        <v>79</v>
      </c>
      <c r="AD30" t="s">
        <v>80</v>
      </c>
      <c r="AE30" t="s">
        <v>89</v>
      </c>
    </row>
    <row r="31" spans="1:31" x14ac:dyDescent="0.25">
      <c r="X31" t="str">
        <f>A9</f>
        <v>CGM</v>
      </c>
      <c r="Y31" t="str">
        <f>B9</f>
        <v>loss1</v>
      </c>
      <c r="Z31" t="s">
        <v>91</v>
      </c>
      <c r="AA31" t="s">
        <v>5</v>
      </c>
      <c r="AB31" s="9">
        <f>S9</f>
        <v>0.92442272756713495</v>
      </c>
      <c r="AC31" s="9" t="s">
        <v>90</v>
      </c>
      <c r="AD31" s="9" t="s">
        <v>90</v>
      </c>
      <c r="AE31" s="9">
        <f>V9</f>
        <v>0.98461538461538456</v>
      </c>
    </row>
    <row r="32" spans="1:31" x14ac:dyDescent="0.25">
      <c r="X32" t="str">
        <f t="shared" ref="X32:Y34" si="6">A11</f>
        <v>FGM</v>
      </c>
      <c r="Y32" t="str">
        <f t="shared" si="6"/>
        <v>loss2</v>
      </c>
      <c r="Z32" t="s">
        <v>92</v>
      </c>
      <c r="AA32" t="s">
        <v>5</v>
      </c>
      <c r="AB32" s="9">
        <f>S11</f>
        <v>0.92442272756713506</v>
      </c>
      <c r="AC32" s="9" t="s">
        <v>90</v>
      </c>
      <c r="AD32" s="9" t="s">
        <v>90</v>
      </c>
      <c r="AE32" s="9" t="s">
        <v>90</v>
      </c>
    </row>
    <row r="33" spans="24:31" x14ac:dyDescent="0.25">
      <c r="X33" t="str">
        <f t="shared" si="6"/>
        <v>CGF</v>
      </c>
      <c r="Y33" t="str">
        <f t="shared" si="6"/>
        <v>CGM</v>
      </c>
      <c r="Z33" t="s">
        <v>93</v>
      </c>
      <c r="AA33" t="s">
        <v>91</v>
      </c>
      <c r="AB33" s="9" t="s">
        <v>90</v>
      </c>
      <c r="AC33" s="9">
        <f>T12</f>
        <v>0.89010989010988961</v>
      </c>
      <c r="AD33" s="9" t="s">
        <v>90</v>
      </c>
      <c r="AE33" s="9" t="s">
        <v>90</v>
      </c>
    </row>
    <row r="34" spans="24:31" x14ac:dyDescent="0.25">
      <c r="X34" t="str">
        <f t="shared" si="6"/>
        <v>FGF</v>
      </c>
      <c r="Y34" t="str">
        <f t="shared" si="6"/>
        <v>FGM</v>
      </c>
      <c r="Z34" t="s">
        <v>94</v>
      </c>
      <c r="AA34" t="s">
        <v>92</v>
      </c>
      <c r="AB34" s="9" t="s">
        <v>90</v>
      </c>
      <c r="AC34" s="9">
        <f>T13</f>
        <v>0.92248062015503873</v>
      </c>
      <c r="AD34" s="9" t="s">
        <v>90</v>
      </c>
      <c r="AE34" s="9" t="s">
        <v>90</v>
      </c>
    </row>
    <row r="35" spans="24:31" x14ac:dyDescent="0.25">
      <c r="X35" t="str">
        <f>A16</f>
        <v>CGF</v>
      </c>
      <c r="Y35" t="str">
        <f>B16</f>
        <v>CGU</v>
      </c>
      <c r="Z35" t="s">
        <v>93</v>
      </c>
      <c r="AA35" t="s">
        <v>97</v>
      </c>
      <c r="AB35" s="9" t="s">
        <v>90</v>
      </c>
      <c r="AC35" s="9" t="s">
        <v>90</v>
      </c>
      <c r="AD35" s="9">
        <f>U16</f>
        <v>0.9</v>
      </c>
      <c r="AE35" s="9" t="s">
        <v>90</v>
      </c>
    </row>
    <row r="36" spans="24:31" x14ac:dyDescent="0.25">
      <c r="X36" t="str">
        <f t="shared" ref="X36:Y40" si="7">A18</f>
        <v>FGF</v>
      </c>
      <c r="Y36" t="str">
        <f t="shared" si="7"/>
        <v>FGU</v>
      </c>
      <c r="Z36" t="s">
        <v>94</v>
      </c>
      <c r="AA36" t="s">
        <v>95</v>
      </c>
      <c r="AB36" s="9" t="s">
        <v>90</v>
      </c>
      <c r="AC36" s="9" t="s">
        <v>90</v>
      </c>
      <c r="AD36" s="9">
        <f>U18</f>
        <v>0.91666666666666663</v>
      </c>
      <c r="AE36" s="9" t="s">
        <v>90</v>
      </c>
    </row>
    <row r="37" spans="24:31" x14ac:dyDescent="0.25">
      <c r="X37" t="str">
        <f t="shared" si="7"/>
        <v>FGF</v>
      </c>
      <c r="Y37" t="str">
        <f t="shared" si="7"/>
        <v>FGU</v>
      </c>
      <c r="Z37" t="s">
        <v>94</v>
      </c>
      <c r="AA37" t="s">
        <v>96</v>
      </c>
      <c r="AB37" s="9" t="s">
        <v>90</v>
      </c>
      <c r="AC37" s="9" t="s">
        <v>90</v>
      </c>
      <c r="AD37" s="9">
        <f>U19</f>
        <v>0.95454545454545447</v>
      </c>
      <c r="AE37" s="9" t="s">
        <v>90</v>
      </c>
    </row>
    <row r="38" spans="24:31" x14ac:dyDescent="0.25">
      <c r="X38" t="str">
        <f t="shared" si="7"/>
        <v>CGU</v>
      </c>
      <c r="Y38" t="str">
        <f t="shared" si="7"/>
        <v>CGM</v>
      </c>
      <c r="Z38" t="s">
        <v>98</v>
      </c>
      <c r="AA38" t="s">
        <v>91</v>
      </c>
      <c r="AB38" s="9" t="s">
        <v>90</v>
      </c>
      <c r="AC38" s="9" t="s">
        <v>90</v>
      </c>
      <c r="AD38" s="9">
        <f>U20</f>
        <v>1.0133333333333332</v>
      </c>
      <c r="AE38" s="9">
        <f>V20</f>
        <v>1.0285714285714287</v>
      </c>
    </row>
    <row r="39" spans="24:31" x14ac:dyDescent="0.25">
      <c r="X39" t="str">
        <f t="shared" si="7"/>
        <v>CGU</v>
      </c>
      <c r="Y39" t="str">
        <f t="shared" si="7"/>
        <v>CGM</v>
      </c>
      <c r="Z39" t="s">
        <v>99</v>
      </c>
      <c r="AA39" t="s">
        <v>91</v>
      </c>
      <c r="AB39" s="9" t="s">
        <v>90</v>
      </c>
      <c r="AC39" s="9" t="s">
        <v>90</v>
      </c>
      <c r="AD39" s="9">
        <f>U21</f>
        <v>0.97500000000000009</v>
      </c>
      <c r="AE39" s="9">
        <f>V21</f>
        <v>1.0285714285714285</v>
      </c>
    </row>
    <row r="40" spans="24:31" x14ac:dyDescent="0.25">
      <c r="X40" t="str">
        <f t="shared" si="7"/>
        <v>CGU</v>
      </c>
      <c r="Y40" t="str">
        <f t="shared" si="7"/>
        <v>CGM</v>
      </c>
      <c r="Z40" t="s">
        <v>97</v>
      </c>
      <c r="AA40" t="s">
        <v>91</v>
      </c>
      <c r="AB40" s="9" t="s">
        <v>90</v>
      </c>
      <c r="AC40" s="9" t="s">
        <v>90</v>
      </c>
      <c r="AD40" s="9">
        <f>U22</f>
        <v>0.9</v>
      </c>
      <c r="AE40" s="9">
        <f>V22</f>
        <v>1.0285714285714285</v>
      </c>
    </row>
    <row r="41" spans="24:31" x14ac:dyDescent="0.25">
      <c r="X41" t="str">
        <f>A25</f>
        <v>CGU</v>
      </c>
      <c r="Y41" t="str">
        <f>B25</f>
        <v>EoL</v>
      </c>
      <c r="Z41" t="s">
        <v>97</v>
      </c>
      <c r="AA41" t="s">
        <v>100</v>
      </c>
      <c r="AB41" s="9" t="s">
        <v>90</v>
      </c>
      <c r="AC41" s="9" t="s">
        <v>90</v>
      </c>
      <c r="AD41" s="9">
        <f>U25</f>
        <v>0.89999999999999991</v>
      </c>
      <c r="AE41" s="9">
        <f>V25</f>
        <v>0.98461538461538456</v>
      </c>
    </row>
  </sheetData>
  <conditionalFormatting sqref="S2:V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F011-9BE9-4369-9A3B-10B4B1EB8745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9</v>
      </c>
      <c r="B1" t="s">
        <v>106</v>
      </c>
      <c r="C1" t="s">
        <v>107</v>
      </c>
    </row>
    <row r="2" spans="1:3" x14ac:dyDescent="0.25">
      <c r="A2">
        <v>2006</v>
      </c>
      <c r="B2" s="2">
        <f>'Flat glass'!D19</f>
        <v>2.69</v>
      </c>
      <c r="C2" s="2">
        <f>'Flat glass'!D5*Flows!H10</f>
        <v>36.519999999999996</v>
      </c>
    </row>
    <row r="3" spans="1:3" x14ac:dyDescent="0.25">
      <c r="A3">
        <v>2014</v>
      </c>
      <c r="B3" s="2">
        <f>Flows!D26</f>
        <v>12.4</v>
      </c>
      <c r="C3" s="2">
        <f>Flows!D17</f>
        <v>58.782946191650787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00B-16BB-4492-A6C9-F4C0D6C72784}">
  <dimension ref="A1:C3"/>
  <sheetViews>
    <sheetView tabSelected="1" workbookViewId="0">
      <selection activeCell="D7" sqref="D7"/>
    </sheetView>
  </sheetViews>
  <sheetFormatPr defaultRowHeight="15" x14ac:dyDescent="0.25"/>
  <sheetData>
    <row r="1" spans="1:3" x14ac:dyDescent="0.25">
      <c r="A1" t="s">
        <v>9</v>
      </c>
      <c r="B1" t="s">
        <v>106</v>
      </c>
      <c r="C1" t="s">
        <v>107</v>
      </c>
    </row>
    <row r="2" spans="1:3" x14ac:dyDescent="0.25">
      <c r="A2">
        <v>2006</v>
      </c>
      <c r="B2" s="2">
        <f>'Flat glass'!D22</f>
        <v>0.23</v>
      </c>
      <c r="C2" s="2">
        <f>'Flat glass'!D5*Flows!H11</f>
        <v>2.6399999999999997</v>
      </c>
    </row>
    <row r="3" spans="1:3" x14ac:dyDescent="0.25">
      <c r="A3">
        <v>2014</v>
      </c>
      <c r="B3" s="2">
        <f>'Flat glass'!D21</f>
        <v>0.77333333333333343</v>
      </c>
      <c r="C3" s="2">
        <f>Flows!D18</f>
        <v>4.2493696042157199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Container glass</vt:lpstr>
      <vt:lpstr>Flat glass</vt:lpstr>
      <vt:lpstr>Flows</vt:lpstr>
      <vt:lpstr>Building_flows</vt:lpstr>
      <vt:lpstr>Car_flows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2020-07-05T20:08:29Z</dcterms:modified>
</cp:coreProperties>
</file>