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python\glass-paper\"/>
    </mc:Choice>
  </mc:AlternateContent>
  <xr:revisionPtr revIDLastSave="0" documentId="13_ncr:1_{DB1314C1-547A-468E-B55A-6800CDDE953D}" xr6:coauthVersionLast="45" xr6:coauthVersionMax="45" xr10:uidLastSave="{00000000-0000-0000-0000-000000000000}"/>
  <bookViews>
    <workbookView xWindow="-120" yWindow="-120" windowWidth="20730" windowHeight="11160" activeTab="1" xr2:uid="{1AC0E601-1297-4C8D-8E5F-6A8C787FDED8}"/>
  </bookViews>
  <sheets>
    <sheet name="Sheet1" sheetId="1" r:id="rId1"/>
    <sheet name="Container glass" sheetId="4" r:id="rId2"/>
    <sheet name="Flat glass" sheetId="2" r:id="rId3"/>
    <sheet name="Flow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4" l="1"/>
  <c r="D13" i="3" s="1"/>
  <c r="D17" i="3" s="1"/>
  <c r="D23" i="3" s="1"/>
  <c r="D19" i="2"/>
  <c r="D7" i="4"/>
  <c r="D6" i="4"/>
  <c r="D5" i="4"/>
  <c r="D30" i="3"/>
  <c r="D29" i="3"/>
  <c r="D14" i="3"/>
  <c r="D21" i="3" s="1"/>
  <c r="D12" i="3" l="1"/>
  <c r="D22" i="3"/>
  <c r="D2" i="3"/>
  <c r="D16" i="3"/>
  <c r="D11" i="3"/>
  <c r="D20" i="3"/>
  <c r="D3" i="3"/>
  <c r="D4" i="3"/>
  <c r="D18" i="3"/>
  <c r="D26" i="3"/>
  <c r="D15" i="3"/>
  <c r="D19" i="3"/>
  <c r="D9" i="3"/>
  <c r="D24" i="3" l="1"/>
  <c r="D27" i="3"/>
  <c r="D28" i="3"/>
  <c r="D25" i="3"/>
  <c r="D5" i="3" l="1"/>
  <c r="D10" i="3" s="1"/>
  <c r="D8" i="3" s="1"/>
  <c r="D7" i="3" l="1"/>
  <c r="D6" i="3"/>
  <c r="D17" i="2" l="1"/>
  <c r="D16" i="2"/>
  <c r="D15" i="2"/>
  <c r="D12" i="2"/>
  <c r="D11" i="1"/>
  <c r="D12" i="1"/>
  <c r="D10" i="1"/>
  <c r="C14" i="1"/>
</calcChain>
</file>

<file path=xl/sharedStrings.xml><?xml version="1.0" encoding="utf-8"?>
<sst xmlns="http://schemas.openxmlformats.org/spreadsheetml/2006/main" count="176" uniqueCount="83">
  <si>
    <t>Global production of glass</t>
  </si>
  <si>
    <t>Global emissions of glass</t>
  </si>
  <si>
    <t>Figures to synchronise (hopefully for 2014)</t>
  </si>
  <si>
    <t xml:space="preserve">Global energy of glass production </t>
  </si>
  <si>
    <t>Mentioned twice in introduction</t>
  </si>
  <si>
    <t>Process emissions</t>
  </si>
  <si>
    <t>Combustion emissions</t>
  </si>
  <si>
    <t>Indirect</t>
  </si>
  <si>
    <t xml:space="preserve">Total </t>
  </si>
  <si>
    <t>Year</t>
  </si>
  <si>
    <t>Description</t>
  </si>
  <si>
    <t>Source</t>
  </si>
  <si>
    <t>Glass for Europe (2018)</t>
  </si>
  <si>
    <t>http://web.archive.org/web/20180408130538/http://www.glassforeurope.com/en/industry/global-market-structure.php</t>
  </si>
  <si>
    <t>https://www.sciencedirect.com/science/article/pii/B9780128150603000153</t>
  </si>
  <si>
    <t>Butler and Hooper, 2011</t>
  </si>
  <si>
    <t>National Bureau of Statistics of China, 2015</t>
  </si>
  <si>
    <t>United States Geological Survey, 2018</t>
  </si>
  <si>
    <t>Global flat glass production [Mt]</t>
  </si>
  <si>
    <t>China flat glass production [Mt]</t>
  </si>
  <si>
    <t>Europe flat glass production [Mt]</t>
  </si>
  <si>
    <t>North America flat glass production [Mt]</t>
  </si>
  <si>
    <t>China percentage of global flat glass production [%]</t>
  </si>
  <si>
    <t>Europe percentage of global flat glass production [%]</t>
  </si>
  <si>
    <t>North America percentage of global flat glass production [%]</t>
  </si>
  <si>
    <t>Glass Alliance Europe, 2017</t>
  </si>
  <si>
    <t>Pilkington 2010</t>
  </si>
  <si>
    <t>Other data available: https://www.wko.at/branchen/industrie/glasindustrie/statistical-report-glass-alliance-europe-2018-2019.pdf</t>
  </si>
  <si>
    <t>Global flat glass production [1000 m^2]</t>
  </si>
  <si>
    <t>https://unstats.un.org/unsd/industry/Docs/ICSY_2016_v1.pdf</t>
  </si>
  <si>
    <t>Estimated</t>
  </si>
  <si>
    <t>Target</t>
  </si>
  <si>
    <t>Type</t>
  </si>
  <si>
    <t>Value</t>
  </si>
  <si>
    <t>Soda (Na2O)</t>
  </si>
  <si>
    <t>Soda Ash</t>
  </si>
  <si>
    <t>FG Batch</t>
  </si>
  <si>
    <t>Batch preparation</t>
  </si>
  <si>
    <t>Limestone (CaCO3)</t>
  </si>
  <si>
    <t>Silica</t>
  </si>
  <si>
    <t>Silica (SiO2)</t>
  </si>
  <si>
    <t>Limestone</t>
  </si>
  <si>
    <t>Batch-to-Melt Yield</t>
  </si>
  <si>
    <t>CG Cullet</t>
  </si>
  <si>
    <t>CG Batch</t>
  </si>
  <si>
    <t>Cont Fabrication Yield Loss</t>
  </si>
  <si>
    <t>Flat Fabrication Yield Loss</t>
  </si>
  <si>
    <t>End-use CG Beverages</t>
  </si>
  <si>
    <t>End-use CG Food</t>
  </si>
  <si>
    <t>Int CG</t>
  </si>
  <si>
    <t>Melting</t>
  </si>
  <si>
    <t>End-use CG Other</t>
  </si>
  <si>
    <t>CG Process Emissions</t>
  </si>
  <si>
    <t>End-use FG Buildings</t>
  </si>
  <si>
    <t>Int FG</t>
  </si>
  <si>
    <t>End-use FG Automotive</t>
  </si>
  <si>
    <t>FG Process Emissions</t>
  </si>
  <si>
    <t>End-use FG Other FG</t>
  </si>
  <si>
    <t>Final CG</t>
  </si>
  <si>
    <t>Checking</t>
  </si>
  <si>
    <t>Global Cont Recycling Rate</t>
  </si>
  <si>
    <t>Final FG</t>
  </si>
  <si>
    <t>Global Cont Landfill Rate</t>
  </si>
  <si>
    <t>%Cullet in Batch</t>
  </si>
  <si>
    <t>Beverages</t>
  </si>
  <si>
    <t>End-Use</t>
  </si>
  <si>
    <t>Container</t>
  </si>
  <si>
    <t>Food</t>
  </si>
  <si>
    <t>Flat</t>
  </si>
  <si>
    <t>Other CG</t>
  </si>
  <si>
    <t>Buildings</t>
  </si>
  <si>
    <t>Automotive</t>
  </si>
  <si>
    <t>Other FG</t>
  </si>
  <si>
    <t>End-of-Life</t>
  </si>
  <si>
    <t>Landfill</t>
  </si>
  <si>
    <t>Table 15.6: https://www.sciencedirect.com/science/article/pii/B9780128150603000153</t>
  </si>
  <si>
    <t>Table 15.7: https://www.sciencedirect.com/science/article/pii/B9780128150603000153</t>
  </si>
  <si>
    <t>Table 15.1: https://www.sciencedirect.com/science/article/pii/B9780128150603000153</t>
  </si>
  <si>
    <t>Global container glass production [Mt]</t>
  </si>
  <si>
    <t>Table 11.1: https://www.sciencedirect.com/science/article/pii/B9780128150603000153</t>
  </si>
  <si>
    <t>Global container glass production (no USA) [M units]</t>
  </si>
  <si>
    <t>Germany container glass production [Mt]</t>
  </si>
  <si>
    <t>Poland container glass production [Mt]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</si>
</sst>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industry/Docs/ICSY_2016_v1.pdf" TargetMode="External"/><Relationship Id="rId2" Type="http://schemas.openxmlformats.org/officeDocument/2006/relationships/hyperlink" Target="https://unstats.un.org/unsd/industry/Docs/ICSY_2016_v1.pdf" TargetMode="External"/><Relationship Id="rId1" Type="http://schemas.openxmlformats.org/officeDocument/2006/relationships/hyperlink" Target="https://unstats.un.org/unsd/industry/Docs/ICSY_2016_v1.pdf" TargetMode="External"/><Relationship Id="rId6" Type="http://schemas.openxmlformats.org/officeDocument/2006/relationships/hyperlink" Target="https://unstats.un.org/unsd/industry/Docs/ICSY_2016_v1.pdf" TargetMode="External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ko.at/branchen/industrie/glasindustrie/statistical-report-glass-alliance-europe-2018-2019.pdf" TargetMode="External"/><Relationship Id="rId2" Type="http://schemas.openxmlformats.org/officeDocument/2006/relationships/hyperlink" Target="https://www.sciencedirect.com/science/article/pii/B9780128150603000153" TargetMode="External"/><Relationship Id="rId1" Type="http://schemas.openxmlformats.org/officeDocument/2006/relationships/hyperlink" Target="http://web.archive.org/web/20180408130538/http:/www.glassforeurope.com/en/industry/global-market-structure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4802-20F5-460E-AF3A-FC01A078C0A6}">
  <dimension ref="B2:D14"/>
  <sheetViews>
    <sheetView workbookViewId="0">
      <selection activeCell="L11" sqref="L11"/>
    </sheetView>
  </sheetViews>
  <sheetFormatPr defaultRowHeight="15" x14ac:dyDescent="0.25"/>
  <sheetData>
    <row r="2" spans="2:4" x14ac:dyDescent="0.25">
      <c r="B2" t="s">
        <v>2</v>
      </c>
    </row>
    <row r="3" spans="2:4" x14ac:dyDescent="0.25">
      <c r="B3" t="s">
        <v>0</v>
      </c>
    </row>
    <row r="4" spans="2:4" x14ac:dyDescent="0.25">
      <c r="B4" t="s">
        <v>1</v>
      </c>
    </row>
    <row r="5" spans="2:4" x14ac:dyDescent="0.25">
      <c r="B5" t="s">
        <v>3</v>
      </c>
      <c r="C5" t="s">
        <v>4</v>
      </c>
    </row>
    <row r="10" spans="2:4" x14ac:dyDescent="0.25">
      <c r="B10" t="s">
        <v>5</v>
      </c>
      <c r="C10">
        <v>4.45</v>
      </c>
      <c r="D10">
        <f>C10/$C$14</f>
        <v>0.16457100591715978</v>
      </c>
    </row>
    <row r="11" spans="2:4" x14ac:dyDescent="0.25">
      <c r="B11" t="s">
        <v>6</v>
      </c>
      <c r="C11">
        <v>16.89</v>
      </c>
      <c r="D11">
        <f t="shared" ref="D11:D12" si="0">C11/$C$14</f>
        <v>0.62463017751479299</v>
      </c>
    </row>
    <row r="12" spans="2:4" x14ac:dyDescent="0.25">
      <c r="B12" t="s">
        <v>7</v>
      </c>
      <c r="C12">
        <v>5.7</v>
      </c>
      <c r="D12">
        <f t="shared" si="0"/>
        <v>0.21079881656804736</v>
      </c>
    </row>
    <row r="14" spans="2:4" x14ac:dyDescent="0.25">
      <c r="B14" t="s">
        <v>8</v>
      </c>
      <c r="C14">
        <f>SUM(C10:C12)</f>
        <v>27.04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3CB7-39CB-488A-8708-1EAEF1D2FD9A}">
  <dimension ref="B2:E13"/>
  <sheetViews>
    <sheetView tabSelected="1" workbookViewId="0">
      <selection activeCell="L18" sqref="L18"/>
    </sheetView>
  </sheetViews>
  <sheetFormatPr defaultRowHeight="15" x14ac:dyDescent="0.25"/>
  <cols>
    <col min="2" max="2" width="48.5703125" customWidth="1"/>
  </cols>
  <sheetData>
    <row r="2" spans="2:5" x14ac:dyDescent="0.25">
      <c r="B2" t="s">
        <v>10</v>
      </c>
      <c r="C2" t="s">
        <v>9</v>
      </c>
      <c r="D2" t="s">
        <v>33</v>
      </c>
      <c r="E2" t="s">
        <v>11</v>
      </c>
    </row>
    <row r="3" spans="2:5" x14ac:dyDescent="0.25">
      <c r="B3" t="s">
        <v>78</v>
      </c>
      <c r="C3">
        <v>2014</v>
      </c>
      <c r="D3" s="2">
        <v>77</v>
      </c>
      <c r="E3" t="s">
        <v>77</v>
      </c>
    </row>
    <row r="4" spans="2:5" x14ac:dyDescent="0.25">
      <c r="B4" t="s">
        <v>78</v>
      </c>
      <c r="C4">
        <v>2007</v>
      </c>
      <c r="D4" s="2">
        <v>72</v>
      </c>
      <c r="E4" t="s">
        <v>79</v>
      </c>
    </row>
    <row r="5" spans="2:5" x14ac:dyDescent="0.25">
      <c r="B5" t="s">
        <v>80</v>
      </c>
      <c r="C5">
        <v>2007</v>
      </c>
      <c r="D5" s="2">
        <f>11129+906+68+98+238+1484+8+70+561+1097+857+2051+384+245+3157+5341+99+12058</f>
        <v>39851</v>
      </c>
      <c r="E5" s="1" t="s">
        <v>29</v>
      </c>
    </row>
    <row r="6" spans="2:5" x14ac:dyDescent="0.25">
      <c r="B6" t="s">
        <v>80</v>
      </c>
      <c r="C6">
        <v>2014</v>
      </c>
      <c r="D6" s="2">
        <f>11625+346+384+139+188+736+38+13+453+975+744+5240+4303+6104+244+13005+422</f>
        <v>44959</v>
      </c>
      <c r="E6" s="1" t="s">
        <v>29</v>
      </c>
    </row>
    <row r="7" spans="2:5" x14ac:dyDescent="0.25">
      <c r="B7" t="s">
        <v>78</v>
      </c>
      <c r="C7">
        <v>2014</v>
      </c>
      <c r="D7" s="2">
        <f>D6*(D4-(D8+D10))/D5+(D9+D11)</f>
        <v>80.700707635943886</v>
      </c>
      <c r="E7" t="s">
        <v>30</v>
      </c>
    </row>
    <row r="8" spans="2:5" x14ac:dyDescent="0.25">
      <c r="B8" t="s">
        <v>81</v>
      </c>
      <c r="C8">
        <v>2007</v>
      </c>
      <c r="D8">
        <v>4.2</v>
      </c>
      <c r="E8" s="1" t="s">
        <v>29</v>
      </c>
    </row>
    <row r="9" spans="2:5" x14ac:dyDescent="0.25">
      <c r="B9" t="s">
        <v>81</v>
      </c>
      <c r="C9">
        <v>2014</v>
      </c>
      <c r="D9">
        <v>4</v>
      </c>
      <c r="E9" s="1" t="s">
        <v>29</v>
      </c>
    </row>
    <row r="10" spans="2:5" x14ac:dyDescent="0.25">
      <c r="B10" t="s">
        <v>82</v>
      </c>
      <c r="C10">
        <v>2007</v>
      </c>
      <c r="D10">
        <v>0.7</v>
      </c>
      <c r="E10" s="1" t="s">
        <v>29</v>
      </c>
    </row>
    <row r="11" spans="2:5" x14ac:dyDescent="0.25">
      <c r="B11" t="s">
        <v>82</v>
      </c>
      <c r="C11">
        <v>2014</v>
      </c>
      <c r="D11">
        <v>1</v>
      </c>
      <c r="E11" s="1" t="s">
        <v>29</v>
      </c>
    </row>
    <row r="13" spans="2:5" x14ac:dyDescent="0.25">
      <c r="D13" s="2">
        <f>AVERAGE(D7,D3)</f>
        <v>78.85035381797195</v>
      </c>
    </row>
  </sheetData>
  <hyperlinks>
    <hyperlink ref="E5" r:id="rId1" xr:uid="{306924BD-E85B-4A88-A384-707049B2A3EC}"/>
    <hyperlink ref="E6" r:id="rId2" xr:uid="{5925F17D-8CC9-4944-BE99-10EEEC806448}"/>
    <hyperlink ref="E8" r:id="rId3" xr:uid="{A1F17A7C-1C37-4E3B-A971-FCA8A489739D}"/>
    <hyperlink ref="E9" r:id="rId4" xr:uid="{A6718065-E106-4F16-B3E5-C88FA39B9303}"/>
    <hyperlink ref="E10" r:id="rId5" xr:uid="{626111DC-866E-4C9E-BF85-345CDD0935B4}"/>
    <hyperlink ref="E11" r:id="rId6" xr:uid="{16EABF03-07F9-4B43-BFA9-EA4D469291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93BF-3E27-439B-9576-A211E3A0EC5A}">
  <dimension ref="B2:F19"/>
  <sheetViews>
    <sheetView workbookViewId="0">
      <selection activeCell="D20" sqref="D20"/>
    </sheetView>
  </sheetViews>
  <sheetFormatPr defaultRowHeight="15" x14ac:dyDescent="0.25"/>
  <cols>
    <col min="2" max="2" width="35.5703125" customWidth="1"/>
    <col min="4" max="4" width="11.5703125" bestFit="1" customWidth="1"/>
  </cols>
  <sheetData>
    <row r="2" spans="2:6" x14ac:dyDescent="0.25">
      <c r="B2" t="s">
        <v>10</v>
      </c>
      <c r="C2" t="s">
        <v>9</v>
      </c>
      <c r="D2" t="s">
        <v>33</v>
      </c>
      <c r="E2" t="s">
        <v>11</v>
      </c>
    </row>
    <row r="3" spans="2:6" x14ac:dyDescent="0.25">
      <c r="B3" t="s">
        <v>18</v>
      </c>
      <c r="C3">
        <v>2014</v>
      </c>
      <c r="D3" s="2">
        <v>65</v>
      </c>
      <c r="E3" t="s">
        <v>12</v>
      </c>
      <c r="F3" s="1" t="s">
        <v>13</v>
      </c>
    </row>
    <row r="4" spans="2:6" x14ac:dyDescent="0.25">
      <c r="B4" t="s">
        <v>18</v>
      </c>
      <c r="C4">
        <v>2015</v>
      </c>
      <c r="D4" s="2">
        <v>73.2</v>
      </c>
      <c r="E4" s="1" t="s">
        <v>14</v>
      </c>
    </row>
    <row r="5" spans="2:6" x14ac:dyDescent="0.25">
      <c r="B5" t="s">
        <v>18</v>
      </c>
      <c r="C5">
        <v>2006</v>
      </c>
      <c r="D5" s="2">
        <v>44</v>
      </c>
      <c r="E5" t="s">
        <v>15</v>
      </c>
    </row>
    <row r="6" spans="2:6" x14ac:dyDescent="0.25">
      <c r="B6" t="s">
        <v>19</v>
      </c>
      <c r="C6">
        <v>2014</v>
      </c>
      <c r="D6" s="2">
        <v>41.56</v>
      </c>
      <c r="E6" t="s">
        <v>16</v>
      </c>
    </row>
    <row r="7" spans="2:6" x14ac:dyDescent="0.25">
      <c r="B7" t="s">
        <v>20</v>
      </c>
      <c r="C7">
        <v>2014</v>
      </c>
      <c r="D7" s="2">
        <v>9.2799999999999994</v>
      </c>
      <c r="E7" t="s">
        <v>25</v>
      </c>
    </row>
    <row r="8" spans="2:6" x14ac:dyDescent="0.25">
      <c r="B8" t="s">
        <v>21</v>
      </c>
      <c r="C8">
        <v>2014</v>
      </c>
      <c r="D8" s="2">
        <v>3.53</v>
      </c>
      <c r="E8" s="3" t="s">
        <v>17</v>
      </c>
    </row>
    <row r="9" spans="2:6" x14ac:dyDescent="0.25">
      <c r="B9" t="s">
        <v>22</v>
      </c>
      <c r="C9">
        <v>2006</v>
      </c>
      <c r="D9" s="2">
        <v>36</v>
      </c>
      <c r="E9" t="s">
        <v>15</v>
      </c>
    </row>
    <row r="10" spans="2:6" x14ac:dyDescent="0.25">
      <c r="B10" t="s">
        <v>23</v>
      </c>
      <c r="C10">
        <v>2006</v>
      </c>
      <c r="D10" s="2">
        <v>22</v>
      </c>
      <c r="E10" t="s">
        <v>15</v>
      </c>
    </row>
    <row r="11" spans="2:6" x14ac:dyDescent="0.25">
      <c r="B11" t="s">
        <v>24</v>
      </c>
      <c r="C11">
        <v>2006</v>
      </c>
      <c r="D11" s="2">
        <v>14</v>
      </c>
      <c r="E11" t="s">
        <v>15</v>
      </c>
    </row>
    <row r="12" spans="2:6" x14ac:dyDescent="0.25">
      <c r="B12" t="s">
        <v>18</v>
      </c>
      <c r="C12">
        <v>2014</v>
      </c>
      <c r="D12" s="2">
        <f>SUM(D6:D8)*100/SUM(D9:D11)</f>
        <v>75.513888888888886</v>
      </c>
      <c r="E12" t="s">
        <v>30</v>
      </c>
    </row>
    <row r="13" spans="2:6" x14ac:dyDescent="0.25">
      <c r="B13" t="s">
        <v>18</v>
      </c>
      <c r="C13">
        <v>2010</v>
      </c>
      <c r="D13" s="2">
        <v>54</v>
      </c>
      <c r="E13" t="s">
        <v>26</v>
      </c>
    </row>
    <row r="14" spans="2:6" x14ac:dyDescent="0.25">
      <c r="B14" t="s">
        <v>20</v>
      </c>
      <c r="C14">
        <v>2018</v>
      </c>
      <c r="D14" s="2">
        <v>10.6</v>
      </c>
      <c r="E14" s="1" t="s">
        <v>27</v>
      </c>
    </row>
    <row r="15" spans="2:6" x14ac:dyDescent="0.25">
      <c r="B15" t="s">
        <v>28</v>
      </c>
      <c r="C15">
        <v>2010</v>
      </c>
      <c r="D15" s="2">
        <f>55102+39+48+2+121+137+4262+5363+15+14023+1993+6103</f>
        <v>87208</v>
      </c>
      <c r="E15" s="1" t="s">
        <v>29</v>
      </c>
    </row>
    <row r="16" spans="2:6" x14ac:dyDescent="0.25">
      <c r="B16" t="s">
        <v>28</v>
      </c>
      <c r="C16">
        <v>2014</v>
      </c>
      <c r="D16" s="2">
        <f>1333+78220+400+2+120+1+1974+413+2849+17754+16+164+2919+1599+8187+253</f>
        <v>116204</v>
      </c>
      <c r="E16" s="1" t="s">
        <v>29</v>
      </c>
    </row>
    <row r="17" spans="2:5" x14ac:dyDescent="0.25">
      <c r="B17" t="s">
        <v>18</v>
      </c>
      <c r="C17" s="4">
        <v>2014</v>
      </c>
      <c r="D17" s="2">
        <f>D16*D13/D15</f>
        <v>71.95459132189707</v>
      </c>
      <c r="E17" t="s">
        <v>30</v>
      </c>
    </row>
    <row r="19" spans="2:5" x14ac:dyDescent="0.25">
      <c r="D19" s="2">
        <f>AVERAGE(D12,D3,D17)</f>
        <v>70.822826736928661</v>
      </c>
    </row>
  </sheetData>
  <hyperlinks>
    <hyperlink ref="F3" r:id="rId1" display="http://web.archive.org/web/20180408130538/http:/www.glassforeurope.com/en/industry/global-market-structure.php" xr:uid="{2A72C794-E2FD-4434-821D-FD8D7E4C36EB}"/>
    <hyperlink ref="E4" r:id="rId2" xr:uid="{B37D2330-E30C-4D4F-8459-40F564DD648C}"/>
    <hyperlink ref="E14" r:id="rId3" display="https://www.wko.at/branchen/industrie/glasindustrie/statistical-report-glass-alliance-europe-2018-2019.pdf" xr:uid="{96C7B69E-FBAC-4E26-96D1-92166E0342CD}"/>
    <hyperlink ref="E15" r:id="rId4" xr:uid="{32D74C7B-5B1F-43DC-B2E8-4F8F23FCE507}"/>
    <hyperlink ref="E16" r:id="rId5" xr:uid="{7C4737CF-9FB0-4A9B-9CAA-A04516F9770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549B-C2AB-4D75-AB88-A04A3C1A4639}">
  <dimension ref="A1:H30"/>
  <sheetViews>
    <sheetView topLeftCell="A10" workbookViewId="0">
      <selection activeCell="D14" sqref="D14"/>
    </sheetView>
  </sheetViews>
  <sheetFormatPr defaultRowHeight="15" x14ac:dyDescent="0.25"/>
  <cols>
    <col min="1" max="1" width="13.85546875" customWidth="1"/>
    <col min="7" max="7" width="29.140625" customWidth="1"/>
  </cols>
  <sheetData>
    <row r="1" spans="1:8" x14ac:dyDescent="0.25">
      <c r="A1" t="s">
        <v>11</v>
      </c>
      <c r="B1" t="s">
        <v>31</v>
      </c>
      <c r="C1" t="s">
        <v>32</v>
      </c>
      <c r="D1" t="s">
        <v>33</v>
      </c>
      <c r="G1" t="s">
        <v>34</v>
      </c>
      <c r="H1" s="5">
        <v>0.22409999999999999</v>
      </c>
    </row>
    <row r="2" spans="1:8" x14ac:dyDescent="0.25">
      <c r="A2" t="s">
        <v>35</v>
      </c>
      <c r="B2" t="s">
        <v>36</v>
      </c>
      <c r="C2" t="s">
        <v>37</v>
      </c>
      <c r="D2" s="2">
        <f>((D14+D12))*H1</f>
        <v>18.776050481185038</v>
      </c>
      <c r="G2" t="s">
        <v>38</v>
      </c>
      <c r="H2" s="5">
        <v>0.14069999999999999</v>
      </c>
    </row>
    <row r="3" spans="1:8" x14ac:dyDescent="0.25">
      <c r="A3" t="s">
        <v>39</v>
      </c>
      <c r="B3" t="s">
        <v>36</v>
      </c>
      <c r="C3" t="s">
        <v>37</v>
      </c>
      <c r="D3" s="2">
        <f>((D14+D12))*H3</f>
        <v>53.219755759253616</v>
      </c>
      <c r="G3" t="s">
        <v>40</v>
      </c>
      <c r="H3" s="5">
        <v>0.63519999999999999</v>
      </c>
    </row>
    <row r="4" spans="1:8" x14ac:dyDescent="0.25">
      <c r="A4" t="s">
        <v>41</v>
      </c>
      <c r="B4" t="s">
        <v>36</v>
      </c>
      <c r="C4" t="s">
        <v>37</v>
      </c>
      <c r="D4" s="2">
        <f>((D14+D12))*H2</f>
        <v>11.788444010275478</v>
      </c>
      <c r="G4" t="s">
        <v>42</v>
      </c>
      <c r="H4" s="5">
        <v>0.84530000000000005</v>
      </c>
    </row>
    <row r="5" spans="1:8" x14ac:dyDescent="0.25">
      <c r="A5" t="s">
        <v>43</v>
      </c>
      <c r="B5" t="s">
        <v>44</v>
      </c>
      <c r="C5" t="s">
        <v>37</v>
      </c>
      <c r="D5" s="2">
        <f>SUM(D23:D25)</f>
        <v>27.597623836290182</v>
      </c>
      <c r="G5" t="s">
        <v>45</v>
      </c>
      <c r="H5" s="5">
        <v>0.1</v>
      </c>
    </row>
    <row r="6" spans="1:8" x14ac:dyDescent="0.25">
      <c r="A6" t="s">
        <v>35</v>
      </c>
      <c r="B6" t="s">
        <v>44</v>
      </c>
      <c r="C6" t="s">
        <v>37</v>
      </c>
      <c r="D6" s="2">
        <f>((D13+D10)-(D5))*H1</f>
        <v>13.58776385767761</v>
      </c>
      <c r="G6" t="s">
        <v>46</v>
      </c>
      <c r="H6" s="5">
        <v>0.15</v>
      </c>
    </row>
    <row r="7" spans="1:8" x14ac:dyDescent="0.25">
      <c r="A7" t="s">
        <v>39</v>
      </c>
      <c r="B7" t="s">
        <v>44</v>
      </c>
      <c r="C7" t="s">
        <v>37</v>
      </c>
      <c r="D7" s="2">
        <f>((D13+D10)-(D5))*H3</f>
        <v>38.513822411409272</v>
      </c>
      <c r="G7" t="s">
        <v>47</v>
      </c>
      <c r="H7" s="5">
        <v>0.75</v>
      </c>
    </row>
    <row r="8" spans="1:8" x14ac:dyDescent="0.25">
      <c r="A8" t="s">
        <v>41</v>
      </c>
      <c r="B8" t="s">
        <v>44</v>
      </c>
      <c r="C8" t="s">
        <v>37</v>
      </c>
      <c r="D8" s="2">
        <f>((D13+D10)-(D5))*H2</f>
        <v>8.5310056884214163</v>
      </c>
      <c r="G8" t="s">
        <v>48</v>
      </c>
      <c r="H8" s="5">
        <v>0.2</v>
      </c>
    </row>
    <row r="9" spans="1:8" x14ac:dyDescent="0.25">
      <c r="A9" t="s">
        <v>44</v>
      </c>
      <c r="B9" t="s">
        <v>49</v>
      </c>
      <c r="C9" t="s">
        <v>50</v>
      </c>
      <c r="D9" s="2">
        <f>D13/(1-H5)</f>
        <v>87.61150424219106</v>
      </c>
      <c r="G9" t="s">
        <v>51</v>
      </c>
      <c r="H9" s="5">
        <v>0.05</v>
      </c>
    </row>
    <row r="10" spans="1:8" x14ac:dyDescent="0.25">
      <c r="A10" t="s">
        <v>44</v>
      </c>
      <c r="B10" t="s">
        <v>52</v>
      </c>
      <c r="C10" t="s">
        <v>50</v>
      </c>
      <c r="D10" s="2">
        <f>((D13-D5)/H4)*(1-H4)</f>
        <v>9.3798619758265307</v>
      </c>
      <c r="G10" t="s">
        <v>53</v>
      </c>
      <c r="H10" s="5">
        <v>0.83</v>
      </c>
    </row>
    <row r="11" spans="1:8" x14ac:dyDescent="0.25">
      <c r="A11" t="s">
        <v>36</v>
      </c>
      <c r="B11" t="s">
        <v>54</v>
      </c>
      <c r="C11" t="s">
        <v>50</v>
      </c>
      <c r="D11" s="2">
        <f>D14/(1-H6)</f>
        <v>83.320972631680775</v>
      </c>
      <c r="G11" t="s">
        <v>55</v>
      </c>
      <c r="H11" s="5">
        <v>0.06</v>
      </c>
    </row>
    <row r="12" spans="1:8" x14ac:dyDescent="0.25">
      <c r="A12" t="s">
        <v>36</v>
      </c>
      <c r="B12" t="s">
        <v>56</v>
      </c>
      <c r="C12" t="s">
        <v>50</v>
      </c>
      <c r="D12" s="2">
        <f>(D14/H4)*(1-H4)</f>
        <v>12.961423513785473</v>
      </c>
      <c r="G12" t="s">
        <v>57</v>
      </c>
      <c r="H12" s="5">
        <v>0.11</v>
      </c>
    </row>
    <row r="13" spans="1:8" x14ac:dyDescent="0.25">
      <c r="A13" t="s">
        <v>49</v>
      </c>
      <c r="B13" t="s">
        <v>58</v>
      </c>
      <c r="C13" t="s">
        <v>59</v>
      </c>
      <c r="D13" s="2">
        <f>'Container glass'!D13</f>
        <v>78.85035381797195</v>
      </c>
      <c r="G13" t="s">
        <v>60</v>
      </c>
      <c r="H13" s="6">
        <v>0.35</v>
      </c>
    </row>
    <row r="14" spans="1:8" x14ac:dyDescent="0.25">
      <c r="A14" t="s">
        <v>54</v>
      </c>
      <c r="B14" t="s">
        <v>61</v>
      </c>
      <c r="C14" t="s">
        <v>59</v>
      </c>
      <c r="D14" s="2">
        <f>'Flat glass'!D19</f>
        <v>70.822826736928661</v>
      </c>
      <c r="G14" t="s">
        <v>62</v>
      </c>
      <c r="H14" s="6">
        <v>0.65</v>
      </c>
    </row>
    <row r="15" spans="1:8" x14ac:dyDescent="0.25">
      <c r="A15" t="s">
        <v>49</v>
      </c>
      <c r="B15" t="s">
        <v>44</v>
      </c>
      <c r="C15" t="s">
        <v>59</v>
      </c>
      <c r="D15" s="2">
        <f>(D13/(1-H5))-D13</f>
        <v>8.7611504242191103</v>
      </c>
    </row>
    <row r="16" spans="1:8" x14ac:dyDescent="0.25">
      <c r="A16" t="s">
        <v>54</v>
      </c>
      <c r="B16" t="s">
        <v>36</v>
      </c>
      <c r="C16" t="s">
        <v>59</v>
      </c>
      <c r="D16" s="2">
        <f>(D14/(1-H6))-D14</f>
        <v>12.498145894752113</v>
      </c>
      <c r="G16" t="s">
        <v>63</v>
      </c>
    </row>
    <row r="17" spans="1:8" x14ac:dyDescent="0.25">
      <c r="A17" t="s">
        <v>58</v>
      </c>
      <c r="B17" t="s">
        <v>64</v>
      </c>
      <c r="C17" t="s">
        <v>65</v>
      </c>
      <c r="D17" s="2">
        <f>D13*H7</f>
        <v>59.137765363478962</v>
      </c>
      <c r="G17" t="s">
        <v>66</v>
      </c>
      <c r="H17" s="5">
        <v>0.37490000000000001</v>
      </c>
    </row>
    <row r="18" spans="1:8" x14ac:dyDescent="0.25">
      <c r="A18" t="s">
        <v>58</v>
      </c>
      <c r="B18" t="s">
        <v>67</v>
      </c>
      <c r="C18" t="s">
        <v>65</v>
      </c>
      <c r="D18" s="2">
        <f>D13*H8</f>
        <v>15.77007076359439</v>
      </c>
      <c r="G18" t="s">
        <v>68</v>
      </c>
      <c r="H18" s="5">
        <v>0.1298</v>
      </c>
    </row>
    <row r="19" spans="1:8" x14ac:dyDescent="0.25">
      <c r="A19" t="s">
        <v>58</v>
      </c>
      <c r="B19" t="s">
        <v>69</v>
      </c>
      <c r="C19" t="s">
        <v>65</v>
      </c>
      <c r="D19" s="2">
        <f>D13*H9</f>
        <v>3.9425176908985975</v>
      </c>
    </row>
    <row r="20" spans="1:8" x14ac:dyDescent="0.25">
      <c r="A20" t="s">
        <v>61</v>
      </c>
      <c r="B20" t="s">
        <v>70</v>
      </c>
      <c r="C20" t="s">
        <v>65</v>
      </c>
      <c r="D20" s="2">
        <f>D14*H10</f>
        <v>58.782946191650787</v>
      </c>
    </row>
    <row r="21" spans="1:8" x14ac:dyDescent="0.25">
      <c r="A21" t="s">
        <v>61</v>
      </c>
      <c r="B21" t="s">
        <v>71</v>
      </c>
      <c r="C21" t="s">
        <v>65</v>
      </c>
      <c r="D21" s="2">
        <f>D14*H11</f>
        <v>4.2493696042157199</v>
      </c>
    </row>
    <row r="22" spans="1:8" x14ac:dyDescent="0.25">
      <c r="A22" t="s">
        <v>61</v>
      </c>
      <c r="B22" t="s">
        <v>72</v>
      </c>
      <c r="C22" t="s">
        <v>65</v>
      </c>
      <c r="D22" s="2">
        <f>D14*H12</f>
        <v>7.7905109410621529</v>
      </c>
    </row>
    <row r="23" spans="1:8" x14ac:dyDescent="0.25">
      <c r="A23" t="s">
        <v>64</v>
      </c>
      <c r="B23" t="s">
        <v>43</v>
      </c>
      <c r="C23" t="s">
        <v>73</v>
      </c>
      <c r="D23" s="2">
        <f>D17*H13</f>
        <v>20.698217877217637</v>
      </c>
    </row>
    <row r="24" spans="1:8" x14ac:dyDescent="0.25">
      <c r="A24" t="s">
        <v>67</v>
      </c>
      <c r="B24" t="s">
        <v>43</v>
      </c>
      <c r="C24" t="s">
        <v>73</v>
      </c>
      <c r="D24" s="2">
        <f>D18*H13</f>
        <v>5.5195247672580363</v>
      </c>
    </row>
    <row r="25" spans="1:8" x14ac:dyDescent="0.25">
      <c r="A25" t="s">
        <v>69</v>
      </c>
      <c r="B25" t="s">
        <v>43</v>
      </c>
      <c r="C25" t="s">
        <v>73</v>
      </c>
      <c r="D25" s="2">
        <f>D19*H13</f>
        <v>1.3798811918145091</v>
      </c>
    </row>
    <row r="26" spans="1:8" x14ac:dyDescent="0.25">
      <c r="A26" t="s">
        <v>64</v>
      </c>
      <c r="B26" t="s">
        <v>74</v>
      </c>
      <c r="C26" t="s">
        <v>73</v>
      </c>
      <c r="D26" s="2">
        <f>D17*H14</f>
        <v>38.439547486261326</v>
      </c>
    </row>
    <row r="27" spans="1:8" x14ac:dyDescent="0.25">
      <c r="A27" t="s">
        <v>67</v>
      </c>
      <c r="B27" t="s">
        <v>74</v>
      </c>
      <c r="C27" t="s">
        <v>73</v>
      </c>
      <c r="D27" s="2">
        <f>D18*H14</f>
        <v>10.250545996336355</v>
      </c>
    </row>
    <row r="28" spans="1:8" x14ac:dyDescent="0.25">
      <c r="A28" t="s">
        <v>69</v>
      </c>
      <c r="B28" t="s">
        <v>74</v>
      </c>
      <c r="C28" t="s">
        <v>73</v>
      </c>
      <c r="D28" s="2">
        <f>D19*H14</f>
        <v>2.5626364990840886</v>
      </c>
    </row>
    <row r="29" spans="1:8" x14ac:dyDescent="0.25">
      <c r="A29" t="s">
        <v>70</v>
      </c>
      <c r="B29" t="s">
        <v>74</v>
      </c>
      <c r="C29" t="s">
        <v>73</v>
      </c>
      <c r="D29">
        <f>4.3+2.7+12.5+0.4+0.4+0.1</f>
        <v>20.399999999999999</v>
      </c>
      <c r="E29" t="s">
        <v>75</v>
      </c>
    </row>
    <row r="30" spans="1:8" x14ac:dyDescent="0.25">
      <c r="A30" t="s">
        <v>71</v>
      </c>
      <c r="B30" t="s">
        <v>74</v>
      </c>
      <c r="C30" t="s">
        <v>73</v>
      </c>
      <c r="D30" s="2">
        <f>(0.15+0.25+0.08+0.1)*100/(15+16+16+28)</f>
        <v>0.77333333333333343</v>
      </c>
      <c r="E3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Container glass</vt:lpstr>
      <vt:lpstr>Flat glass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2020-07-02T12:00:54Z</dcterms:created>
  <dcterms:modified xsi:type="dcterms:W3CDTF">2020-07-03T00:21:34Z</dcterms:modified>
</cp:coreProperties>
</file>