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5576"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U16" i="29" s="1"/>
  <c r="T42" i="29"/>
  <c r="S42" i="29"/>
  <c r="Q42" i="29"/>
  <c r="Q16" i="29" s="1"/>
  <c r="P42" i="29"/>
  <c r="O42" i="29"/>
  <c r="M42" i="29"/>
  <c r="M16" i="29" s="1"/>
  <c r="L42" i="29"/>
  <c r="K42" i="29"/>
  <c r="I42" i="29"/>
  <c r="H42" i="29"/>
  <c r="G42" i="29"/>
  <c r="E42" i="29"/>
  <c r="D42" i="29"/>
  <c r="C42" i="29"/>
  <c r="AK41" i="29"/>
  <c r="AK15" i="29" s="1"/>
  <c r="AK17" i="29" s="1"/>
  <c r="AK27" i="29" s="1"/>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AL21" i="29"/>
  <c r="Z21" i="29"/>
  <c r="Z22" i="29" s="1"/>
  <c r="V21" i="29"/>
  <c r="V22" i="29" s="1"/>
  <c r="R21" i="29"/>
  <c r="R22" i="29" s="1"/>
  <c r="N21" i="29"/>
  <c r="N22" i="29" s="1"/>
  <c r="J21" i="29"/>
  <c r="J22" i="29" s="1"/>
  <c r="F21" i="29"/>
  <c r="F22" i="29" s="1"/>
  <c r="AK19" i="29"/>
  <c r="AJ19" i="29"/>
  <c r="AI19" i="29"/>
  <c r="AL19" i="29" s="1"/>
  <c r="Y19" i="29"/>
  <c r="X19" i="29"/>
  <c r="W19" i="29"/>
  <c r="Z19" i="29" s="1"/>
  <c r="T19" i="29"/>
  <c r="S19" i="29"/>
  <c r="P19" i="29"/>
  <c r="O19" i="29"/>
  <c r="M19" i="29"/>
  <c r="L19" i="29"/>
  <c r="K19" i="29"/>
  <c r="H19" i="29"/>
  <c r="G19" i="29"/>
  <c r="D19" i="29"/>
  <c r="C19" i="29"/>
  <c r="AL16" i="29"/>
  <c r="AJ16" i="29"/>
  <c r="AI16" i="29"/>
  <c r="Y16" i="29"/>
  <c r="X16" i="29"/>
  <c r="W16" i="29"/>
  <c r="T16" i="29"/>
  <c r="S16" i="29"/>
  <c r="P16" i="29"/>
  <c r="O16" i="29"/>
  <c r="L16" i="29"/>
  <c r="K16" i="29"/>
  <c r="I16" i="29"/>
  <c r="H16" i="29"/>
  <c r="G16" i="29"/>
  <c r="E16" i="29"/>
  <c r="D16" i="29"/>
  <c r="C16" i="29"/>
  <c r="AL15" i="29"/>
  <c r="AL17" i="29" s="1"/>
  <c r="AJ15" i="29"/>
  <c r="AJ17" i="29" s="1"/>
  <c r="AI15" i="29"/>
  <c r="AI17" i="29" s="1"/>
  <c r="X15" i="29"/>
  <c r="X17" i="29" s="1"/>
  <c r="X27" i="29" s="1"/>
  <c r="W15" i="29"/>
  <c r="T15" i="29"/>
  <c r="S15" i="29"/>
  <c r="P15" i="29"/>
  <c r="O15" i="29"/>
  <c r="L15" i="29"/>
  <c r="L17" i="29" s="1"/>
  <c r="K15" i="29"/>
  <c r="K17" i="29" s="1"/>
  <c r="H15" i="29"/>
  <c r="G15" i="29"/>
  <c r="D15" i="29"/>
  <c r="C15" i="29"/>
  <c r="J11" i="29"/>
  <c r="I11" i="29"/>
  <c r="H11" i="29"/>
  <c r="G11" i="29"/>
  <c r="E11" i="29"/>
  <c r="F11" i="29" s="1"/>
  <c r="D11" i="29"/>
  <c r="C11" i="29"/>
  <c r="I10" i="29"/>
  <c r="H10" i="29"/>
  <c r="G10" i="29"/>
  <c r="E10" i="29"/>
  <c r="D10" i="29"/>
  <c r="C10" i="29"/>
  <c r="E9" i="29"/>
  <c r="D9" i="29"/>
  <c r="C9" i="29"/>
  <c r="E8" i="29"/>
  <c r="F8" i="29" s="1"/>
  <c r="D8" i="29"/>
  <c r="C8" i="29"/>
  <c r="AL7" i="29"/>
  <c r="AK7" i="29"/>
  <c r="AJ7" i="29"/>
  <c r="AI7" i="29"/>
  <c r="AI13" i="29" s="1"/>
  <c r="Y7" i="29"/>
  <c r="X7" i="29"/>
  <c r="W7" i="29"/>
  <c r="U7" i="29"/>
  <c r="V7" i="29" s="1"/>
  <c r="T7" i="29"/>
  <c r="S7" i="29"/>
  <c r="Q7" i="29"/>
  <c r="P7" i="29"/>
  <c r="O7" i="29"/>
  <c r="M7" i="29"/>
  <c r="L7" i="29"/>
  <c r="K7" i="29"/>
  <c r="I7" i="29"/>
  <c r="H7" i="29"/>
  <c r="G7" i="29"/>
  <c r="E7" i="29"/>
  <c r="D7" i="29"/>
  <c r="C7" i="29"/>
  <c r="AJ6" i="29"/>
  <c r="AJ13" i="29" s="1"/>
  <c r="AI6" i="29"/>
  <c r="X6" i="29"/>
  <c r="W6" i="29"/>
  <c r="T6" i="29"/>
  <c r="S6" i="29"/>
  <c r="P6" i="29"/>
  <c r="O6" i="29"/>
  <c r="L6" i="29"/>
  <c r="L12" i="29" s="1"/>
  <c r="K6" i="29"/>
  <c r="H6" i="29"/>
  <c r="G6" i="29"/>
  <c r="D6" i="29"/>
  <c r="C6" i="29"/>
  <c r="AJ5" i="29"/>
  <c r="AI5" i="29"/>
  <c r="X5" i="29"/>
  <c r="W5" i="29"/>
  <c r="T5" i="29"/>
  <c r="S5" i="29"/>
  <c r="P5" i="29"/>
  <c r="O5" i="29"/>
  <c r="L5" i="29"/>
  <c r="K5" i="29"/>
  <c r="H5" i="29"/>
  <c r="G5" i="29"/>
  <c r="D5" i="29"/>
  <c r="C5" i="29"/>
  <c r="AS7" i="27"/>
  <c r="AR7" i="27"/>
  <c r="AR4" i="27" s="1"/>
  <c r="AQ7" i="27"/>
  <c r="AQ4" i="27" s="1"/>
  <c r="AP7" i="27"/>
  <c r="AP4" i="27" s="1"/>
  <c r="AO7" i="27"/>
  <c r="AN7" i="27"/>
  <c r="AM7" i="27"/>
  <c r="AL7" i="27"/>
  <c r="AL4" i="27" s="1"/>
  <c r="AA7" i="27"/>
  <c r="Z7" i="27"/>
  <c r="Z4" i="27" s="1"/>
  <c r="Y7" i="27"/>
  <c r="Y4" i="27" s="1"/>
  <c r="X7" i="27"/>
  <c r="X4" i="27" s="1"/>
  <c r="W7" i="27"/>
  <c r="W4" i="27" s="1"/>
  <c r="V7" i="27"/>
  <c r="V4" i="27" s="1"/>
  <c r="U7" i="27"/>
  <c r="U4" i="27" s="1"/>
  <c r="T7" i="27"/>
  <c r="T4" i="27" s="1"/>
  <c r="S7" i="27"/>
  <c r="S4" i="27" s="1"/>
  <c r="R7" i="27"/>
  <c r="R4" i="27" s="1"/>
  <c r="Q7" i="27"/>
  <c r="Q4" i="27" s="1"/>
  <c r="P7" i="27"/>
  <c r="P4" i="27" s="1"/>
  <c r="O7" i="27"/>
  <c r="O4" i="27" s="1"/>
  <c r="N7" i="27"/>
  <c r="N4" i="27" s="1"/>
  <c r="M7" i="27"/>
  <c r="M4" i="27" s="1"/>
  <c r="L7" i="27"/>
  <c r="L4" i="27" s="1"/>
  <c r="K7" i="27"/>
  <c r="K4" i="27" s="1"/>
  <c r="J7" i="27"/>
  <c r="J4" i="27" s="1"/>
  <c r="I7" i="27"/>
  <c r="I4" i="27" s="1"/>
  <c r="H7" i="27"/>
  <c r="H4" i="27" s="1"/>
  <c r="G7" i="27"/>
  <c r="G4" i="27" s="1"/>
  <c r="F7" i="27"/>
  <c r="F4" i="27" s="1"/>
  <c r="E7" i="27"/>
  <c r="E4" i="27" s="1"/>
  <c r="D7" i="27"/>
  <c r="D4" i="27" s="1"/>
  <c r="AS6" i="27"/>
  <c r="AS3" i="27" s="1"/>
  <c r="AR6" i="27"/>
  <c r="AR3" i="27" s="1"/>
  <c r="AQ6" i="27"/>
  <c r="AQ3" i="27" s="1"/>
  <c r="AP6" i="27"/>
  <c r="AP3" i="27" s="1"/>
  <c r="AO6" i="27"/>
  <c r="AN6" i="27"/>
  <c r="AM6" i="27"/>
  <c r="AL6" i="27"/>
  <c r="AL3" i="27" s="1"/>
  <c r="AA6" i="27"/>
  <c r="AA3" i="27" s="1"/>
  <c r="Z6" i="27"/>
  <c r="Z3" i="27" s="1"/>
  <c r="Y6" i="27"/>
  <c r="Y3" i="27" s="1"/>
  <c r="X6" i="27"/>
  <c r="X3" i="27" s="1"/>
  <c r="W6" i="27"/>
  <c r="W3" i="27" s="1"/>
  <c r="V6" i="27"/>
  <c r="V3" i="27" s="1"/>
  <c r="U6" i="27"/>
  <c r="U3" i="27" s="1"/>
  <c r="T6" i="27"/>
  <c r="T3" i="27"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S4" i="27"/>
  <c r="AO4" i="27"/>
  <c r="AN4" i="27"/>
  <c r="AM4" i="27"/>
  <c r="AA4" i="27"/>
  <c r="AO3" i="27"/>
  <c r="AN3" i="27"/>
  <c r="AM3" i="27"/>
  <c r="AK6" i="29" s="1"/>
  <c r="AK13" i="29" s="1"/>
  <c r="AS2" i="27"/>
  <c r="AR2" i="27"/>
  <c r="AQ2" i="27"/>
  <c r="AP2" i="27"/>
  <c r="AO2" i="27"/>
  <c r="AN2" i="27"/>
  <c r="AM2" i="27"/>
  <c r="AL2" i="27"/>
  <c r="AA2" i="27"/>
  <c r="Z2" i="27"/>
  <c r="Y2" i="27"/>
  <c r="X2" i="27"/>
  <c r="W2" i="27"/>
  <c r="V2" i="27"/>
  <c r="U2" i="27"/>
  <c r="T2" i="27"/>
  <c r="Q15" i="29" s="1"/>
  <c r="S2" i="27"/>
  <c r="R2" i="27"/>
  <c r="Q2" i="27"/>
  <c r="P2" i="27"/>
  <c r="O2" i="27"/>
  <c r="N2" i="27"/>
  <c r="M2" i="27"/>
  <c r="L2" i="27"/>
  <c r="K2" i="27"/>
  <c r="J2" i="27"/>
  <c r="I2" i="27"/>
  <c r="H2" i="27"/>
  <c r="G2" i="27"/>
  <c r="F2" i="27"/>
  <c r="E2" i="27"/>
  <c r="D2" i="27"/>
  <c r="U15" i="29" l="1"/>
  <c r="N19" i="29"/>
  <c r="W17" i="29"/>
  <c r="W27" i="29" s="1"/>
  <c r="Z16" i="29"/>
  <c r="V16" i="29"/>
  <c r="J16" i="29"/>
  <c r="F16" i="29"/>
  <c r="J10" i="29"/>
  <c r="F10" i="29"/>
  <c r="F9" i="29"/>
  <c r="X13" i="29"/>
  <c r="W13" i="29"/>
  <c r="Z7" i="29"/>
  <c r="R7" i="29"/>
  <c r="N7" i="29"/>
  <c r="J7" i="29"/>
  <c r="F7" i="29"/>
  <c r="K12" i="29"/>
  <c r="Q6" i="29"/>
  <c r="R6" i="29" s="1"/>
  <c r="Y6" i="29"/>
  <c r="U6" i="29"/>
  <c r="I6" i="29"/>
  <c r="J6" i="29" s="1"/>
  <c r="E6" i="29"/>
  <c r="F6" i="29" s="1"/>
  <c r="Y13" i="29"/>
  <c r="R16" i="29"/>
  <c r="O13" i="29" s="1"/>
  <c r="N16" i="29"/>
  <c r="R15" i="29"/>
  <c r="AL34" i="29"/>
  <c r="AL27" i="29"/>
  <c r="AL33" i="29"/>
  <c r="AL23" i="29"/>
  <c r="Z33" i="29"/>
  <c r="Z23" i="29"/>
  <c r="K26" i="29"/>
  <c r="AI27" i="29"/>
  <c r="M15" i="29"/>
  <c r="AL6" i="29"/>
  <c r="AL13" i="29" s="1"/>
  <c r="I15" i="29"/>
  <c r="Y15" i="29"/>
  <c r="M6" i="29"/>
  <c r="Z6" i="29"/>
  <c r="V15" i="29"/>
  <c r="E15" i="29"/>
  <c r="F15" i="29" s="1"/>
  <c r="V6" i="29"/>
  <c r="L26" i="29"/>
  <c r="AJ27" i="29"/>
  <c r="N33" i="29" l="1"/>
  <c r="P13" i="29"/>
  <c r="R17" i="29"/>
  <c r="Q17" i="29"/>
  <c r="Q27" i="29" s="1"/>
  <c r="O17" i="29"/>
  <c r="Z13" i="29"/>
  <c r="Q13" i="29"/>
  <c r="U13" i="29"/>
  <c r="T17" i="29"/>
  <c r="T27" i="29" s="1"/>
  <c r="P17" i="29"/>
  <c r="P27" i="29" s="1"/>
  <c r="Q19" i="29"/>
  <c r="R19" i="29" s="1"/>
  <c r="R33" i="29" s="1"/>
  <c r="U17" i="29"/>
  <c r="U27" i="29" s="1"/>
  <c r="S13" i="29"/>
  <c r="S17" i="29"/>
  <c r="C12" i="29"/>
  <c r="E19" i="29"/>
  <c r="F19" i="29" s="1"/>
  <c r="O27" i="29"/>
  <c r="T13" i="29"/>
  <c r="M12" i="29"/>
  <c r="N12" i="29" s="1"/>
  <c r="N6" i="29"/>
  <c r="M17" i="29"/>
  <c r="N15" i="29"/>
  <c r="N17" i="29" s="1"/>
  <c r="E12" i="29"/>
  <c r="AL20" i="29"/>
  <c r="F17" i="29"/>
  <c r="D17" i="29"/>
  <c r="Y17" i="29"/>
  <c r="Z15" i="29"/>
  <c r="Z17" i="29" s="1"/>
  <c r="E17" i="29"/>
  <c r="V17" i="29"/>
  <c r="D12" i="29"/>
  <c r="J15" i="29"/>
  <c r="I17" i="29" s="1"/>
  <c r="U19" i="29"/>
  <c r="V19" i="29" s="1"/>
  <c r="C17" i="29"/>
  <c r="AL28" i="29"/>
  <c r="AI35" i="29" s="1"/>
  <c r="AL29" i="29"/>
  <c r="AL32" i="29" s="1"/>
  <c r="V13" i="29" l="1"/>
  <c r="R13" i="29"/>
  <c r="R27" i="29"/>
  <c r="R29" i="29" s="1"/>
  <c r="R32" i="29" s="1"/>
  <c r="R34" i="29"/>
  <c r="R23" i="29"/>
  <c r="S27" i="29"/>
  <c r="V20" i="29" s="1"/>
  <c r="R20" i="29"/>
  <c r="AI37" i="29"/>
  <c r="AI38" i="29"/>
  <c r="E26" i="29"/>
  <c r="I19" i="29"/>
  <c r="J19" i="29" s="1"/>
  <c r="H12" i="29"/>
  <c r="F33" i="29"/>
  <c r="F23" i="29"/>
  <c r="F26" i="29"/>
  <c r="F34" i="29"/>
  <c r="F12" i="29"/>
  <c r="C26" i="29"/>
  <c r="J17" i="29"/>
  <c r="G17" i="29"/>
  <c r="AK35" i="29"/>
  <c r="AJ35" i="29"/>
  <c r="Z34" i="29"/>
  <c r="Z27" i="29"/>
  <c r="D26" i="29"/>
  <c r="N26" i="29"/>
  <c r="Y27" i="29"/>
  <c r="Z20" i="29" s="1"/>
  <c r="I12" i="29"/>
  <c r="I26" i="29" s="1"/>
  <c r="M26" i="29"/>
  <c r="N20" i="29" s="1"/>
  <c r="N23" i="29" s="1"/>
  <c r="H17" i="29"/>
  <c r="V33" i="29"/>
  <c r="V23" i="29"/>
  <c r="V34" i="29"/>
  <c r="V27" i="29"/>
  <c r="G12" i="29"/>
  <c r="R28" i="29" l="1"/>
  <c r="O35" i="29" s="1"/>
  <c r="O38" i="29" s="1"/>
  <c r="F20" i="29"/>
  <c r="V28" i="29"/>
  <c r="V29" i="29"/>
  <c r="V32" i="29" s="1"/>
  <c r="N28" i="29"/>
  <c r="N29" i="29" s="1"/>
  <c r="N32" i="29" s="1"/>
  <c r="N34" i="29" s="1"/>
  <c r="J12" i="29"/>
  <c r="J26" i="29" s="1"/>
  <c r="G26" i="29"/>
  <c r="AJ37" i="29"/>
  <c r="AJ38" i="29"/>
  <c r="AL38" i="29" s="1"/>
  <c r="H26" i="29"/>
  <c r="Z28" i="29"/>
  <c r="Z29" i="29"/>
  <c r="Z32" i="29" s="1"/>
  <c r="AK37" i="29"/>
  <c r="AK38" i="29"/>
  <c r="F29" i="29"/>
  <c r="F32" i="29" s="1"/>
  <c r="F28" i="29"/>
  <c r="J33" i="29"/>
  <c r="Q35" i="29" l="1"/>
  <c r="Q37" i="29" s="1"/>
  <c r="P35" i="29"/>
  <c r="P38" i="29" s="1"/>
  <c r="O37" i="29"/>
  <c r="J20" i="29"/>
  <c r="J23" i="29" s="1"/>
  <c r="J28" i="29" s="1"/>
  <c r="J29" i="29" s="1"/>
  <c r="J32" i="29" s="1"/>
  <c r="J34" i="29" s="1"/>
  <c r="E35" i="29"/>
  <c r="C35" i="29"/>
  <c r="D35" i="29"/>
  <c r="K35" i="29"/>
  <c r="L35" i="29"/>
  <c r="M35" i="29"/>
  <c r="U35" i="29"/>
  <c r="S35" i="29"/>
  <c r="T35" i="29"/>
  <c r="X35" i="29"/>
  <c r="W35" i="29"/>
  <c r="Y35" i="29"/>
  <c r="Q38" i="29"/>
  <c r="R38" i="29" l="1"/>
  <c r="P37" i="29"/>
  <c r="I35" i="29"/>
  <c r="H35" i="29"/>
  <c r="G35" i="29"/>
  <c r="D38" i="29"/>
  <c r="D37" i="29"/>
  <c r="T38" i="29"/>
  <c r="T37" i="29"/>
  <c r="U38" i="29"/>
  <c r="U37" i="29"/>
  <c r="K37" i="29"/>
  <c r="K38" i="29" s="1"/>
  <c r="Y38" i="29"/>
  <c r="Y37" i="29"/>
  <c r="W37" i="29"/>
  <c r="W38" i="29"/>
  <c r="M37" i="29"/>
  <c r="C37" i="29"/>
  <c r="C38" i="29"/>
  <c r="X37" i="29"/>
  <c r="X38" i="29"/>
  <c r="S37" i="29"/>
  <c r="S38" i="29"/>
  <c r="L37" i="29"/>
  <c r="E38" i="29"/>
  <c r="E37" i="29"/>
  <c r="L38" i="29" l="1"/>
  <c r="M38" i="29" s="1"/>
  <c r="N38" i="29" s="1"/>
  <c r="Z38" i="29"/>
  <c r="V38" i="29"/>
  <c r="F38" i="29"/>
  <c r="G37" i="29"/>
  <c r="G38" i="29" s="1"/>
  <c r="H37" i="29"/>
  <c r="I37" i="29"/>
  <c r="H38" i="29" l="1"/>
  <c r="I38" i="29" s="1"/>
  <c r="J38" i="29" s="1"/>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<sst xmlns="http://schemas.openxmlformats.org/spreadsheetml/2006/main" count="1107" uniqueCount="864">
  <si>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</si>
  <si>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</si>
  <si>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</si>
  <si>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</si>
  <si>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</si>
  <si>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</si>
  <si>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</si>
  <si>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</si>
  <si>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</si>
  <si>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</si>
  <si>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</si>
  <si>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</si>
  <si>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</si>
  <si>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</si>
  <si>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</si>
  <si>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</si>
  <si>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</si>
  <si>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</si>
  <si>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</si>
  <si>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</si>
  <si>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</si>
  <si>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</si>
  <si>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</si>
  <si>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</si>
  <si>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</si>
  <si>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</si>
  <si>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</si>
  <si>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</si>
  <si>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</si>
  <si>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</si>
  <si>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</si>
  <si>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</si>
  <si>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</si>
  <si>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</si>
  <si>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</si>
  <si>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</si>
  <si>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</si>
  <si>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</si>
  <si>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</si>
  <si>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</si>
  <si>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</si>
  <si>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</si>
  <si>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</si>
  <si>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</si>
  <si>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</si>
  <si>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</si>
  <si>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</si>
  <si>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</si>
  <si>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</si>
  <si>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</si>
  <si>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</si>
  <si>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</si>
  <si>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</si>
  <si>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</si>
  <si>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</si>
  <si>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</si>
  <si>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</si>
  <si>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</si>
  <si>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</si>
  <si>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</si>
  <si>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</si>
  <si>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</si>
  <si>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</si>
  <si>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</si>
  <si>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</si>
  <si>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</si>
  <si>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</si>
  <si>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</si>
  <si>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</si>
  <si>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</si>
  <si>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</si>
  <si>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</si>
  <si>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</si>
  <si>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</si>
  <si>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</si>
  <si>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</si>
  <si>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</si>
  <si>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</si>
  <si>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</si>
  <si>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</si>
  <si>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</si>
  <si>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</si>
  <si>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</si>
  <si>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</si>
  <si>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</si>
  <si>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</si>
  <si>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</si>
  <si>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</si>
  <si>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</si>
  <si>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</si>
  <si>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</si>
  <si>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</si>
  <si>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</si>
  <si>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</si>
  <si>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</si>
  <si>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</si>
  <si>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</si>
  <si>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</si>
  <si>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</si>
  <si>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</si>
  <si>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</si>
  <si>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</si>
  <si>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</si>
  <si>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</si>
  <si>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</si>
  <si>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</si>
  <si>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</si>
  <si>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</si>
  <si>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</si>
  <si>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</si>
  <si>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</si>
  <si>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</si>
  <si>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</si>
  <si>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</si>
  <si>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</si>
  <si>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</si>
  <si>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</si>
  <si>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</si>
  <si>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</si>
  <si>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</si>
  <si>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</si>
  <si>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</si>
  <si>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</si>
  <si>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</si>
  <si>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</si>
  <si>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</si>
  <si>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</si>
  <si>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</si>
  <si>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</si>
  <si>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</si>
  <si>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</si>
  <si>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</si>
  <si>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</si>
  <si>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</si>
  <si>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</si>
  <si>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</si>
  <si>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</si>
  <si>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</si>
  <si>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</si>
  <si>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</si>
  <si>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</si>
  <si>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</si>
  <si>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</si>
  <si>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</si>
  <si>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</si>
  <si>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</si>
  <si>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</si>
  <si>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</si>
  <si>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</si>
  <si>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</si>
  <si>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</si>
  <si>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</si>
  <si>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</si>
  <si>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</si>
  <si>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</si>
  <si>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</si>
  <si>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</si>
  <si>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</si>
  <si>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</si>
  <si>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</si>
  <si>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</si>
  <si>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</si>
  <si>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</si>
  <si>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</si>
  <si>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</si>
  <si>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</si>
  <si>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</si>
  <si>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</si>
  <si>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</si>
  <si>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</si>
  <si>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</si>
  <si>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</si>
  <si>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</si>
  <si>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</si>
  <si>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</si>
  <si>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</si>
  <si>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</si>
  <si>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</si>
  <si>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</si>
  <si>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</si>
  <si>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</si>
  <si>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</si>
  <si>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</si>
  <si>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</si>
  <si>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</si>
  <si>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</si>
  <si>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</si>
  <si>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</si>
  <si>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</si>
  <si>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</si>
  <si>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</si>
  <si>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</si>
  <si>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</si>
  <si>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</si>
  <si>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</si>
  <si>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</si>
  <si>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</si>
  <si>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</si>
  <si>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</si>
  <si>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</si>
  <si>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</si>
  <si>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</si>
  <si>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</si>
  <si>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</si>
  <si>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</si>
  <si>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</si>
  <si>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</si>
  <si>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</si>
  <si>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</si>
  <si>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</si>
  <si>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</si>
  <si>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</si>
  <si>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</si>
  <si>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</si>
  <si>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</si>
  <si>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</si>
  <si>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</si>
  <si>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</si>
  <si>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</si>
  <si>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</si>
  <si>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</si>
  <si>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</si>
  <si>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</si>
  <si>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</si>
  <si>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</si>
  <si>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</si>
  <si>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</si>
  <si>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</si>
  <si>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</si>
  <si>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</si>
  <si>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</si>
  <si>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</si>
  <si>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</si>
  <si>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</si>
  <si>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</si>
  <si>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</si>
  <si>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</si>
  <si>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</si>
  <si>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</si>
  <si>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</si>
  <si>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</si>
  <si>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</si>
  <si>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</si>
  <si>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</si>
  <si>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</si>
  <si>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</si>
  <si>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</si>
  <si>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</si>
  <si>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</si>
  <si>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</si>
  <si>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</si>
  <si>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</si>
  <si>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</si>
  <si>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</si>
  <si>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</si>
  <si>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</si>
  <si>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</si>
  <si>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</si>
  <si>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</si>
  <si>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</si>
  <si>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</si>
  <si>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</si>
  <si>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</si>
  <si>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</si>
  <si>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</si>
  <si>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</si>
  <si>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</si>
  <si>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</si>
  <si>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</si>
  <si>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</si>
  <si>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</si>
  <si>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</si>
  <si>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</si>
  <si>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</si>
  <si>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</si>
  <si>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</si>
  <si>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</si>
  <si>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</si>
  <si>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</si>
  <si>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</si>
  <si>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</si>
  <si>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</si>
  <si>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</si>
  <si>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</si>
  <si>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</si>
  <si>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</si>
  <si>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</si>
  <si>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</si>
  <si>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</si>
  <si>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</si>
  <si>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</si>
  <si>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</si>
  <si>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</si>
  <si>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</si>
  <si>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</si>
  <si>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</si>
  <si>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</si>
  <si>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</si>
  <si>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</si>
  <si>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</si>
  <si>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</si>
  <si>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</si>
  <si>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</si>
  <si>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</si>
  <si>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</si>
  <si>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</si>
  <si>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</si>
  <si>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</si>
  <si>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</si>
  <si>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</si>
  <si>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</si>
  <si>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</si>
  <si>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</si>
  <si>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</si>
  <si>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</si>
  <si>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</si>
  <si>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</si>
  <si>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</si>
  <si>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</si>
  <si>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</si>
  <si>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</si>
  <si>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</si>
  <si>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</si>
  <si>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</si>
  <si>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</si>
  <si>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</si>
  <si>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</si>
  <si>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</si>
  <si>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</si>
  <si>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</si>
  <si>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</si>
  <si>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</si>
  <si>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</si>
  <si>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</si>
  <si>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</si>
  <si>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</si>
  <si>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</si>
  <si>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</si>
  <si>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</si>
  <si>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</si>
  <si>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</si>
  <si>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</si>
  <si>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</si>
  <si>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</si>
  <si>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</si>
  <si>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</si>
  <si>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</si>
  <si>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</si>
  <si>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</si>
  <si>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</si>
  <si>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</si>
  <si>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</si>
  <si>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</si>
  <si>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</si>
  <si>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</si>
  <si>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</si>
  <si>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</si>
  <si>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</si>
  <si>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</si>
  <si>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</si>
  <si>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</si>
  <si>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</si>
  <si>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</si>
  <si>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</si>
  <si>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</si>
  <si>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</si>
  <si>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</si>
  <si>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</si>
  <si>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</si>
  <si>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</si>
  <si>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</si>
  <si>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</si>
  <si>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</si>
  <si>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</si>
  <si>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</si>
  <si>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</si>
  <si>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</si>
  <si>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</si>
  <si>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</si>
  <si>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</si>
  <si>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</si>
  <si>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</si>
  <si>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</si>
  <si>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</si>
  <si>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</si>
  <si>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</si>
  <si>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</si>
  <si>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</si>
  <si>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</si>
  <si>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</si>
  <si>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</si>
  <si>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</si>
  <si>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</si>
  <si>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</si>
  <si>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</si>
  <si>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</si>
  <si>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</si>
  <si>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</si>
  <si>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</si>
  <si>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</si>
  <si>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</si>
  <si>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</si>
  <si>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</si>
  <si>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</si>
  <si>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</si>
  <si>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</si>
  <si>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</si>
  <si>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</si>
  <si>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</si>
  <si>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</si>
  <si>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</si>
  <si>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</si>
  <si>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</si>
  <si>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</si>
  <si>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</si>
  <si>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</si>
  <si>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</si>
  <si>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</si>
  <si>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</si>
  <si>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</si>
  <si>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</si>
  <si>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</si>
  <si>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</si>
  <si>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</si>
  <si>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</si>
  <si>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</si>
  <si>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</si>
  <si>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</si>
  <si>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</si>
  <si>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</si>
  <si>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</si>
  <si>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</si>
  <si>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</si>
  <si>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</si>
  <si>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</si>
  <si>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</si>
  <si>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</si>
  <si>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</si>
  <si>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</si>
  <si>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</si>
  <si>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</si>
  <si>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</si>
  <si>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</si>
  <si>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</si>
  <si>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</si>
  <si>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</si>
  <si>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</si>
  <si>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</si>
  <si>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</si>
  <si>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</si>
  <si>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</si>
  <si>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</si>
  <si>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</si>
  <si>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</si>
  <si>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</si>
  <si>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</si>
  <si>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</si>
  <si>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</si>
  <si>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</si>
  <si>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</si>
  <si>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</si>
  <si>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</si>
  <si>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</si>
  <si>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</si>
  <si>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</si>
  <si>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</si>
  <si>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</si>
  <si>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</si>
  <si>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</si>
  <si>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</si>
  <si>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</si>
  <si>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</si>
  <si>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</si>
  <si>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</si>
  <si>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</si>
  <si>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</si>
  <si>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</si>
  <si>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</si>
  <si>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</si>
  <si>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</si>
  <si>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</si>
  <si>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</si>
  <si>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</si>
  <si>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</si>
  <si>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</si>
  <si>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</si>
  <si>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</si>
  <si>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</si>
  <si>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</si>
  <si>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</si>
  <si>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</si>
  <si>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</si>
  <si>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</si>
  <si>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</si>
  <si>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</si>
  <si>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</si>
  <si>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</si>
  <si>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</si>
  <si>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</si>
  <si>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</si>
  <si>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</si>
  <si>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</si>
  <si>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</si>
  <si>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</si>
  <si>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</si>
  <si>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</si>
  <si>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</si>
  <si>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</si>
  <si>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</si>
  <si>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</si>
  <si>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</si>
  <si>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</si>
  <si>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</si>
  <si>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</si>
  <si>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</si>
  <si>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</si>
  <si>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</si>
  <si>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</si>
  <si>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</si>
  <si>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</si>
  <si>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</si>
  <si>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</si>
  <si>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</si>
  <si>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</si>
  <si>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</si>
  <si>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</si>
  <si>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</si>
  <si>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</si>
  <si>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</si>
  <si>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</si>
  <si>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</si>
  <si>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</si>
  <si>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</si>
  <si>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</si>
  <si>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</si>
  <si>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</si>
  <si>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</si>
  <si>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</si>
  <si>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</si>
  <si>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</si>
  <si>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</si>
  <si>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</si>
  <si>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</si>
  <si>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</si>
  <si>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</si>
  <si>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</si>
  <si>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</si>
  <si>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</si>
  <si>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</si>
  <si>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</si>
  <si>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</si>
  <si>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</si>
  <si>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</si>
  <si>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</si>
  <si>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</si>
  <si>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</si>
  <si>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</si>
  <si>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</si>
  <si>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</si>
  <si>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</si>
  <si>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</si>
  <si>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</si>
  <si>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</si>
  <si>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</si>
  <si>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</si>
  <si>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</si>
  <si>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</si>
  <si>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</si>
  <si>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</si>
  <si>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</si>
  <si>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</si>
  <si>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</si>
  <si>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</si>
  <si>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</si>
  <si>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</si>
  <si>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</si>
  <si>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</si>
  <si>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</si>
  <si>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</si>
  <si>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</si>
  <si>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</si>
  <si>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</si>
  <si>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</si>
  <si>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</si>
  <si>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</si>
  <si>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</si>
  <si>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</si>
  <si>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</si>
  <si>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</si>
  <si>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</si>
  <si>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</si>
  <si>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</si>
  <si>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</si>
  <si>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</si>
  <si>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</si>
  <si>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</si>
  <si>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</si>
  <si>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</si>
  <si>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</si>
  <si>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</si>
  <si>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</si>
  <si>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</si>
  <si>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</si>
  <si>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</si>
  <si>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</si>
  <si>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</si>
  <si>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</si>
  <si>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</si>
  <si>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</si>
  <si>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</si>
  <si>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</si>
  <si>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</si>
  <si>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</si>
  <si>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</si>
  <si>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</si>
  <si>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</si>
  <si>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</si>
  <si>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</si>
  <si>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</si>
  <si>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</si>
  <si>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</si>
  <si>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</si>
  <si>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</si>
  <si>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</si>
  <si>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</si>
  <si>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</si>
  <si>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</si>
  <si>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</si>
  <si>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</si>
  <si>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</si>
  <si>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</si>
  <si>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</si>
  <si>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</si>
  <si>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</si>
  <si>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</si>
  <si>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</si>
  <si>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</si>
  <si>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</si>
  <si>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</si>
  <si>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</si>
  <si>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</si>
  <si>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</si>
  <si>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</si>
  <si>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</si>
  <si>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</si>
  <si>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</si>
  <si>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</si>
  <si>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</si>
  <si>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</si>
  <si>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</si>
  <si>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</si>
  <si>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</si>
  <si>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</si>
  <si>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</si>
  <si>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</si>
  <si>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</si>
  <si>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</si>
  <si>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</si>
  <si>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</si>
  <si>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</si>
  <si>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</si>
  <si>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</si>
  <si>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</si>
  <si>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</si>
  <si>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</si>
  <si>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</si>
  <si>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</si>
  <si>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</si>
  <si>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</si>
  <si>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</si>
  <si>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</si>
  <si>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</si>
  <si>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</si>
  <si>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</si>
  <si>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</si>
  <si>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</si>
  <si>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</si>
  <si>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</si>
  <si>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</si>
  <si>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</si>
  <si>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</si>
  <si>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</si>
  <si>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</si>
  <si>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</si>
  <si>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</si>
  <si>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</si>
  <si>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</si>
  <si>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</si>
  <si>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</si>
  <si>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</si>
  <si>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</si>
  <si>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</si>
  <si>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</si>
  <si>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</si>
  <si>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</si>
  <si>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</si>
  <si>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</si>
  <si>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</si>
  <si>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</si>
  <si>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</si>
  <si>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</si>
  <si>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</si>
  <si>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</si>
  <si>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</si>
  <si>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</si>
  <si>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</si>
  <si>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</si>
  <si>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</si>
  <si>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</si>
  <si>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</si>
  <si>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</si>
  <si>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</si>
  <si>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</si>
  <si>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</si>
  <si>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</si>
  <si>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</si>
  <si>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</si>
  <si>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</si>
  <si>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</si>
  <si>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</si>
  <si>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</si>
  <si>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</si>
  <si>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</si>
  <si>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</si>
  <si>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</si>
  <si>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</si>
  <si>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</si>
  <si>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</si>
  <si>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</si>
  <si>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</si>
  <si>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</si>
  <si>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</si>
  <si>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</si>
  <si>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</si>
  <si>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</si>
  <si>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</si>
  <si>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</si>
  <si>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</si>
  <si>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</si>
  <si>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</si>
  <si>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</si>
  <si>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</si>
  <si>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</si>
  <si>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</si>
  <si>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</si>
  <si>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</si>
  <si>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</si>
  <si>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</si>
  <si>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</si>
  <si>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</si>
  <si>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</si>
  <si>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</si>
  <si>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</si>
  <si>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</si>
  <si>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</si>
  <si>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</si>
  <si>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</si>
  <si>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</si>
  <si>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</si>
  <si>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</si>
  <si>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</si>
  <si>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</si>
  <si>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</si>
  <si>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</si>
  <si>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</si>
  <si>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</si>
  <si>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</si>
  <si>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</si>
  <si>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</si>
  <si>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</si>
  <si>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</si>
  <si>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</si>
  <si>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</si>
  <si>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</si>
  <si>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</si>
  <si>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</si>
  <si>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</si>
  <si>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</si>
  <si>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</si>
  <si>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</si>
  <si>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</si>
  <si>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</si>
  <si>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</si>
  <si>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</si>
  <si>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</si>
  <si>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</si>
  <si>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</si>
  <si>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</si>
  <si>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</si>
  <si>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</si>
  <si>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</si>
  <si>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</si>
  <si>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</si>
  <si>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</si>
  <si>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</si>
  <si>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</si>
  <si>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</si>
  <si>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</si>
  <si>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</si>
  <si>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</si>
  <si>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</si>
  <si>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</si>
  <si>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</si>
  <si>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</si>
  <si>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</si>
  <si>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</si>
  <si>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</si>
  <si>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</si>
  <si>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</si>
  <si>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</si>
  <si>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</si>
  <si>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</si>
  <si>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</si>
  <si>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</si>
  <si>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</si>
  <si>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</si>
  <si>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</si>
  <si>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</si>
  <si>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</si>
  <si>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</si>
  <si>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</si>
  <si>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</si>
  <si>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</si>
  <si>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</si>
  <si>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</si>
  <si>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</si>
  <si>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</si>
  <si>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</si>
  <si>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</si>
  <si>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</si>
  <si>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</si>
  <si>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</si>
  <si>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</si>
  <si>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</si>
  <si>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</si>
  <si>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</si>
  <si>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</si>
  <si>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</si>
  <si>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</si>
  <si>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</si>
  <si>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</si>
  <si>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</si>
  <si>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</si>
  <si>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</si>
  <si>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</si>
  <si>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</si>
  <si>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</si>
  <si>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</si>
  <si>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</si>
  <si>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</si>
  <si>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</si>
  <si>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</si>
  <si>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</si>
  <si>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</si>
  <si>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</si>
  <si>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</si>
  <si>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</si>
  <si>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</si>
  <si>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69461</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</si>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</sst>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789</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171877.6</v>
      </c>
      <c r="E5" s="56">
        <v>179601.02</v>
      </c>
      <c r="F5" s="56">
        <v>0</v>
      </c>
      <c r="G5" s="56">
        <v>0</v>
      </c>
      <c r="H5" s="56">
        <v>0</v>
      </c>
      <c r="I5" s="55">
        <v>20828648.870000001</v>
      </c>
      <c r="J5" s="56">
        <v>21129585.649999999</v>
      </c>
      <c r="K5" s="56">
        <v>0</v>
      </c>
      <c r="L5" s="56">
        <v>0</v>
      </c>
      <c r="M5" s="56">
        <v>0</v>
      </c>
      <c r="N5" s="55">
        <v>36995018.939999998</v>
      </c>
      <c r="O5" s="56">
        <v>37027297.079999998</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166713947.52000001</v>
      </c>
      <c r="AS5" s="57">
        <v>80112157.75</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-235.05</v>
      </c>
      <c r="E7" s="337">
        <v>-235.05</v>
      </c>
      <c r="F7" s="337">
        <v>0</v>
      </c>
      <c r="G7" s="337">
        <v>0</v>
      </c>
      <c r="H7" s="337">
        <v>0</v>
      </c>
      <c r="I7" s="209">
        <v>-313.08</v>
      </c>
      <c r="J7" s="337">
        <v>-312.16000000000003</v>
      </c>
      <c r="K7" s="337">
        <v>0</v>
      </c>
      <c r="L7" s="337">
        <v>0</v>
      </c>
      <c r="M7" s="337">
        <v>0</v>
      </c>
      <c r="N7" s="209">
        <v>-28593.15</v>
      </c>
      <c r="O7" s="337">
        <v>-28635.07</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-87790.93</v>
      </c>
      <c r="AS7" s="210">
        <v>0</v>
      </c>
      <c r="AT7" s="168"/>
      <c r="AU7" s="172"/>
    </row>
    <row r="8" spans="1:47" ht="26.4" x14ac:dyDescent="0.25">
      <c r="A8" s="216" t="s">
        <v>81</v>
      </c>
      <c r="B8" s="79" t="s">
        <v>82</v>
      </c>
      <c r="C8" s="37" t="s">
        <v>83</v>
      </c>
      <c r="D8" s="209">
        <v>4873.05</v>
      </c>
      <c r="E8" s="339"/>
      <c r="F8" s="340"/>
      <c r="G8" s="340"/>
      <c r="H8" s="340"/>
      <c r="I8" s="209">
        <v>8862.3700000000008</v>
      </c>
      <c r="J8" s="339"/>
      <c r="K8" s="340"/>
      <c r="L8" s="340"/>
      <c r="M8" s="340"/>
      <c r="N8" s="209">
        <v>-3068059.15</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45186.32</v>
      </c>
      <c r="AR8" s="210">
        <v>-73639.63</v>
      </c>
      <c r="AS8" s="210">
        <v>2324217.41</v>
      </c>
      <c r="AT8" s="168"/>
      <c r="AU8" s="172"/>
    </row>
    <row r="9" spans="1:47" x14ac:dyDescent="0.25">
      <c r="A9" s="216" t="s">
        <v>84</v>
      </c>
      <c r="B9" s="79" t="s">
        <v>85</v>
      </c>
      <c r="C9" s="37" t="s">
        <v>86</v>
      </c>
      <c r="D9" s="209">
        <v>0</v>
      </c>
      <c r="E9" s="148"/>
      <c r="F9" s="149"/>
      <c r="G9" s="149"/>
      <c r="H9" s="149"/>
      <c r="I9" s="209">
        <v>16362.76</v>
      </c>
      <c r="J9" s="148"/>
      <c r="K9" s="149"/>
      <c r="L9" s="149"/>
      <c r="M9" s="149"/>
      <c r="N9" s="209">
        <v>0</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343.31</v>
      </c>
      <c r="AS9" s="210">
        <v>1871134.17</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116040.62</v>
      </c>
      <c r="E12" s="56">
        <v>106443.89</v>
      </c>
      <c r="F12" s="56">
        <v>0</v>
      </c>
      <c r="G12" s="56">
        <v>0</v>
      </c>
      <c r="H12" s="56">
        <v>0</v>
      </c>
      <c r="I12" s="55">
        <v>16392621.01</v>
      </c>
      <c r="J12" s="56">
        <v>16394847.68</v>
      </c>
      <c r="K12" s="56">
        <v>0</v>
      </c>
      <c r="L12" s="56">
        <v>0</v>
      </c>
      <c r="M12" s="56">
        <v>0</v>
      </c>
      <c r="N12" s="55">
        <v>30774330.469999999</v>
      </c>
      <c r="O12" s="56">
        <v>30621338.760000002</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0</v>
      </c>
      <c r="AR12" s="57">
        <v>145358860.53999999</v>
      </c>
      <c r="AS12" s="57">
        <v>69070769.819999993</v>
      </c>
      <c r="AT12" s="169"/>
      <c r="AU12" s="171"/>
    </row>
    <row r="13" spans="1:47" ht="26.4" x14ac:dyDescent="0.25">
      <c r="A13" s="216" t="s">
        <v>93</v>
      </c>
      <c r="B13" s="79" t="s">
        <v>94</v>
      </c>
      <c r="C13" s="37" t="s">
        <v>95</v>
      </c>
      <c r="D13" s="209">
        <v>21016.92</v>
      </c>
      <c r="E13" s="337">
        <v>19600.810000000001</v>
      </c>
      <c r="F13" s="337">
        <v>0</v>
      </c>
      <c r="G13" s="339"/>
      <c r="H13" s="340"/>
      <c r="I13" s="209">
        <v>3454294.83</v>
      </c>
      <c r="J13" s="337">
        <v>3498197.51</v>
      </c>
      <c r="K13" s="337">
        <v>0</v>
      </c>
      <c r="L13" s="339"/>
      <c r="M13" s="340"/>
      <c r="N13" s="209">
        <v>7018709.4199999999</v>
      </c>
      <c r="O13" s="337">
        <v>7079567.21</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83866640.459999993</v>
      </c>
      <c r="AS13" s="210">
        <v>96565199.719999999</v>
      </c>
      <c r="AT13" s="168"/>
      <c r="AU13" s="172"/>
    </row>
    <row r="14" spans="1:47" ht="26.4" x14ac:dyDescent="0.25">
      <c r="A14" s="216" t="s">
        <v>96</v>
      </c>
      <c r="B14" s="79" t="s">
        <v>97</v>
      </c>
      <c r="C14" s="37" t="s">
        <v>98</v>
      </c>
      <c r="D14" s="209">
        <v>-7457.81</v>
      </c>
      <c r="E14" s="337">
        <v>-7769.09</v>
      </c>
      <c r="F14" s="337">
        <v>0</v>
      </c>
      <c r="G14" s="148"/>
      <c r="H14" s="149"/>
      <c r="I14" s="209">
        <v>1001156.88</v>
      </c>
      <c r="J14" s="337">
        <v>1056153.49</v>
      </c>
      <c r="K14" s="337">
        <v>0</v>
      </c>
      <c r="L14" s="148"/>
      <c r="M14" s="149"/>
      <c r="N14" s="209">
        <v>2316341.69</v>
      </c>
      <c r="O14" s="337">
        <v>2335766.7000000002</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-686.15</v>
      </c>
      <c r="AS14" s="210">
        <v>45047454.789999999</v>
      </c>
      <c r="AT14" s="168"/>
      <c r="AU14" s="172"/>
    </row>
    <row r="15" spans="1:47" ht="26.4" x14ac:dyDescent="0.25">
      <c r="A15" s="216" t="s">
        <v>99</v>
      </c>
      <c r="B15" s="79" t="s">
        <v>100</v>
      </c>
      <c r="C15" s="37" t="s">
        <v>101</v>
      </c>
      <c r="D15" s="209">
        <v>4209.47</v>
      </c>
      <c r="E15" s="337">
        <v>4210.1400000000003</v>
      </c>
      <c r="F15" s="337">
        <v>0</v>
      </c>
      <c r="G15" s="148"/>
      <c r="H15" s="151"/>
      <c r="I15" s="209">
        <v>5606.28</v>
      </c>
      <c r="J15" s="337">
        <v>5567.3</v>
      </c>
      <c r="K15" s="337">
        <v>0</v>
      </c>
      <c r="L15" s="148"/>
      <c r="M15" s="151"/>
      <c r="N15" s="209">
        <v>20900.68</v>
      </c>
      <c r="O15" s="337">
        <v>18524.46</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3897.62</v>
      </c>
      <c r="AS15" s="210">
        <v>0</v>
      </c>
      <c r="AT15" s="168"/>
      <c r="AU15" s="172"/>
    </row>
    <row r="16" spans="1:47" ht="26.4" x14ac:dyDescent="0.25">
      <c r="A16" s="216" t="s">
        <v>102</v>
      </c>
      <c r="B16" s="79" t="s">
        <v>103</v>
      </c>
      <c r="C16" s="37" t="s">
        <v>104</v>
      </c>
      <c r="D16" s="209">
        <v>0</v>
      </c>
      <c r="E16" s="339"/>
      <c r="F16" s="340"/>
      <c r="G16" s="149"/>
      <c r="H16" s="149"/>
      <c r="I16" s="209">
        <v>0</v>
      </c>
      <c r="J16" s="339"/>
      <c r="K16" s="340"/>
      <c r="L16" s="149"/>
      <c r="M16" s="149"/>
      <c r="N16" s="209">
        <v>-2214761.96</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0</v>
      </c>
      <c r="AR16" s="210">
        <v>-210041.48</v>
      </c>
      <c r="AS16" s="210">
        <v>0</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0</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0</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v>
      </c>
      <c r="AS19" s="210">
        <v>0</v>
      </c>
      <c r="AT19" s="168"/>
      <c r="AU19" s="172"/>
    </row>
    <row r="20" spans="1:47" x14ac:dyDescent="0.25">
      <c r="A20" s="216" t="s">
        <v>114</v>
      </c>
      <c r="B20" s="79" t="s">
        <v>115</v>
      </c>
      <c r="C20" s="37" t="s">
        <v>116</v>
      </c>
      <c r="D20" s="209">
        <v>0</v>
      </c>
      <c r="E20" s="148"/>
      <c r="F20" s="149"/>
      <c r="G20" s="149"/>
      <c r="H20" s="149"/>
      <c r="I20" s="209">
        <v>0</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0</v>
      </c>
      <c r="E22" s="348">
        <v>0</v>
      </c>
      <c r="F22" s="348">
        <v>0</v>
      </c>
      <c r="G22" s="348">
        <v>0</v>
      </c>
      <c r="H22" s="348">
        <v>0</v>
      </c>
      <c r="I22" s="347">
        <v>1313.77</v>
      </c>
      <c r="J22" s="348">
        <v>1313.77</v>
      </c>
      <c r="K22" s="348">
        <v>0</v>
      </c>
      <c r="L22" s="348">
        <v>0</v>
      </c>
      <c r="M22" s="348">
        <v>0</v>
      </c>
      <c r="N22" s="347">
        <v>0</v>
      </c>
      <c r="O22" s="348">
        <v>0</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0</v>
      </c>
      <c r="AS22" s="349">
        <v>0</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-44025.72</v>
      </c>
      <c r="E25" s="337">
        <v>-44025.72</v>
      </c>
      <c r="F25" s="337">
        <v>0</v>
      </c>
      <c r="G25" s="337">
        <v>0</v>
      </c>
      <c r="H25" s="337">
        <v>0</v>
      </c>
      <c r="I25" s="209">
        <v>433186.69</v>
      </c>
      <c r="J25" s="337">
        <v>433186.69</v>
      </c>
      <c r="K25" s="337">
        <v>0</v>
      </c>
      <c r="L25" s="337">
        <v>0</v>
      </c>
      <c r="M25" s="337">
        <v>0</v>
      </c>
      <c r="N25" s="209">
        <v>39451.31</v>
      </c>
      <c r="O25" s="337">
        <v>39451.31</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15343.24</v>
      </c>
      <c r="AR25" s="210">
        <v>37966.76</v>
      </c>
      <c r="AS25" s="210">
        <v>-1573366.92</v>
      </c>
      <c r="AT25" s="210">
        <v>7.06</v>
      </c>
      <c r="AU25" s="172"/>
    </row>
    <row r="26" spans="1:47" x14ac:dyDescent="0.25">
      <c r="A26" s="216" t="s">
        <v>128</v>
      </c>
      <c r="B26" s="81" t="s">
        <v>129</v>
      </c>
      <c r="C26" s="37"/>
      <c r="D26" s="209">
        <v>17.48</v>
      </c>
      <c r="E26" s="337">
        <v>17.48</v>
      </c>
      <c r="F26" s="337">
        <v>0</v>
      </c>
      <c r="G26" s="337">
        <v>0</v>
      </c>
      <c r="H26" s="337">
        <v>0</v>
      </c>
      <c r="I26" s="209">
        <v>10430.25</v>
      </c>
      <c r="J26" s="337">
        <v>10430.25</v>
      </c>
      <c r="K26" s="337">
        <v>0</v>
      </c>
      <c r="L26" s="337">
        <v>0</v>
      </c>
      <c r="M26" s="337">
        <v>0</v>
      </c>
      <c r="N26" s="209">
        <v>19914.11</v>
      </c>
      <c r="O26" s="337">
        <v>19914.11</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166416.85</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45.61</v>
      </c>
      <c r="E28" s="337">
        <v>45.61</v>
      </c>
      <c r="F28" s="337">
        <v>0</v>
      </c>
      <c r="G28" s="337">
        <v>0</v>
      </c>
      <c r="H28" s="337">
        <v>0</v>
      </c>
      <c r="I28" s="209">
        <v>5086.57</v>
      </c>
      <c r="J28" s="337">
        <v>5086.57</v>
      </c>
      <c r="K28" s="337">
        <v>0</v>
      </c>
      <c r="L28" s="337">
        <v>0</v>
      </c>
      <c r="M28" s="337">
        <v>0</v>
      </c>
      <c r="N28" s="209">
        <v>358.2</v>
      </c>
      <c r="O28" s="337">
        <v>358.2</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91440.53</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62343.33</v>
      </c>
      <c r="E30" s="337">
        <v>62343.33</v>
      </c>
      <c r="F30" s="337">
        <v>0</v>
      </c>
      <c r="G30" s="337">
        <v>0</v>
      </c>
      <c r="H30" s="337">
        <v>0</v>
      </c>
      <c r="I30" s="209">
        <v>-16910.8</v>
      </c>
      <c r="J30" s="337">
        <v>-16910.8</v>
      </c>
      <c r="K30" s="337">
        <v>0</v>
      </c>
      <c r="L30" s="337">
        <v>0</v>
      </c>
      <c r="M30" s="337">
        <v>0</v>
      </c>
      <c r="N30" s="209">
        <v>114751.59</v>
      </c>
      <c r="O30" s="337">
        <v>114751.59</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0</v>
      </c>
      <c r="AR30" s="210">
        <v>726451.13</v>
      </c>
      <c r="AS30" s="210">
        <v>13389.62</v>
      </c>
      <c r="AT30" s="210">
        <v>0</v>
      </c>
      <c r="AU30" s="172"/>
    </row>
    <row r="31" spans="1:47" x14ac:dyDescent="0.25">
      <c r="A31" s="216" t="s">
        <v>138</v>
      </c>
      <c r="B31" s="81" t="s">
        <v>139</v>
      </c>
      <c r="C31" s="37"/>
      <c r="D31" s="209">
        <v>5836.99</v>
      </c>
      <c r="E31" s="337">
        <v>5836.99</v>
      </c>
      <c r="F31" s="337">
        <v>0</v>
      </c>
      <c r="G31" s="337">
        <v>0</v>
      </c>
      <c r="H31" s="337">
        <v>0</v>
      </c>
      <c r="I31" s="209">
        <v>365362.13</v>
      </c>
      <c r="J31" s="337">
        <v>365362.13</v>
      </c>
      <c r="K31" s="337">
        <v>0</v>
      </c>
      <c r="L31" s="337">
        <v>0</v>
      </c>
      <c r="M31" s="337">
        <v>0</v>
      </c>
      <c r="N31" s="209">
        <v>653716.84</v>
      </c>
      <c r="O31" s="337">
        <v>653716.84</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1339645.04</v>
      </c>
      <c r="AS31" s="210">
        <v>0</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100.99</v>
      </c>
      <c r="E35" s="337">
        <v>100.99</v>
      </c>
      <c r="F35" s="337">
        <v>0</v>
      </c>
      <c r="G35" s="337">
        <v>0</v>
      </c>
      <c r="H35" s="337">
        <v>0</v>
      </c>
      <c r="I35" s="209">
        <v>671.41</v>
      </c>
      <c r="J35" s="337">
        <v>671.41</v>
      </c>
      <c r="K35" s="337">
        <v>0</v>
      </c>
      <c r="L35" s="337">
        <v>0</v>
      </c>
      <c r="M35" s="337">
        <v>0</v>
      </c>
      <c r="N35" s="209">
        <v>6334.63</v>
      </c>
      <c r="O35" s="337">
        <v>6334.63</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37438.43</v>
      </c>
      <c r="AS35" s="210">
        <v>0</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521.72</v>
      </c>
      <c r="E37" s="60">
        <v>521.75</v>
      </c>
      <c r="F37" s="60">
        <v>0</v>
      </c>
      <c r="G37" s="60">
        <v>0</v>
      </c>
      <c r="H37" s="60">
        <v>0</v>
      </c>
      <c r="I37" s="59">
        <v>77765.279999999999</v>
      </c>
      <c r="J37" s="60">
        <v>78939.61</v>
      </c>
      <c r="K37" s="60">
        <v>0</v>
      </c>
      <c r="L37" s="60">
        <v>0</v>
      </c>
      <c r="M37" s="60">
        <v>0</v>
      </c>
      <c r="N37" s="59">
        <v>152188.25</v>
      </c>
      <c r="O37" s="60">
        <v>153539.54</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0</v>
      </c>
      <c r="AR37" s="61">
        <v>186524.97</v>
      </c>
      <c r="AS37" s="61">
        <v>260598.33</v>
      </c>
      <c r="AT37" s="61">
        <v>0</v>
      </c>
      <c r="AU37" s="171"/>
    </row>
    <row r="38" spans="1:47" x14ac:dyDescent="0.25">
      <c r="A38" s="216" t="s">
        <v>153</v>
      </c>
      <c r="B38" s="79" t="s">
        <v>154</v>
      </c>
      <c r="C38" s="37" t="s">
        <v>155</v>
      </c>
      <c r="D38" s="209">
        <v>306.83999999999997</v>
      </c>
      <c r="E38" s="337">
        <v>306.86</v>
      </c>
      <c r="F38" s="337">
        <v>0</v>
      </c>
      <c r="G38" s="337">
        <v>0</v>
      </c>
      <c r="H38" s="337">
        <v>0</v>
      </c>
      <c r="I38" s="209">
        <v>39947.480000000003</v>
      </c>
      <c r="J38" s="337">
        <v>40564.94</v>
      </c>
      <c r="K38" s="337">
        <v>0</v>
      </c>
      <c r="L38" s="337">
        <v>0</v>
      </c>
      <c r="M38" s="337">
        <v>0</v>
      </c>
      <c r="N38" s="209">
        <v>76934.55</v>
      </c>
      <c r="O38" s="337">
        <v>78000.59</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0</v>
      </c>
      <c r="AR38" s="210">
        <v>67977.740000000005</v>
      </c>
      <c r="AS38" s="210">
        <v>42674.720000000001</v>
      </c>
      <c r="AT38" s="210">
        <v>0</v>
      </c>
      <c r="AU38" s="172"/>
    </row>
    <row r="39" spans="1:47" x14ac:dyDescent="0.25">
      <c r="A39" s="216" t="s">
        <v>156</v>
      </c>
      <c r="B39" s="81" t="s">
        <v>157</v>
      </c>
      <c r="C39" s="37" t="s">
        <v>158</v>
      </c>
      <c r="D39" s="209">
        <v>232.78</v>
      </c>
      <c r="E39" s="337">
        <v>232.8</v>
      </c>
      <c r="F39" s="337">
        <v>0</v>
      </c>
      <c r="G39" s="337">
        <v>0</v>
      </c>
      <c r="H39" s="337">
        <v>0</v>
      </c>
      <c r="I39" s="209">
        <v>40570.03</v>
      </c>
      <c r="J39" s="337">
        <v>42789.06</v>
      </c>
      <c r="K39" s="337">
        <v>0</v>
      </c>
      <c r="L39" s="337">
        <v>0</v>
      </c>
      <c r="M39" s="337">
        <v>0</v>
      </c>
      <c r="N39" s="209">
        <v>75407.28</v>
      </c>
      <c r="O39" s="337">
        <v>83919.23</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0</v>
      </c>
      <c r="AR39" s="210">
        <v>51734.09</v>
      </c>
      <c r="AS39" s="210">
        <v>718267.82</v>
      </c>
      <c r="AT39" s="210">
        <v>0</v>
      </c>
      <c r="AU39" s="172"/>
    </row>
    <row r="40" spans="1:47" x14ac:dyDescent="0.25">
      <c r="A40" s="216" t="s">
        <v>159</v>
      </c>
      <c r="B40" s="81" t="s">
        <v>160</v>
      </c>
      <c r="C40" s="37" t="s">
        <v>161</v>
      </c>
      <c r="D40" s="209">
        <v>182.92</v>
      </c>
      <c r="E40" s="337">
        <v>182.65</v>
      </c>
      <c r="F40" s="337">
        <v>0</v>
      </c>
      <c r="G40" s="337">
        <v>0</v>
      </c>
      <c r="H40" s="337">
        <v>0</v>
      </c>
      <c r="I40" s="209">
        <v>53722.1</v>
      </c>
      <c r="J40" s="337">
        <v>47048.66</v>
      </c>
      <c r="K40" s="337">
        <v>0</v>
      </c>
      <c r="L40" s="337">
        <v>0</v>
      </c>
      <c r="M40" s="337">
        <v>0</v>
      </c>
      <c r="N40" s="209">
        <v>106210.07</v>
      </c>
      <c r="O40" s="337">
        <v>95652.34</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0</v>
      </c>
      <c r="AR40" s="210">
        <v>212433.22</v>
      </c>
      <c r="AS40" s="210">
        <v>48112.92</v>
      </c>
      <c r="AT40" s="210">
        <v>0</v>
      </c>
      <c r="AU40" s="172"/>
    </row>
    <row r="41" spans="1:47" ht="13.95" customHeight="1" x14ac:dyDescent="0.25">
      <c r="A41" s="216" t="s">
        <v>162</v>
      </c>
      <c r="B41" s="81" t="s">
        <v>163</v>
      </c>
      <c r="C41" s="37" t="s">
        <v>164</v>
      </c>
      <c r="D41" s="209">
        <v>198.64</v>
      </c>
      <c r="E41" s="337">
        <v>154.69999999999999</v>
      </c>
      <c r="F41" s="337">
        <v>0</v>
      </c>
      <c r="G41" s="337">
        <v>0</v>
      </c>
      <c r="H41" s="337">
        <v>0</v>
      </c>
      <c r="I41" s="209">
        <v>41578.69</v>
      </c>
      <c r="J41" s="337">
        <v>26071.54</v>
      </c>
      <c r="K41" s="337">
        <v>0</v>
      </c>
      <c r="L41" s="337">
        <v>0</v>
      </c>
      <c r="M41" s="337">
        <v>0</v>
      </c>
      <c r="N41" s="209">
        <v>79781.39</v>
      </c>
      <c r="O41" s="337">
        <v>50090.98</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0</v>
      </c>
      <c r="AR41" s="210">
        <v>56719.519999999997</v>
      </c>
      <c r="AS41" s="210">
        <v>336016.43</v>
      </c>
      <c r="AT41" s="210">
        <v>0</v>
      </c>
      <c r="AU41" s="172"/>
    </row>
    <row r="42" spans="1:47" ht="13.95" customHeight="1" x14ac:dyDescent="0.25">
      <c r="A42" s="216" t="s">
        <v>165</v>
      </c>
      <c r="B42" s="81" t="s">
        <v>166</v>
      </c>
      <c r="C42" s="34"/>
      <c r="D42" s="209">
        <v>1442.9</v>
      </c>
      <c r="E42" s="337">
        <v>1398.76</v>
      </c>
      <c r="F42" s="337">
        <v>0</v>
      </c>
      <c r="G42" s="337">
        <v>0</v>
      </c>
      <c r="H42" s="337">
        <v>0</v>
      </c>
      <c r="I42" s="209">
        <v>253583.58</v>
      </c>
      <c r="J42" s="337">
        <v>235413.81</v>
      </c>
      <c r="K42" s="337">
        <v>0</v>
      </c>
      <c r="L42" s="337">
        <v>0</v>
      </c>
      <c r="M42" s="337">
        <v>0</v>
      </c>
      <c r="N42" s="209">
        <v>490521.54</v>
      </c>
      <c r="O42" s="337">
        <v>461202.68</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0</v>
      </c>
      <c r="AR42" s="210">
        <v>575389.54</v>
      </c>
      <c r="AS42" s="210">
        <v>1405670.22</v>
      </c>
      <c r="AT42" s="210">
        <v>0</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2121.94</v>
      </c>
      <c r="E44" s="60">
        <v>2121.94</v>
      </c>
      <c r="F44" s="60">
        <v>0</v>
      </c>
      <c r="G44" s="60">
        <v>0</v>
      </c>
      <c r="H44" s="60">
        <v>0</v>
      </c>
      <c r="I44" s="59">
        <v>264351.65000000002</v>
      </c>
      <c r="J44" s="60">
        <v>264351.65000000002</v>
      </c>
      <c r="K44" s="60">
        <v>0</v>
      </c>
      <c r="L44" s="60">
        <v>0</v>
      </c>
      <c r="M44" s="60">
        <v>0</v>
      </c>
      <c r="N44" s="59">
        <v>511623.99</v>
      </c>
      <c r="O44" s="60">
        <v>511623.99</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0</v>
      </c>
      <c r="AR44" s="61">
        <v>76321.56</v>
      </c>
      <c r="AS44" s="61">
        <v>1384973.59</v>
      </c>
      <c r="AT44" s="61">
        <v>0</v>
      </c>
      <c r="AU44" s="171"/>
    </row>
    <row r="45" spans="1:47" x14ac:dyDescent="0.25">
      <c r="A45" s="216" t="s">
        <v>171</v>
      </c>
      <c r="B45" s="84" t="s">
        <v>172</v>
      </c>
      <c r="C45" s="37" t="s">
        <v>173</v>
      </c>
      <c r="D45" s="209">
        <v>99973.2</v>
      </c>
      <c r="E45" s="337">
        <v>99973.2</v>
      </c>
      <c r="F45" s="337">
        <v>0</v>
      </c>
      <c r="G45" s="337">
        <v>0</v>
      </c>
      <c r="H45" s="337">
        <v>0</v>
      </c>
      <c r="I45" s="209">
        <v>371274.66</v>
      </c>
      <c r="J45" s="337">
        <v>371274.66</v>
      </c>
      <c r="K45" s="337">
        <v>0</v>
      </c>
      <c r="L45" s="337">
        <v>0</v>
      </c>
      <c r="M45" s="337">
        <v>0</v>
      </c>
      <c r="N45" s="209">
        <v>572985.31000000006</v>
      </c>
      <c r="O45" s="337">
        <v>572985.31000000006</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0</v>
      </c>
      <c r="AR45" s="210">
        <v>1387825.21</v>
      </c>
      <c r="AS45" s="210">
        <v>9609721.3300000001</v>
      </c>
      <c r="AT45" s="210">
        <v>0</v>
      </c>
      <c r="AU45" s="172"/>
    </row>
    <row r="46" spans="1:47" x14ac:dyDescent="0.25">
      <c r="A46" s="216" t="s">
        <v>174</v>
      </c>
      <c r="B46" s="84" t="s">
        <v>175</v>
      </c>
      <c r="C46" s="37" t="s">
        <v>176</v>
      </c>
      <c r="D46" s="209">
        <v>364.11</v>
      </c>
      <c r="E46" s="337">
        <v>364.11</v>
      </c>
      <c r="F46" s="337">
        <v>0</v>
      </c>
      <c r="G46" s="337">
        <v>0</v>
      </c>
      <c r="H46" s="337">
        <v>0</v>
      </c>
      <c r="I46" s="209">
        <v>96775.71</v>
      </c>
      <c r="J46" s="337">
        <v>96775.71</v>
      </c>
      <c r="K46" s="337">
        <v>0</v>
      </c>
      <c r="L46" s="337">
        <v>0</v>
      </c>
      <c r="M46" s="337">
        <v>0</v>
      </c>
      <c r="N46" s="209">
        <v>197424.41</v>
      </c>
      <c r="O46" s="337">
        <v>197424.41</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0</v>
      </c>
      <c r="AR46" s="210">
        <v>-59101.05</v>
      </c>
      <c r="AS46" s="210">
        <v>91968.7</v>
      </c>
      <c r="AT46" s="210">
        <v>0</v>
      </c>
      <c r="AU46" s="172"/>
    </row>
    <row r="47" spans="1:47" x14ac:dyDescent="0.25">
      <c r="A47" s="216" t="s">
        <v>177</v>
      </c>
      <c r="B47" s="84" t="s">
        <v>178</v>
      </c>
      <c r="C47" s="37" t="s">
        <v>179</v>
      </c>
      <c r="D47" s="209">
        <v>1620.69</v>
      </c>
      <c r="E47" s="337">
        <v>1620.69</v>
      </c>
      <c r="F47" s="337">
        <v>0</v>
      </c>
      <c r="G47" s="337">
        <v>0</v>
      </c>
      <c r="H47" s="337">
        <v>0</v>
      </c>
      <c r="I47" s="209">
        <v>652058.12</v>
      </c>
      <c r="J47" s="337">
        <v>652058.12</v>
      </c>
      <c r="K47" s="337">
        <v>0</v>
      </c>
      <c r="L47" s="337">
        <v>0</v>
      </c>
      <c r="M47" s="337">
        <v>0</v>
      </c>
      <c r="N47" s="209">
        <v>1234405.3</v>
      </c>
      <c r="O47" s="337">
        <v>1234405.3</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3154980.78</v>
      </c>
      <c r="AS47" s="210">
        <v>653621</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400</v>
      </c>
      <c r="E49" s="337">
        <v>400</v>
      </c>
      <c r="F49" s="337">
        <v>0</v>
      </c>
      <c r="G49" s="337">
        <v>0</v>
      </c>
      <c r="H49" s="337">
        <v>0</v>
      </c>
      <c r="I49" s="209">
        <v>104.75</v>
      </c>
      <c r="J49" s="337">
        <v>104.75</v>
      </c>
      <c r="K49" s="337">
        <v>0</v>
      </c>
      <c r="L49" s="337">
        <v>0</v>
      </c>
      <c r="M49" s="337">
        <v>0</v>
      </c>
      <c r="N49" s="209">
        <v>278.11</v>
      </c>
      <c r="O49" s="337">
        <v>278.11</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150.88</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84.23</v>
      </c>
      <c r="E51" s="337">
        <v>84.23</v>
      </c>
      <c r="F51" s="337">
        <v>0</v>
      </c>
      <c r="G51" s="337">
        <v>0</v>
      </c>
      <c r="H51" s="337">
        <v>0</v>
      </c>
      <c r="I51" s="209">
        <v>40025.93</v>
      </c>
      <c r="J51" s="337">
        <v>40025.93</v>
      </c>
      <c r="K51" s="337">
        <v>0</v>
      </c>
      <c r="L51" s="337">
        <v>0</v>
      </c>
      <c r="M51" s="337">
        <v>0</v>
      </c>
      <c r="N51" s="209">
        <v>59496.67</v>
      </c>
      <c r="O51" s="337">
        <v>59496.67</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0</v>
      </c>
      <c r="AR51" s="210">
        <v>216208.38</v>
      </c>
      <c r="AS51" s="210">
        <v>206135.07</v>
      </c>
      <c r="AT51" s="210">
        <v>0</v>
      </c>
      <c r="AU51" s="172"/>
    </row>
    <row r="52" spans="1:47" x14ac:dyDescent="0.25">
      <c r="A52" s="216" t="s">
        <v>187</v>
      </c>
      <c r="B52" s="79" t="s">
        <v>188</v>
      </c>
      <c r="C52" s="37"/>
      <c r="D52" s="209">
        <v>15751.18</v>
      </c>
      <c r="E52" s="337">
        <v>15751.18</v>
      </c>
      <c r="F52" s="337">
        <v>0</v>
      </c>
      <c r="G52" s="337">
        <v>0</v>
      </c>
      <c r="H52" s="337">
        <v>0</v>
      </c>
      <c r="I52" s="209">
        <v>1142382.04</v>
      </c>
      <c r="J52" s="337">
        <v>1142382.04</v>
      </c>
      <c r="K52" s="337">
        <v>0</v>
      </c>
      <c r="L52" s="337">
        <v>0</v>
      </c>
      <c r="M52" s="337">
        <v>0</v>
      </c>
      <c r="N52" s="209">
        <v>1360809.24</v>
      </c>
      <c r="O52" s="337">
        <v>1360809.24</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13669038.41</v>
      </c>
      <c r="AS52" s="210">
        <v>6374793.6699999999</v>
      </c>
      <c r="AT52" s="210">
        <v>0</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20.78</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26</v>
      </c>
      <c r="E56" s="63">
        <v>26</v>
      </c>
      <c r="F56" s="63">
        <v>0</v>
      </c>
      <c r="G56" s="63">
        <v>0</v>
      </c>
      <c r="H56" s="63">
        <v>0</v>
      </c>
      <c r="I56" s="62">
        <v>2541</v>
      </c>
      <c r="J56" s="63">
        <v>2541</v>
      </c>
      <c r="K56" s="63">
        <v>0</v>
      </c>
      <c r="L56" s="63">
        <v>0</v>
      </c>
      <c r="M56" s="63">
        <v>0</v>
      </c>
      <c r="N56" s="62">
        <v>3850</v>
      </c>
      <c r="O56" s="63">
        <v>3850</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66963</v>
      </c>
      <c r="AS56" s="64">
        <v>42160</v>
      </c>
      <c r="AT56" s="64">
        <v>0</v>
      </c>
      <c r="AU56" s="166"/>
    </row>
    <row r="57" spans="1:47" x14ac:dyDescent="0.25">
      <c r="A57" s="216" t="s">
        <v>199</v>
      </c>
      <c r="B57" s="84" t="s">
        <v>200</v>
      </c>
      <c r="C57" s="37" t="s">
        <v>201</v>
      </c>
      <c r="D57" s="364">
        <v>39</v>
      </c>
      <c r="E57" s="365">
        <v>39</v>
      </c>
      <c r="F57" s="365">
        <v>0</v>
      </c>
      <c r="G57" s="365">
        <v>0</v>
      </c>
      <c r="H57" s="365">
        <v>0</v>
      </c>
      <c r="I57" s="364">
        <v>4452</v>
      </c>
      <c r="J57" s="365">
        <v>4452</v>
      </c>
      <c r="K57" s="365">
        <v>0</v>
      </c>
      <c r="L57" s="365">
        <v>0</v>
      </c>
      <c r="M57" s="365">
        <v>0</v>
      </c>
      <c r="N57" s="364">
        <v>7182</v>
      </c>
      <c r="O57" s="365">
        <v>7182</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92961</v>
      </c>
      <c r="AS57" s="366">
        <v>42160</v>
      </c>
      <c r="AT57" s="366">
        <v>0</v>
      </c>
      <c r="AU57" s="167"/>
    </row>
    <row r="58" spans="1:47" x14ac:dyDescent="0.25">
      <c r="A58" s="216" t="s">
        <v>202</v>
      </c>
      <c r="B58" s="84" t="s">
        <v>203</v>
      </c>
      <c r="C58" s="37" t="s">
        <v>204</v>
      </c>
      <c r="D58" s="367"/>
      <c r="E58" s="368"/>
      <c r="F58" s="368"/>
      <c r="G58" s="368"/>
      <c r="H58" s="368"/>
      <c r="I58" s="364">
        <v>414</v>
      </c>
      <c r="J58" s="365">
        <v>414</v>
      </c>
      <c r="K58" s="365">
        <v>0</v>
      </c>
      <c r="L58" s="365">
        <v>0</v>
      </c>
      <c r="M58" s="365">
        <v>0</v>
      </c>
      <c r="N58" s="364">
        <v>89</v>
      </c>
      <c r="O58" s="365">
        <v>89</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809</v>
      </c>
      <c r="AS58" s="366">
        <v>0</v>
      </c>
      <c r="AT58" s="366">
        <v>0</v>
      </c>
      <c r="AU58" s="167"/>
    </row>
    <row r="59" spans="1:47" x14ac:dyDescent="0.25">
      <c r="A59" s="216" t="s">
        <v>205</v>
      </c>
      <c r="B59" s="84" t="s">
        <v>206</v>
      </c>
      <c r="C59" s="37" t="s">
        <v>207</v>
      </c>
      <c r="D59" s="364">
        <v>477</v>
      </c>
      <c r="E59" s="365">
        <v>477</v>
      </c>
      <c r="F59" s="365">
        <v>0</v>
      </c>
      <c r="G59" s="365">
        <v>0</v>
      </c>
      <c r="H59" s="365">
        <v>0</v>
      </c>
      <c r="I59" s="364">
        <v>52331</v>
      </c>
      <c r="J59" s="365">
        <v>52408</v>
      </c>
      <c r="K59" s="365">
        <v>0</v>
      </c>
      <c r="L59" s="365">
        <v>0</v>
      </c>
      <c r="M59" s="365">
        <v>0</v>
      </c>
      <c r="N59" s="364">
        <v>99416</v>
      </c>
      <c r="O59" s="365">
        <v>99392</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1107111</v>
      </c>
      <c r="AS59" s="366">
        <v>522804</v>
      </c>
      <c r="AT59" s="366">
        <v>0</v>
      </c>
      <c r="AU59" s="167"/>
    </row>
    <row r="60" spans="1:47" x14ac:dyDescent="0.25">
      <c r="A60" s="216" t="s">
        <v>208</v>
      </c>
      <c r="B60" s="84" t="s">
        <v>209</v>
      </c>
      <c r="C60" s="37"/>
      <c r="D60" s="369">
        <v>39.75</v>
      </c>
      <c r="E60" s="370">
        <v>39.75</v>
      </c>
      <c r="F60" s="370">
        <v>0</v>
      </c>
      <c r="G60" s="370">
        <v>0</v>
      </c>
      <c r="H60" s="370">
        <v>0</v>
      </c>
      <c r="I60" s="369">
        <v>4360.92</v>
      </c>
      <c r="J60" s="370">
        <v>4367.33</v>
      </c>
      <c r="K60" s="370">
        <v>0</v>
      </c>
      <c r="L60" s="370">
        <v>0</v>
      </c>
      <c r="M60" s="370">
        <v>0</v>
      </c>
      <c r="N60" s="369">
        <v>8284.67</v>
      </c>
      <c r="O60" s="370">
        <v>8282.67</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92259.25</v>
      </c>
      <c r="AS60" s="371">
        <v>43567</v>
      </c>
      <c r="AT60" s="371">
        <v>0</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3556558.21</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411795.45</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171877.6</v>
      </c>
      <c r="E5" s="60">
        <v>183781.62</v>
      </c>
      <c r="F5" s="60">
        <v>0</v>
      </c>
      <c r="G5" s="65">
        <v>0</v>
      </c>
      <c r="H5" s="65">
        <v>0</v>
      </c>
      <c r="I5" s="59">
        <v>20833475.41</v>
      </c>
      <c r="J5" s="60">
        <v>20403786.050000001</v>
      </c>
      <c r="K5" s="60">
        <v>0</v>
      </c>
      <c r="L5" s="60">
        <v>0</v>
      </c>
      <c r="M5" s="60">
        <v>0</v>
      </c>
      <c r="N5" s="59">
        <v>36934925.210000001</v>
      </c>
      <c r="O5" s="60">
        <v>37027297.079999998</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166728432.09999999</v>
      </c>
      <c r="AS5" s="61">
        <v>81983291.920000002</v>
      </c>
      <c r="AT5" s="169"/>
      <c r="AU5" s="171"/>
    </row>
    <row r="6" spans="1:47" x14ac:dyDescent="0.25">
      <c r="A6" s="216" t="s">
        <v>219</v>
      </c>
      <c r="B6" s="93" t="s">
        <v>220</v>
      </c>
      <c r="C6" s="37" t="s">
        <v>221</v>
      </c>
      <c r="D6" s="209">
        <v>0</v>
      </c>
      <c r="E6" s="337">
        <v>0</v>
      </c>
      <c r="F6" s="337">
        <v>0</v>
      </c>
      <c r="G6" s="338">
        <v>0</v>
      </c>
      <c r="H6" s="338">
        <v>0</v>
      </c>
      <c r="I6" s="209">
        <v>12383.9</v>
      </c>
      <c r="J6" s="337">
        <v>0</v>
      </c>
      <c r="K6" s="337">
        <v>0</v>
      </c>
      <c r="L6" s="337">
        <v>0</v>
      </c>
      <c r="M6" s="337">
        <v>0</v>
      </c>
      <c r="N6" s="209">
        <v>60093.73</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1308.6300000000001</v>
      </c>
      <c r="AS6" s="210">
        <v>0</v>
      </c>
      <c r="AT6" s="168"/>
      <c r="AU6" s="172"/>
    </row>
    <row r="7" spans="1:47" x14ac:dyDescent="0.25">
      <c r="A7" s="216" t="s">
        <v>222</v>
      </c>
      <c r="B7" s="93" t="s">
        <v>223</v>
      </c>
      <c r="C7" s="37" t="s">
        <v>224</v>
      </c>
      <c r="D7" s="209">
        <v>0</v>
      </c>
      <c r="E7" s="337">
        <v>0</v>
      </c>
      <c r="F7" s="337">
        <v>0</v>
      </c>
      <c r="G7" s="338">
        <v>0</v>
      </c>
      <c r="H7" s="338">
        <v>0</v>
      </c>
      <c r="I7" s="209">
        <v>847.68</v>
      </c>
      <c r="J7" s="337">
        <v>0</v>
      </c>
      <c r="K7" s="337">
        <v>0</v>
      </c>
      <c r="L7" s="337">
        <v>0</v>
      </c>
      <c r="M7" s="337">
        <v>0</v>
      </c>
      <c r="N7" s="209">
        <v>0</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15449.9</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3339.06</v>
      </c>
      <c r="E9" s="148"/>
      <c r="F9" s="148"/>
      <c r="G9" s="148"/>
      <c r="H9" s="148"/>
      <c r="I9" s="209">
        <v>0</v>
      </c>
      <c r="J9" s="148"/>
      <c r="K9" s="148"/>
      <c r="L9" s="148"/>
      <c r="M9" s="148"/>
      <c r="N9" s="209">
        <v>0</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-1429641.11</v>
      </c>
      <c r="AS9" s="210">
        <v>2763077.49</v>
      </c>
      <c r="AT9" s="168"/>
      <c r="AU9" s="172"/>
    </row>
    <row r="10" spans="1:47" ht="26.4" x14ac:dyDescent="0.25">
      <c r="A10" s="216" t="s">
        <v>229</v>
      </c>
      <c r="B10" s="79" t="s">
        <v>230</v>
      </c>
      <c r="C10" s="37"/>
      <c r="D10" s="380"/>
      <c r="E10" s="337">
        <v>-3824.4</v>
      </c>
      <c r="F10" s="337">
        <v>0</v>
      </c>
      <c r="G10" s="337">
        <v>0</v>
      </c>
      <c r="H10" s="337">
        <v>0</v>
      </c>
      <c r="I10" s="380"/>
      <c r="J10" s="337">
        <v>0</v>
      </c>
      <c r="K10" s="337">
        <v>0</v>
      </c>
      <c r="L10" s="337">
        <v>0</v>
      </c>
      <c r="M10" s="337">
        <v>0</v>
      </c>
      <c r="N10" s="380"/>
      <c r="O10" s="337">
        <v>0</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0</v>
      </c>
      <c r="J11" s="337">
        <v>0</v>
      </c>
      <c r="K11" s="337">
        <v>0</v>
      </c>
      <c r="L11" s="337">
        <v>0</v>
      </c>
      <c r="M11" s="337">
        <v>0</v>
      </c>
      <c r="N11" s="209">
        <v>0</v>
      </c>
      <c r="O11" s="337">
        <v>0</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0</v>
      </c>
      <c r="AS11" s="210">
        <v>4516118.92</v>
      </c>
      <c r="AT11" s="168"/>
      <c r="AU11" s="172"/>
    </row>
    <row r="12" spans="1:47" x14ac:dyDescent="0.25">
      <c r="A12" s="216" t="s">
        <v>234</v>
      </c>
      <c r="B12" s="93" t="s">
        <v>235</v>
      </c>
      <c r="C12" s="37" t="s">
        <v>236</v>
      </c>
      <c r="D12" s="209">
        <v>0</v>
      </c>
      <c r="E12" s="339"/>
      <c r="F12" s="339"/>
      <c r="G12" s="339"/>
      <c r="H12" s="339"/>
      <c r="I12" s="209">
        <v>0</v>
      </c>
      <c r="J12" s="339"/>
      <c r="K12" s="339"/>
      <c r="L12" s="339"/>
      <c r="M12" s="339"/>
      <c r="N12" s="209">
        <v>0</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69885.39</v>
      </c>
      <c r="AS12" s="210">
        <v>4127319.48</v>
      </c>
      <c r="AT12" s="168"/>
      <c r="AU12" s="172"/>
    </row>
    <row r="13" spans="1:47" x14ac:dyDescent="0.25">
      <c r="A13" s="216" t="s">
        <v>237</v>
      </c>
      <c r="B13" s="93" t="s">
        <v>238</v>
      </c>
      <c r="C13" s="37" t="s">
        <v>239</v>
      </c>
      <c r="D13" s="209">
        <v>0</v>
      </c>
      <c r="E13" s="337">
        <v>0</v>
      </c>
      <c r="F13" s="337">
        <v>0</v>
      </c>
      <c r="G13" s="337">
        <v>0</v>
      </c>
      <c r="H13" s="337">
        <v>0</v>
      </c>
      <c r="I13" s="209">
        <v>16362.76</v>
      </c>
      <c r="J13" s="337">
        <v>16362.76</v>
      </c>
      <c r="K13" s="337">
        <v>0</v>
      </c>
      <c r="L13" s="337">
        <v>0</v>
      </c>
      <c r="M13" s="337">
        <v>0</v>
      </c>
      <c r="N13" s="209">
        <v>0</v>
      </c>
      <c r="O13" s="337">
        <v>0</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343.31</v>
      </c>
      <c r="AS13" s="210">
        <v>1871134.17</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-4180.6000000000004</v>
      </c>
      <c r="F16" s="337">
        <v>0</v>
      </c>
      <c r="G16" s="337">
        <v>0</v>
      </c>
      <c r="H16" s="337">
        <v>0</v>
      </c>
      <c r="I16" s="209">
        <v>0</v>
      </c>
      <c r="J16" s="337">
        <v>742162.36</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82397.2</v>
      </c>
      <c r="E23" s="148"/>
      <c r="F23" s="148"/>
      <c r="G23" s="148"/>
      <c r="H23" s="148"/>
      <c r="I23" s="209">
        <v>16373353.140000001</v>
      </c>
      <c r="J23" s="148"/>
      <c r="K23" s="148"/>
      <c r="L23" s="148"/>
      <c r="M23" s="148"/>
      <c r="N23" s="209">
        <v>32031122.18</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0</v>
      </c>
      <c r="AR23" s="210">
        <v>142577539.33000001</v>
      </c>
      <c r="AS23" s="210">
        <v>57852562.390000001</v>
      </c>
      <c r="AT23" s="168"/>
      <c r="AU23" s="172"/>
    </row>
    <row r="24" spans="1:47" ht="28.5" customHeight="1" x14ac:dyDescent="0.25">
      <c r="A24" s="216" t="s">
        <v>258</v>
      </c>
      <c r="B24" s="79" t="s">
        <v>259</v>
      </c>
      <c r="C24" s="37"/>
      <c r="D24" s="380"/>
      <c r="E24" s="337">
        <v>92507.32</v>
      </c>
      <c r="F24" s="337">
        <v>0</v>
      </c>
      <c r="G24" s="337">
        <v>0</v>
      </c>
      <c r="H24" s="337">
        <v>0</v>
      </c>
      <c r="I24" s="380"/>
      <c r="J24" s="337">
        <v>16360177.039999999</v>
      </c>
      <c r="K24" s="337">
        <v>0</v>
      </c>
      <c r="L24" s="337">
        <v>0</v>
      </c>
      <c r="M24" s="337">
        <v>0</v>
      </c>
      <c r="N24" s="380"/>
      <c r="O24" s="337">
        <v>30549862.370000001</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14183.78</v>
      </c>
      <c r="E26" s="148"/>
      <c r="F26" s="148"/>
      <c r="G26" s="148"/>
      <c r="H26" s="148"/>
      <c r="I26" s="209">
        <v>1839826.05</v>
      </c>
      <c r="J26" s="148"/>
      <c r="K26" s="148"/>
      <c r="L26" s="148"/>
      <c r="M26" s="148"/>
      <c r="N26" s="209">
        <v>2978918.88</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0</v>
      </c>
      <c r="AR26" s="210">
        <v>11583251.779999999</v>
      </c>
      <c r="AS26" s="210">
        <v>3509492.09</v>
      </c>
      <c r="AT26" s="168"/>
      <c r="AU26" s="172"/>
    </row>
    <row r="27" spans="1:47" ht="26.4" x14ac:dyDescent="0.25">
      <c r="A27" s="216" t="s">
        <v>264</v>
      </c>
      <c r="B27" s="79" t="s">
        <v>265</v>
      </c>
      <c r="C27" s="37"/>
      <c r="D27" s="380"/>
      <c r="E27" s="337">
        <v>1714.27</v>
      </c>
      <c r="F27" s="337">
        <v>0</v>
      </c>
      <c r="G27" s="337">
        <v>0</v>
      </c>
      <c r="H27" s="337">
        <v>0</v>
      </c>
      <c r="I27" s="380"/>
      <c r="J27" s="337">
        <v>215311.21</v>
      </c>
      <c r="K27" s="337">
        <v>0</v>
      </c>
      <c r="L27" s="337">
        <v>0</v>
      </c>
      <c r="M27" s="337">
        <v>0</v>
      </c>
      <c r="N27" s="380"/>
      <c r="O27" s="337">
        <v>383820.75</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4114.82</v>
      </c>
      <c r="E28" s="339"/>
      <c r="F28" s="339"/>
      <c r="G28" s="339"/>
      <c r="H28" s="339"/>
      <c r="I28" s="209">
        <v>1675178.16</v>
      </c>
      <c r="J28" s="339"/>
      <c r="K28" s="339"/>
      <c r="L28" s="339"/>
      <c r="M28" s="339"/>
      <c r="N28" s="209">
        <v>4493015.3099999996</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0</v>
      </c>
      <c r="AR28" s="210">
        <v>7621236.0300000003</v>
      </c>
      <c r="AS28" s="210">
        <v>2923219.41</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852.88</v>
      </c>
      <c r="E30" s="148"/>
      <c r="F30" s="148"/>
      <c r="G30" s="148"/>
      <c r="H30" s="148"/>
      <c r="I30" s="209">
        <v>38497.74</v>
      </c>
      <c r="J30" s="148"/>
      <c r="K30" s="148"/>
      <c r="L30" s="148"/>
      <c r="M30" s="148"/>
      <c r="N30" s="209">
        <v>58239.93</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2817020.33</v>
      </c>
      <c r="AS30" s="210">
        <v>548.61</v>
      </c>
      <c r="AT30" s="168"/>
      <c r="AU30" s="172"/>
    </row>
    <row r="31" spans="1:47" ht="26.4" x14ac:dyDescent="0.25">
      <c r="A31" s="216" t="s">
        <v>273</v>
      </c>
      <c r="B31" s="79" t="s">
        <v>274</v>
      </c>
      <c r="C31" s="37"/>
      <c r="D31" s="380"/>
      <c r="E31" s="337">
        <v>0</v>
      </c>
      <c r="F31" s="337">
        <v>0</v>
      </c>
      <c r="G31" s="337">
        <v>0</v>
      </c>
      <c r="H31" s="337">
        <v>0</v>
      </c>
      <c r="I31" s="380"/>
      <c r="J31" s="337">
        <v>-884.62</v>
      </c>
      <c r="K31" s="337">
        <v>0</v>
      </c>
      <c r="L31" s="337">
        <v>0</v>
      </c>
      <c r="M31" s="337">
        <v>0</v>
      </c>
      <c r="N31" s="380"/>
      <c r="O31" s="337">
        <v>-584.34</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2588.63</v>
      </c>
      <c r="E32" s="339"/>
      <c r="F32" s="339"/>
      <c r="G32" s="339"/>
      <c r="H32" s="339"/>
      <c r="I32" s="209">
        <v>35628.730000000003</v>
      </c>
      <c r="J32" s="339"/>
      <c r="K32" s="339"/>
      <c r="L32" s="339"/>
      <c r="M32" s="339"/>
      <c r="N32" s="209">
        <v>102061.14</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2467237.77</v>
      </c>
      <c r="AS32" s="210">
        <v>483.79</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121211.71</v>
      </c>
      <c r="E34" s="148"/>
      <c r="F34" s="148"/>
      <c r="G34" s="148"/>
      <c r="H34" s="148"/>
      <c r="I34" s="209">
        <v>0</v>
      </c>
      <c r="J34" s="148"/>
      <c r="K34" s="148"/>
      <c r="L34" s="148"/>
      <c r="M34" s="148"/>
      <c r="N34" s="209">
        <v>0</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71169.240000000005</v>
      </c>
      <c r="AS34" s="210">
        <v>0</v>
      </c>
      <c r="AT34" s="168"/>
      <c r="AU34" s="172"/>
    </row>
    <row r="35" spans="1:47" x14ac:dyDescent="0.25">
      <c r="A35" s="216" t="s">
        <v>282</v>
      </c>
      <c r="B35" s="79" t="s">
        <v>283</v>
      </c>
      <c r="C35" s="37"/>
      <c r="D35" s="380"/>
      <c r="E35" s="337">
        <v>121211.71</v>
      </c>
      <c r="F35" s="337">
        <v>0</v>
      </c>
      <c r="G35" s="337">
        <v>0</v>
      </c>
      <c r="H35" s="337">
        <v>0</v>
      </c>
      <c r="I35" s="380"/>
      <c r="J35" s="337">
        <v>0</v>
      </c>
      <c r="K35" s="337">
        <v>0</v>
      </c>
      <c r="L35" s="337">
        <v>0</v>
      </c>
      <c r="M35" s="337">
        <v>0</v>
      </c>
      <c r="N35" s="380"/>
      <c r="O35" s="337">
        <v>0</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104755.74</v>
      </c>
      <c r="E36" s="337">
        <v>104755.74</v>
      </c>
      <c r="F36" s="337">
        <v>0</v>
      </c>
      <c r="G36" s="337">
        <v>0</v>
      </c>
      <c r="H36" s="337">
        <v>0</v>
      </c>
      <c r="I36" s="209">
        <v>0</v>
      </c>
      <c r="J36" s="337">
        <v>0</v>
      </c>
      <c r="K36" s="337">
        <v>0</v>
      </c>
      <c r="L36" s="337">
        <v>0</v>
      </c>
      <c r="M36" s="337">
        <v>0</v>
      </c>
      <c r="N36" s="209">
        <v>0</v>
      </c>
      <c r="O36" s="337">
        <v>0</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105573.59</v>
      </c>
      <c r="AS36" s="210">
        <v>0</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3339.06</v>
      </c>
      <c r="E38" s="148"/>
      <c r="F38" s="148"/>
      <c r="G38" s="148"/>
      <c r="H38" s="148"/>
      <c r="I38" s="209">
        <v>0</v>
      </c>
      <c r="J38" s="148"/>
      <c r="K38" s="148"/>
      <c r="L38" s="148"/>
      <c r="M38" s="148"/>
      <c r="N38" s="209">
        <v>0</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-1429641.11</v>
      </c>
      <c r="AS38" s="210">
        <v>2763077.49</v>
      </c>
      <c r="AT38" s="168"/>
      <c r="AU38" s="172"/>
    </row>
    <row r="39" spans="1:47" ht="26.4" x14ac:dyDescent="0.25">
      <c r="A39" s="216" t="s">
        <v>291</v>
      </c>
      <c r="B39" s="79" t="s">
        <v>292</v>
      </c>
      <c r="C39" s="37"/>
      <c r="D39" s="380"/>
      <c r="E39" s="337">
        <v>-3824.4</v>
      </c>
      <c r="F39" s="337">
        <v>0</v>
      </c>
      <c r="G39" s="337">
        <v>0</v>
      </c>
      <c r="H39" s="337">
        <v>0</v>
      </c>
      <c r="I39" s="380"/>
      <c r="J39" s="337">
        <v>0</v>
      </c>
      <c r="K39" s="337">
        <v>0</v>
      </c>
      <c r="L39" s="337">
        <v>0</v>
      </c>
      <c r="M39" s="337">
        <v>0</v>
      </c>
      <c r="N39" s="380"/>
      <c r="O39" s="337">
        <v>0</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0</v>
      </c>
      <c r="J41" s="148"/>
      <c r="K41" s="148"/>
      <c r="L41" s="148"/>
      <c r="M41" s="148"/>
      <c r="N41" s="209">
        <v>0</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0</v>
      </c>
      <c r="AS41" s="210">
        <v>4516118.92</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0</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0</v>
      </c>
      <c r="E43" s="339"/>
      <c r="F43" s="339"/>
      <c r="G43" s="339"/>
      <c r="H43" s="339"/>
      <c r="I43" s="209">
        <v>0</v>
      </c>
      <c r="J43" s="339"/>
      <c r="K43" s="339"/>
      <c r="L43" s="339"/>
      <c r="M43" s="339"/>
      <c r="N43" s="209">
        <v>0</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69885.39</v>
      </c>
      <c r="AS43" s="210">
        <v>4127319.48</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v>
      </c>
      <c r="E45" s="337">
        <v>0</v>
      </c>
      <c r="F45" s="337">
        <v>0</v>
      </c>
      <c r="G45" s="337">
        <v>0</v>
      </c>
      <c r="H45" s="337">
        <v>0</v>
      </c>
      <c r="I45" s="209">
        <v>885.04</v>
      </c>
      <c r="J45" s="337">
        <v>42.06</v>
      </c>
      <c r="K45" s="337">
        <v>0</v>
      </c>
      <c r="L45" s="337">
        <v>0</v>
      </c>
      <c r="M45" s="337">
        <v>0</v>
      </c>
      <c r="N45" s="209">
        <v>172.2</v>
      </c>
      <c r="O45" s="337">
        <v>277.83999999999997</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-5005.28</v>
      </c>
      <c r="AS45" s="210">
        <v>135202.18</v>
      </c>
      <c r="AT45" s="168"/>
      <c r="AU45" s="172"/>
    </row>
    <row r="46" spans="1:47" x14ac:dyDescent="0.25">
      <c r="A46" s="216" t="s">
        <v>306</v>
      </c>
      <c r="B46" s="93" t="s">
        <v>307</v>
      </c>
      <c r="C46" s="37" t="s">
        <v>308</v>
      </c>
      <c r="D46" s="209">
        <v>0</v>
      </c>
      <c r="E46" s="337">
        <v>0</v>
      </c>
      <c r="F46" s="337">
        <v>0</v>
      </c>
      <c r="G46" s="337">
        <v>0</v>
      </c>
      <c r="H46" s="337">
        <v>0</v>
      </c>
      <c r="I46" s="209">
        <v>1990.28</v>
      </c>
      <c r="J46" s="337">
        <v>1492.45</v>
      </c>
      <c r="K46" s="337">
        <v>0</v>
      </c>
      <c r="L46" s="337">
        <v>0</v>
      </c>
      <c r="M46" s="337">
        <v>0</v>
      </c>
      <c r="N46" s="209">
        <v>7962.6</v>
      </c>
      <c r="O46" s="337">
        <v>6327.43</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v>
      </c>
      <c r="AR46" s="210">
        <v>0</v>
      </c>
      <c r="AS46" s="210">
        <v>332.43</v>
      </c>
      <c r="AT46" s="168"/>
      <c r="AU46" s="172"/>
    </row>
    <row r="47" spans="1:47" x14ac:dyDescent="0.25">
      <c r="A47" s="216" t="s">
        <v>309</v>
      </c>
      <c r="B47" s="93" t="s">
        <v>310</v>
      </c>
      <c r="C47" s="37" t="s">
        <v>311</v>
      </c>
      <c r="D47" s="209">
        <v>0</v>
      </c>
      <c r="E47" s="339"/>
      <c r="F47" s="339"/>
      <c r="G47" s="339"/>
      <c r="H47" s="339"/>
      <c r="I47" s="209">
        <v>394.98</v>
      </c>
      <c r="J47" s="339"/>
      <c r="K47" s="339"/>
      <c r="L47" s="339"/>
      <c r="M47" s="339"/>
      <c r="N47" s="209">
        <v>1335.36</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v>
      </c>
      <c r="AR47" s="210">
        <v>0</v>
      </c>
      <c r="AS47" s="210">
        <v>-829.9</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0</v>
      </c>
      <c r="E49" s="337">
        <v>409.27</v>
      </c>
      <c r="F49" s="337">
        <v>0</v>
      </c>
      <c r="G49" s="337">
        <v>0</v>
      </c>
      <c r="H49" s="337">
        <v>0</v>
      </c>
      <c r="I49" s="209">
        <v>458403.69</v>
      </c>
      <c r="J49" s="337">
        <v>181290.46</v>
      </c>
      <c r="K49" s="337">
        <v>0</v>
      </c>
      <c r="L49" s="337">
        <v>0</v>
      </c>
      <c r="M49" s="337">
        <v>0</v>
      </c>
      <c r="N49" s="209">
        <v>960206.96</v>
      </c>
      <c r="O49" s="337">
        <v>318365.28999999998</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0</v>
      </c>
      <c r="AR49" s="210">
        <v>10364.969999999999</v>
      </c>
      <c r="AS49" s="210">
        <v>23832738.949999999</v>
      </c>
      <c r="AT49" s="168"/>
      <c r="AU49" s="172"/>
    </row>
    <row r="50" spans="1:47" x14ac:dyDescent="0.25">
      <c r="A50" s="216" t="s">
        <v>316</v>
      </c>
      <c r="B50" s="93" t="s">
        <v>317</v>
      </c>
      <c r="C50" s="37" t="s">
        <v>318</v>
      </c>
      <c r="D50" s="209">
        <v>5515.18</v>
      </c>
      <c r="E50" s="339"/>
      <c r="F50" s="339"/>
      <c r="G50" s="339"/>
      <c r="H50" s="339"/>
      <c r="I50" s="209">
        <v>307674.32</v>
      </c>
      <c r="J50" s="339"/>
      <c r="K50" s="339"/>
      <c r="L50" s="339"/>
      <c r="M50" s="339"/>
      <c r="N50" s="209">
        <v>1254533.45</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0</v>
      </c>
      <c r="AR50" s="210">
        <v>18824</v>
      </c>
      <c r="AS50" s="210">
        <v>31176367.440000001</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116040.62</v>
      </c>
      <c r="E54" s="348">
        <v>106443.89</v>
      </c>
      <c r="F54" s="348">
        <v>0</v>
      </c>
      <c r="G54" s="348">
        <v>0</v>
      </c>
      <c r="H54" s="348">
        <v>0</v>
      </c>
      <c r="I54" s="347">
        <v>16392621.01</v>
      </c>
      <c r="J54" s="348">
        <v>16394847.68</v>
      </c>
      <c r="K54" s="348">
        <v>0</v>
      </c>
      <c r="L54" s="348">
        <v>0</v>
      </c>
      <c r="M54" s="348">
        <v>0</v>
      </c>
      <c r="N54" s="347">
        <v>30774330.469999999</v>
      </c>
      <c r="O54" s="348">
        <v>30621338.760000002</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0</v>
      </c>
      <c r="AR54" s="349">
        <v>145358860.53999999</v>
      </c>
      <c r="AS54" s="349">
        <v>69070769.819999993</v>
      </c>
      <c r="AT54" s="168"/>
      <c r="AU54" s="172"/>
    </row>
    <row r="55" spans="1:47" ht="26.4" x14ac:dyDescent="0.25">
      <c r="A55" s="216" t="s">
        <v>330</v>
      </c>
      <c r="B55" s="85" t="s">
        <v>331</v>
      </c>
      <c r="C55" s="69" t="s">
        <v>122</v>
      </c>
      <c r="D55" s="347">
        <v>0</v>
      </c>
      <c r="E55" s="348">
        <v>0</v>
      </c>
      <c r="F55" s="348">
        <v>0</v>
      </c>
      <c r="G55" s="348">
        <v>0</v>
      </c>
      <c r="H55" s="348">
        <v>0</v>
      </c>
      <c r="I55" s="347">
        <v>1313.77</v>
      </c>
      <c r="J55" s="348">
        <v>1313.77</v>
      </c>
      <c r="K55" s="348">
        <v>0</v>
      </c>
      <c r="L55" s="348">
        <v>0</v>
      </c>
      <c r="M55" s="348">
        <v>0</v>
      </c>
      <c r="N55" s="347">
        <v>0</v>
      </c>
      <c r="O55" s="348">
        <v>0</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0</v>
      </c>
      <c r="AS55" s="349">
        <v>0</v>
      </c>
      <c r="AT55" s="168"/>
      <c r="AU55" s="172"/>
    </row>
    <row r="56" spans="1:47" ht="13.2" customHeight="1" x14ac:dyDescent="0.25">
      <c r="A56" s="216" t="s">
        <v>332</v>
      </c>
      <c r="B56" s="93" t="s">
        <v>333</v>
      </c>
      <c r="C56" s="69" t="s">
        <v>334</v>
      </c>
      <c r="D56" s="209">
        <v>662.54</v>
      </c>
      <c r="E56" s="337">
        <v>662.54</v>
      </c>
      <c r="F56" s="337">
        <v>0</v>
      </c>
      <c r="G56" s="337">
        <v>0</v>
      </c>
      <c r="H56" s="337">
        <v>0</v>
      </c>
      <c r="I56" s="209">
        <v>63754.57</v>
      </c>
      <c r="J56" s="337">
        <v>63733.94</v>
      </c>
      <c r="K56" s="337">
        <v>0</v>
      </c>
      <c r="L56" s="337">
        <v>0</v>
      </c>
      <c r="M56" s="337">
        <v>0</v>
      </c>
      <c r="N56" s="209">
        <v>123266.62</v>
      </c>
      <c r="O56" s="337">
        <v>123268.28</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0</v>
      </c>
      <c r="AR56" s="210">
        <v>13607.07</v>
      </c>
      <c r="AS56" s="210">
        <v>0</v>
      </c>
      <c r="AT56" s="210">
        <v>0</v>
      </c>
      <c r="AU56" s="172"/>
    </row>
    <row r="57" spans="1:47" x14ac:dyDescent="0.25">
      <c r="A57" s="216" t="s">
        <v>335</v>
      </c>
      <c r="B57" s="93" t="s">
        <v>336</v>
      </c>
      <c r="C57" s="69" t="s">
        <v>337</v>
      </c>
      <c r="D57" s="209">
        <v>0</v>
      </c>
      <c r="E57" s="337">
        <v>0</v>
      </c>
      <c r="F57" s="337">
        <v>0</v>
      </c>
      <c r="G57" s="337">
        <v>0</v>
      </c>
      <c r="H57" s="337">
        <v>0</v>
      </c>
      <c r="I57" s="209">
        <v>1313.77</v>
      </c>
      <c r="J57" s="337">
        <v>1313.77</v>
      </c>
      <c r="K57" s="337">
        <v>0</v>
      </c>
      <c r="L57" s="337">
        <v>0</v>
      </c>
      <c r="M57" s="337">
        <v>0</v>
      </c>
      <c r="N57" s="209">
        <v>0</v>
      </c>
      <c r="O57" s="337">
        <v>0</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0</v>
      </c>
      <c r="AS57" s="210">
        <v>0</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171877.6</v>
      </c>
      <c r="E2" s="224">
        <f>SUM('Pt 2 Premium and Claims'!E$5,'Pt 2 Premium and Claims'!E$6,-'Pt 2 Premium and Claims'!E$7,-'Pt 2 Premium and Claims'!E$13,'Pt 2 Premium and Claims'!E$14:'Pt 2 Premium and Claims'!E$17)</f>
        <v>179601.02</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20828648.869999997</v>
      </c>
      <c r="J2" s="224">
        <f>SUM('Pt 2 Premium and Claims'!J$5,'Pt 2 Premium and Claims'!J$6,-'Pt 2 Premium and Claims'!J$7,-'Pt 2 Premium and Claims'!J$13,'Pt 2 Premium and Claims'!J$14:'Pt 2 Premium and Claims'!J$17)</f>
        <v>21129585.649999999</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36995018.939999998</v>
      </c>
      <c r="O2" s="224">
        <f>SUM('Pt 2 Premium and Claims'!O$5,'Pt 2 Premium and Claims'!O$6,-'Pt 2 Premium and Claims'!O$7,-'Pt 2 Premium and Claims'!O$13,'Pt 2 Premium and Claims'!O$14:'Pt 2 Premium and Claims'!O$17)</f>
        <v>37027297.079999998</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166713947.51999998</v>
      </c>
      <c r="AS2" s="227">
        <f>SUM('Pt 2 Premium and Claims'!AS$5,'Pt 2 Premium and Claims'!AS$6,-'Pt 2 Premium and Claims'!AS$7,-'Pt 2 Premium and Claims'!AS$13,'Pt 2 Premium and Claims'!AS$14:'Pt 2 Premium and Claims'!AS$17)</f>
        <v>80112157.75</v>
      </c>
      <c r="AT2" s="228"/>
      <c r="AU2" s="229"/>
    </row>
    <row r="3" spans="1:47" ht="39.6" x14ac:dyDescent="0.3">
      <c r="A3" s="220" t="s">
        <v>91</v>
      </c>
      <c r="B3" s="221" t="s">
        <v>92</v>
      </c>
      <c r="C3" s="222"/>
      <c r="D3" s="223">
        <f>D$6</f>
        <v>116040.62</v>
      </c>
      <c r="E3" s="223">
        <f t="shared" ref="E3:AA3" si="0">E$6</f>
        <v>106443.89000000001</v>
      </c>
      <c r="F3" s="223">
        <f t="shared" si="0"/>
        <v>0</v>
      </c>
      <c r="G3" s="223">
        <f t="shared" si="0"/>
        <v>0</v>
      </c>
      <c r="H3" s="223">
        <f t="shared" si="0"/>
        <v>0</v>
      </c>
      <c r="I3" s="223">
        <f t="shared" si="0"/>
        <v>16392621.01</v>
      </c>
      <c r="J3" s="223">
        <f t="shared" si="0"/>
        <v>16394847.68</v>
      </c>
      <c r="K3" s="223">
        <f t="shared" si="0"/>
        <v>0</v>
      </c>
      <c r="L3" s="223">
        <f t="shared" si="0"/>
        <v>0</v>
      </c>
      <c r="M3" s="223">
        <f t="shared" si="0"/>
        <v>0</v>
      </c>
      <c r="N3" s="223">
        <f t="shared" si="0"/>
        <v>30774330.470000003</v>
      </c>
      <c r="O3" s="223">
        <f t="shared" si="0"/>
        <v>30621338.760000002</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0</v>
      </c>
      <c r="AR3" s="227">
        <f t="shared" si="1"/>
        <v>145358860.54000002</v>
      </c>
      <c r="AS3" s="227">
        <f t="shared" si="1"/>
        <v>69070769.820000008</v>
      </c>
      <c r="AT3" s="228"/>
      <c r="AU3" s="232"/>
    </row>
    <row r="4" spans="1:47" ht="79.2" x14ac:dyDescent="0.3">
      <c r="A4" s="220" t="s">
        <v>120</v>
      </c>
      <c r="B4" s="81" t="s">
        <v>121</v>
      </c>
      <c r="C4" s="233" t="s">
        <v>122</v>
      </c>
      <c r="D4" s="234">
        <f>D$7</f>
        <v>0</v>
      </c>
      <c r="E4" s="390">
        <f t="shared" ref="E4:AA4" si="2">E$7</f>
        <v>0</v>
      </c>
      <c r="F4" s="390">
        <f t="shared" si="2"/>
        <v>0</v>
      </c>
      <c r="G4" s="390">
        <f t="shared" si="2"/>
        <v>0</v>
      </c>
      <c r="H4" s="390">
        <f t="shared" si="2"/>
        <v>0</v>
      </c>
      <c r="I4" s="234">
        <f t="shared" si="2"/>
        <v>1313.77</v>
      </c>
      <c r="J4" s="390">
        <f t="shared" si="2"/>
        <v>1313.77</v>
      </c>
      <c r="K4" s="390">
        <f t="shared" si="2"/>
        <v>0</v>
      </c>
      <c r="L4" s="390">
        <f t="shared" si="2"/>
        <v>0</v>
      </c>
      <c r="M4" s="390">
        <f t="shared" si="2"/>
        <v>0</v>
      </c>
      <c r="N4" s="234">
        <f t="shared" si="2"/>
        <v>0</v>
      </c>
      <c r="O4" s="390">
        <f t="shared" si="2"/>
        <v>0</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0</v>
      </c>
      <c r="AS4" s="236">
        <f t="shared" si="3"/>
        <v>0</v>
      </c>
      <c r="AT4" s="237"/>
      <c r="AU4" s="238"/>
    </row>
    <row r="5" spans="1:47" ht="26.4" x14ac:dyDescent="0.3">
      <c r="A5" s="220" t="s">
        <v>208</v>
      </c>
      <c r="B5" s="81" t="s">
        <v>209</v>
      </c>
      <c r="C5" s="233"/>
      <c r="D5" s="239">
        <f>'Pt 1 Summary of Data'!D$59/12</f>
        <v>39.75</v>
      </c>
      <c r="E5" s="391">
        <f>'Pt 1 Summary of Data'!E$59/12</f>
        <v>39.75</v>
      </c>
      <c r="F5" s="391">
        <f>'Pt 1 Summary of Data'!F$59/12</f>
        <v>0</v>
      </c>
      <c r="G5" s="391">
        <f>'Pt 1 Summary of Data'!G$59/12</f>
        <v>0</v>
      </c>
      <c r="H5" s="391">
        <f>'Pt 1 Summary of Data'!H$59/12</f>
        <v>0</v>
      </c>
      <c r="I5" s="239">
        <f>'Pt 1 Summary of Data'!I$59/12</f>
        <v>4360.916666666667</v>
      </c>
      <c r="J5" s="391">
        <f>'Pt 1 Summary of Data'!J$59/12</f>
        <v>4367.333333333333</v>
      </c>
      <c r="K5" s="391">
        <f>'Pt 1 Summary of Data'!K$59/12</f>
        <v>0</v>
      </c>
      <c r="L5" s="391">
        <f>'Pt 1 Summary of Data'!L$59/12</f>
        <v>0</v>
      </c>
      <c r="M5" s="391">
        <f>'Pt 1 Summary of Data'!M$59/12</f>
        <v>0</v>
      </c>
      <c r="N5" s="239">
        <f>'Pt 1 Summary of Data'!N$59/12</f>
        <v>8284.6666666666661</v>
      </c>
      <c r="O5" s="391">
        <f>'Pt 1 Summary of Data'!O$59/12</f>
        <v>8282.6666666666661</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92259.25</v>
      </c>
      <c r="AS5" s="242">
        <f>'Pt 1 Summary of Data'!AS$59/12</f>
        <v>43567</v>
      </c>
      <c r="AT5" s="242">
        <f>'Pt 1 Summary of Data'!AT$59/12</f>
        <v>0</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116040.62</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106443.89000000001</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16392621.01</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16394847.68</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30774330.470000003</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30621338.760000002</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0</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145358860.54000002</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69070769.820000008</v>
      </c>
      <c r="AT6" s="246"/>
      <c r="AU6" s="247"/>
    </row>
    <row r="7" spans="1:47" ht="92.4" x14ac:dyDescent="0.3">
      <c r="A7" s="220" t="s">
        <v>330</v>
      </c>
      <c r="B7" s="82" t="s">
        <v>331</v>
      </c>
      <c r="C7" s="248" t="s">
        <v>122</v>
      </c>
      <c r="D7" s="234">
        <f>MIN(MAX(0,'Pt 2 Premium and Claims'!D56),MAX(0,'Pt 2 Premium and Claims'!D57))</f>
        <v>0</v>
      </c>
      <c r="E7" s="390">
        <f>MIN(MAX(0,'Pt 2 Premium and Claims'!E56),MAX(0,'Pt 2 Premium and Claims'!E57))</f>
        <v>0</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1313.77</v>
      </c>
      <c r="J7" s="390">
        <f>MIN(MAX(0,'Pt 2 Premium and Claims'!J56),MAX(0,'Pt 2 Premium and Claims'!J57))</f>
        <v>1313.77</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0</v>
      </c>
      <c r="O7" s="390">
        <f>MIN(MAX(0,'Pt 2 Premium and Claims'!O56),MAX(0,'Pt 2 Premium and Claims'!O57))</f>
        <v>0</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0</v>
      </c>
      <c r="AS7" s="236">
        <f>MIN(MAX(0,'Pt 2 Premium and Claims'!AS56),MAX(0,'Pt 2 Premium and Claims'!AS57))</f>
        <v>0</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7" activePane="bottomRight" state="frozen"/>
      <selection pane="topRight" activeCell="B1" sqref="B1"/>
      <selection pane="bottomLeft" activeCell="B1" sqref="B1"/>
      <selection pane="bottomRight"/>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172189.1</v>
      </c>
      <c r="D5" s="60">
        <v>182329.89</v>
      </c>
      <c r="E5" s="185"/>
      <c r="F5" s="185"/>
      <c r="G5" s="59">
        <v>10070000.77</v>
      </c>
      <c r="H5" s="60">
        <v>10248031.84</v>
      </c>
      <c r="I5" s="185"/>
      <c r="J5" s="185"/>
      <c r="K5" s="59">
        <v>27112242.07</v>
      </c>
      <c r="L5" s="60">
        <v>40727074.68</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173151.09</v>
      </c>
      <c r="D6" s="337">
        <v>184491.69</v>
      </c>
      <c r="E6" s="348">
        <v>106443.89</v>
      </c>
      <c r="F6" s="348">
        <v>464086.67</v>
      </c>
      <c r="G6" s="209">
        <v>10481902.85</v>
      </c>
      <c r="H6" s="337">
        <v>10377803.01</v>
      </c>
      <c r="I6" s="348">
        <v>16396161.449999999</v>
      </c>
      <c r="J6" s="348">
        <v>37255867.310000002</v>
      </c>
      <c r="K6" s="209">
        <v>27550516.850000001</v>
      </c>
      <c r="L6" s="337">
        <v>40575872.43</v>
      </c>
      <c r="M6" s="348">
        <v>30621338.760000002</v>
      </c>
      <c r="N6" s="348">
        <v>98747728.040000007</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1707.51</v>
      </c>
      <c r="D7" s="337">
        <v>1215.48</v>
      </c>
      <c r="E7" s="348">
        <v>1398.76</v>
      </c>
      <c r="F7" s="348">
        <v>4321.75</v>
      </c>
      <c r="G7" s="209">
        <v>150886.34</v>
      </c>
      <c r="H7" s="337">
        <v>141397.32</v>
      </c>
      <c r="I7" s="348">
        <v>235413.81</v>
      </c>
      <c r="J7" s="348">
        <v>527697.47</v>
      </c>
      <c r="K7" s="209">
        <v>401856.55</v>
      </c>
      <c r="L7" s="337">
        <v>532200.6</v>
      </c>
      <c r="M7" s="348">
        <v>461202.68</v>
      </c>
      <c r="N7" s="348">
        <v>1395259.83</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0</v>
      </c>
      <c r="D10" s="337">
        <v>-15562.08</v>
      </c>
      <c r="E10" s="348">
        <v>-4180.6000000000004</v>
      </c>
      <c r="F10" s="348">
        <v>-19742.68</v>
      </c>
      <c r="G10" s="209">
        <v>-724205.96</v>
      </c>
      <c r="H10" s="337">
        <v>-35789.93</v>
      </c>
      <c r="I10" s="348">
        <v>742162.36</v>
      </c>
      <c r="J10" s="348">
        <v>-17833.53</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174858.6</v>
      </c>
      <c r="D12" s="348">
        <v>201269.25</v>
      </c>
      <c r="E12" s="348">
        <v>112023.25</v>
      </c>
      <c r="F12" s="348">
        <v>488151.1</v>
      </c>
      <c r="G12" s="347">
        <v>11356995.15</v>
      </c>
      <c r="H12" s="348">
        <v>10554990.26</v>
      </c>
      <c r="I12" s="348">
        <v>15889412.9</v>
      </c>
      <c r="J12" s="348">
        <v>37801398.310000002</v>
      </c>
      <c r="K12" s="347">
        <v>27952373.399999999</v>
      </c>
      <c r="L12" s="348">
        <v>41108073.030000001</v>
      </c>
      <c r="M12" s="348">
        <v>31082541.440000001</v>
      </c>
      <c r="N12" s="348">
        <v>100142987.87</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283019.58</v>
      </c>
      <c r="D15" s="60">
        <v>218145.61</v>
      </c>
      <c r="E15" s="56">
        <v>183546.57</v>
      </c>
      <c r="F15" s="56">
        <v>684711.76</v>
      </c>
      <c r="G15" s="59">
        <v>15441392.02</v>
      </c>
      <c r="H15" s="60">
        <v>14224763.800000001</v>
      </c>
      <c r="I15" s="56">
        <v>20387111.129999999</v>
      </c>
      <c r="J15" s="56">
        <v>50053266.950000003</v>
      </c>
      <c r="K15" s="59">
        <v>34281318.899999999</v>
      </c>
      <c r="L15" s="60">
        <v>44744437.579999998</v>
      </c>
      <c r="M15" s="56">
        <v>36998662.009999998</v>
      </c>
      <c r="N15" s="56">
        <v>116024418.48999999</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65703.14</v>
      </c>
      <c r="D16" s="337">
        <v>50309.95</v>
      </c>
      <c r="E16" s="348">
        <v>24318.68</v>
      </c>
      <c r="F16" s="348">
        <v>140331.76999999999</v>
      </c>
      <c r="G16" s="209">
        <v>1905858.65</v>
      </c>
      <c r="H16" s="337">
        <v>921340.81</v>
      </c>
      <c r="I16" s="348">
        <v>797826.25</v>
      </c>
      <c r="J16" s="348">
        <v>3625025.71</v>
      </c>
      <c r="K16" s="209">
        <v>3158738</v>
      </c>
      <c r="L16" s="337">
        <v>1193786.5900000001</v>
      </c>
      <c r="M16" s="348">
        <v>834526.68</v>
      </c>
      <c r="N16" s="348">
        <v>5187051.2699999996</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217316.44</v>
      </c>
      <c r="D17" s="348">
        <v>167835.66</v>
      </c>
      <c r="E17" s="348">
        <v>159227.89000000001</v>
      </c>
      <c r="F17" s="348">
        <v>544379.99</v>
      </c>
      <c r="G17" s="347">
        <v>13535533.369999999</v>
      </c>
      <c r="H17" s="348">
        <v>13303422.99</v>
      </c>
      <c r="I17" s="348">
        <v>19589284.879999999</v>
      </c>
      <c r="J17" s="348">
        <v>46428241.240000002</v>
      </c>
      <c r="K17" s="347">
        <v>31122580.899999999</v>
      </c>
      <c r="L17" s="348">
        <v>43550650.990000002</v>
      </c>
      <c r="M17" s="348">
        <v>36164135.329999998</v>
      </c>
      <c r="N17" s="348">
        <v>110837367.22</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58.33</v>
      </c>
      <c r="D19" s="63">
        <v>48.08</v>
      </c>
      <c r="E19" s="131">
        <v>39.75</v>
      </c>
      <c r="F19" s="131">
        <v>146.16</v>
      </c>
      <c r="G19" s="62">
        <v>3658.92</v>
      </c>
      <c r="H19" s="63">
        <v>3213.33</v>
      </c>
      <c r="I19" s="131">
        <v>4367.3333333333303</v>
      </c>
      <c r="J19" s="131">
        <v>11239.583333333299</v>
      </c>
      <c r="K19" s="62">
        <v>8344.67</v>
      </c>
      <c r="L19" s="63">
        <v>10873.42</v>
      </c>
      <c r="M19" s="131">
        <v>8282.6666666666697</v>
      </c>
      <c r="N19" s="131">
        <v>27500.756666666701</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0</v>
      </c>
      <c r="G20" s="396"/>
      <c r="H20" s="397"/>
      <c r="I20" s="397"/>
      <c r="J20" s="398">
        <v>2.5173611111111101E-2</v>
      </c>
      <c r="K20" s="396"/>
      <c r="L20" s="397"/>
      <c r="M20" s="397"/>
      <c r="N20" s="398">
        <v>1.5599878933333301E-2</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0</v>
      </c>
      <c r="G23" s="150"/>
      <c r="H23" s="148"/>
      <c r="I23" s="148"/>
      <c r="J23" s="403">
        <v>2.5173611111111101E-2</v>
      </c>
      <c r="K23" s="150"/>
      <c r="L23" s="148"/>
      <c r="M23" s="148"/>
      <c r="N23" s="403">
        <v>1.5599878933333301E-2</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0.80462665410863499</v>
      </c>
      <c r="D26" s="403">
        <v>1.19920432880593</v>
      </c>
      <c r="E26" s="403">
        <v>0.70354037851032303</v>
      </c>
      <c r="F26" s="403"/>
      <c r="G26" s="405">
        <v>0.83905043410934299</v>
      </c>
      <c r="H26" s="403">
        <v>0.79340409366326603</v>
      </c>
      <c r="I26" s="403">
        <v>0.81112776690600696</v>
      </c>
      <c r="J26" s="403">
        <v>0.81418975391711401</v>
      </c>
      <c r="K26" s="405">
        <v>0.89813802684982302</v>
      </c>
      <c r="L26" s="403">
        <v>0.94391408843553504</v>
      </c>
      <c r="M26" s="403">
        <v>0.85948526506633904</v>
      </c>
      <c r="N26" s="403">
        <v>0.90351287099076605</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c r="G28" s="150"/>
      <c r="H28" s="148"/>
      <c r="I28" s="148"/>
      <c r="J28" s="403">
        <v>2.5173611111111101E-2</v>
      </c>
      <c r="K28" s="150"/>
      <c r="L28" s="148"/>
      <c r="M28" s="148"/>
      <c r="N28" s="403">
        <v>1.5599878933333301E-2</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c r="G29" s="150"/>
      <c r="H29" s="148"/>
      <c r="I29" s="148"/>
      <c r="J29" s="403">
        <v>0.83899999999999997</v>
      </c>
      <c r="K29" s="150"/>
      <c r="L29" s="148"/>
      <c r="M29" s="148"/>
      <c r="N29" s="403">
        <v>0.91900000000000004</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c r="G32" s="380"/>
      <c r="H32" s="339"/>
      <c r="I32" s="339"/>
      <c r="J32" s="403">
        <v>0.83899999999999997</v>
      </c>
      <c r="K32" s="380"/>
      <c r="L32" s="339"/>
      <c r="M32" s="339"/>
      <c r="N32" s="403">
        <v>0.91900000000000004</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c r="G33" s="150"/>
      <c r="H33" s="148"/>
      <c r="I33" s="148"/>
      <c r="J33" s="348">
        <v>19589284.879999999</v>
      </c>
      <c r="K33" s="150"/>
      <c r="L33" s="148"/>
      <c r="M33" s="148"/>
      <c r="N33" s="348">
        <v>36164135.329999998</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0</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c r="D35" s="348"/>
      <c r="E35" s="348"/>
      <c r="F35" s="148"/>
      <c r="G35" s="347">
        <v>0</v>
      </c>
      <c r="H35" s="348">
        <v>0</v>
      </c>
      <c r="I35" s="348">
        <v>0</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c r="D37" s="348"/>
      <c r="E37" s="348"/>
      <c r="F37" s="148"/>
      <c r="G37" s="347">
        <v>0</v>
      </c>
      <c r="H37" s="348">
        <v>0</v>
      </c>
      <c r="I37" s="348">
        <v>0</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c r="D38" s="348"/>
      <c r="E38" s="348"/>
      <c r="F38" s="348"/>
      <c r="G38" s="347">
        <v>0</v>
      </c>
      <c r="H38" s="348">
        <v>0</v>
      </c>
      <c r="I38" s="348">
        <v>0</v>
      </c>
      <c r="J38" s="348">
        <v>0</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172189.1</v>
      </c>
      <c r="D5" s="273">
        <f>'Pt 3 MLR and Rebate Calculation'!D5</f>
        <v>182329.89</v>
      </c>
      <c r="E5" s="255"/>
      <c r="F5" s="255"/>
      <c r="G5" s="272">
        <f>'Pt 3 MLR and Rebate Calculation'!G5</f>
        <v>10070000.77</v>
      </c>
      <c r="H5" s="273">
        <f>'Pt 3 MLR and Rebate Calculation'!H5</f>
        <v>10248031.84</v>
      </c>
      <c r="I5" s="255"/>
      <c r="J5" s="255"/>
      <c r="K5" s="272">
        <f>'Pt 3 MLR and Rebate Calculation'!K5</f>
        <v>27112242.07</v>
      </c>
      <c r="L5" s="273">
        <f>'Pt 3 MLR and Rebate Calculation'!L5</f>
        <v>40727074.68</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173151.09</v>
      </c>
      <c r="D6" s="406">
        <f>'Pt 3 MLR and Rebate Calculation'!D6</f>
        <v>184491.69</v>
      </c>
      <c r="E6" s="390">
        <f>SUM('Pt1_2 Formula Sheet'!E3,'Pt1_2 Formula Sheet'!E4)+SUM('Pt1_2 Formula Sheet'!G3,'Pt1_2 Formula Sheet'!G4)-SUM('Pt1_2 Formula Sheet'!H3,'Pt1_2 Formula Sheet'!H4)</f>
        <v>106443.89000000001</v>
      </c>
      <c r="F6" s="390">
        <f t="shared" ref="F6" si="0">SUM(C6:E6)</f>
        <v>464086.67000000004</v>
      </c>
      <c r="G6" s="258">
        <f>'Pt 3 MLR and Rebate Calculation'!G6</f>
        <v>10481902.85</v>
      </c>
      <c r="H6" s="406">
        <f>'Pt 3 MLR and Rebate Calculation'!H6</f>
        <v>10377803.01</v>
      </c>
      <c r="I6" s="390">
        <f>SUM('Pt1_2 Formula Sheet'!J3,'Pt1_2 Formula Sheet'!J4)+SUM('Pt1_2 Formula Sheet'!L3,'Pt1_2 Formula Sheet'!L4)-SUM('Pt1_2 Formula Sheet'!M3,'Pt1_2 Formula Sheet'!M4)</f>
        <v>16396161.449999999</v>
      </c>
      <c r="J6" s="390">
        <f>SUM(G6:I6)</f>
        <v>37255867.310000002</v>
      </c>
      <c r="K6" s="258">
        <f>'Pt 3 MLR and Rebate Calculation'!K6</f>
        <v>27550516.850000001</v>
      </c>
      <c r="L6" s="406">
        <f>'Pt 3 MLR and Rebate Calculation'!L6</f>
        <v>40575872.43</v>
      </c>
      <c r="M6" s="390">
        <f>SUM('Pt1_2 Formula Sheet'!O3,'Pt1_2 Formula Sheet'!O4)+SUM('Pt1_2 Formula Sheet'!Q3,'Pt1_2 Formula Sheet'!Q4)-SUM('Pt1_2 Formula Sheet'!R3,'Pt1_2 Formula Sheet'!R4)</f>
        <v>30621338.760000002</v>
      </c>
      <c r="N6" s="390">
        <f>SUM(K6:M6)</f>
        <v>98747728.040000007</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1707.51</v>
      </c>
      <c r="D7" s="274">
        <f>'Pt 3 MLR and Rebate Calculation'!D7</f>
        <v>1215.48</v>
      </c>
      <c r="E7" s="275">
        <f>MAX('Pt 1 Summary of Data'!$E$42+'Pt 1 Summary of Data'!$G$42-'Pt 1 Summary of Data'!$H$42,SUM('Pt 1 Summary of Data'!E$37:E$41)+SUM('Pt 1 Summary of Data'!G$37:G$41)-SUM('Pt 1 Summary of Data'!H$37:H$41))</f>
        <v>1398.7600000000002</v>
      </c>
      <c r="F7" s="275">
        <f t="shared" ref="F7:F11" si="1">SUM(C7:E7)</f>
        <v>4321.75</v>
      </c>
      <c r="G7" s="408">
        <f>'Pt 3 MLR and Rebate Calculation'!G7</f>
        <v>150886.34</v>
      </c>
      <c r="H7" s="274">
        <f>'Pt 3 MLR and Rebate Calculation'!H7</f>
        <v>141397.32</v>
      </c>
      <c r="I7" s="275">
        <f>MAX('Pt 1 Summary of Data'!$J$42+'Pt 1 Summary of Data'!$L$42-'Pt 1 Summary of Data'!$M$42,SUM('Pt 1 Summary of Data'!J$37:J$41)+SUM('Pt 1 Summary of Data'!L$37:L$41)-SUM('Pt 1 Summary of Data'!M$37:M$41))</f>
        <v>235413.81</v>
      </c>
      <c r="J7" s="275">
        <f>SUM(G7:I7)</f>
        <v>527697.47</v>
      </c>
      <c r="K7" s="408">
        <f>'Pt 3 MLR and Rebate Calculation'!K7</f>
        <v>401856.55</v>
      </c>
      <c r="L7" s="274">
        <f>'Pt 3 MLR and Rebate Calculation'!L7</f>
        <v>532200.6</v>
      </c>
      <c r="M7" s="275">
        <f>MAX('Pt 1 Summary of Data'!$O$42+'Pt 1 Summary of Data'!$Q$42-'Pt 1 Summary of Data'!$R$42,SUM('Pt 1 Summary of Data'!O$37:O$41)+SUM('Pt 1 Summary of Data'!Q$37:Q$41)-SUM('Pt 1 Summary of Data'!R$37:R$41))</f>
        <v>461202.68</v>
      </c>
      <c r="N7" s="275">
        <f>SUM(K7:M7)</f>
        <v>1395259.8299999998</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0</v>
      </c>
      <c r="D10" s="274">
        <f>'Pt 3 MLR and Rebate Calculation'!D10</f>
        <v>-15562.08</v>
      </c>
      <c r="E10" s="275">
        <f>'Pt 2 Premium and Claims'!E$16+'Pt 2 Premium and Claims'!G$16-'Pt 2 Premium and Claims'!H$16</f>
        <v>-4180.6000000000004</v>
      </c>
      <c r="F10" s="275">
        <f t="shared" si="1"/>
        <v>-19742.68</v>
      </c>
      <c r="G10" s="408">
        <f>'Pt 3 MLR and Rebate Calculation'!G10</f>
        <v>-724205.96</v>
      </c>
      <c r="H10" s="274">
        <f>'Pt 3 MLR and Rebate Calculation'!H10</f>
        <v>-35789.93</v>
      </c>
      <c r="I10" s="275">
        <f>'Pt 2 Premium and Claims'!J$16+'Pt 2 Premium and Claims'!L$16-'Pt 2 Premium and Claims'!M$16</f>
        <v>742162.36</v>
      </c>
      <c r="J10" s="275">
        <f>SUM(G10:I10)</f>
        <v>-17833.530000000028</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174858.6</v>
      </c>
      <c r="D12" s="279">
        <f>SUM(D$6:D$7)-SUM(D$8:D$11)+IF(AND(OR('Company Information'!$C$12="District of Columbia",'Company Information'!$C$12="Massachusetts",'Company Information'!$C$12="Vermont"),SUM($C$6:$F$11,$C$15:$F$16,$C$19:$D$19)&lt;&gt;0),SUM(H$6:H$7)-SUM(H$10:H$11),0)</f>
        <v>201269.25</v>
      </c>
      <c r="E12" s="279">
        <f>SUM(E$6:E$7)-SUM(E$8:E$11)+IF(AND(OR('Company Information'!$C$12="District of Columbia",'Company Information'!$C$12="Massachusetts",'Company Information'!$C$12="Vermont"),SUM($C$6:$F$11,$C$15:$F$16,$C$19:$D$19)&lt;&gt;0),SUM(I$6:I$7)-SUM(I$10:I$11),0)</f>
        <v>112023.25000000001</v>
      </c>
      <c r="F12" s="279">
        <f>IFERROR(SUM(C$12:E$12)+C$17*MAX(0,E$31-C$31)+D$17*MAX(0,E$31-D$31),0)</f>
        <v>488151.1</v>
      </c>
      <c r="G12" s="410">
        <f>SUM(G$6:G$7)-SUM(G$10:G$11)+IF(AND(OR('Company Information'!$C$12="District of Columbia",'Company Information'!$C$12="Massachusetts",'Company Information'!$C$12="Vermont"),SUM($G$6:$J$11,$G$15:$J$16,$G$19:$H$19)&lt;&gt;0),SUM(C$6:C$7)-SUM(C$8:C$11),0)</f>
        <v>11356995.149999999</v>
      </c>
      <c r="H12" s="279">
        <f>SUM(H$6:H$7)-SUM(H$10:H$11)+IF(AND(OR('Company Information'!$C$12="District of Columbia",'Company Information'!$C$12="Massachusetts",'Company Information'!$C$12="Vermont"),SUM($G$6:$J$11,$G$15:$J$16,$G$19:$H$19)&lt;&gt;0),SUM(D$6:D$7)-SUM(D$8:D$11),0)</f>
        <v>10554990.26</v>
      </c>
      <c r="I12" s="279">
        <f>SUM(I$6:I$7)-SUM(I$10:I$11)+IF(AND(OR('Company Information'!$C$12="District of Columbia",'Company Information'!$C$12="Massachusetts",'Company Information'!$C$12="Vermont"),SUM($G$6:$J$11,$G$15:$J$16,$G$19:$H$19)&lt;&gt;0),SUM(E$6:E$7)-SUM(E$8:E$11),0)</f>
        <v>15889412.9</v>
      </c>
      <c r="J12" s="279">
        <f>IFERROR(SUM(G$12:I$12)+G$17*MAX(0,I$31-G$31)+H$17*MAX(0,I$31-H$31),0)</f>
        <v>37801398.309999995</v>
      </c>
      <c r="K12" s="410">
        <f>SUM(K$6:K$7)</f>
        <v>27952373.400000002</v>
      </c>
      <c r="L12" s="279">
        <f>SUM(L$6:L$7)</f>
        <v>41108073.030000001</v>
      </c>
      <c r="M12" s="279">
        <f>SUM(M$6:M$7)</f>
        <v>31082541.440000001</v>
      </c>
      <c r="N12" s="279">
        <f>SUM(K$12:M$12)+K$17*MAX(0,M$31-K$31)+L$17*MAX(0,M$31-L$31)</f>
        <v>100142987.87</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283019.58</v>
      </c>
      <c r="D15" s="273">
        <f>'Pt 3 MLR and Rebate Calculation'!D15</f>
        <v>218145.61</v>
      </c>
      <c r="E15" s="282">
        <f>SUM('Pt1_2 Formula Sheet'!E$2,'Pt 1 Summary of Data'!E$6:E$7)+SUM('Pt1_2 Formula Sheet'!G$2,'Pt 1 Summary of Data'!G$6:G$7)-SUM('Pt1_2 Formula Sheet'!H$2,'Pt 1 Summary of Data'!H$6:H$7)-SUM(E$9:E$11)-$E$41</f>
        <v>183546.57</v>
      </c>
      <c r="F15" s="282">
        <f>SUM(C15:E15)</f>
        <v>684711.76</v>
      </c>
      <c r="G15" s="272">
        <f>'Pt 3 MLR and Rebate Calculation'!G15</f>
        <v>15441392.02</v>
      </c>
      <c r="H15" s="273">
        <f>'Pt 3 MLR and Rebate Calculation'!H15</f>
        <v>14224763.800000001</v>
      </c>
      <c r="I15" s="282">
        <f>SUM('Pt1_2 Formula Sheet'!J$2,'Pt 1 Summary of Data'!J$6:J$7)+SUM('Pt1_2 Formula Sheet'!L$2,'Pt 1 Summary of Data'!L$6:L$7)-SUM('Pt1_2 Formula Sheet'!M$2,'Pt 1 Summary of Data'!M$6:M$7)-SUM(I$10:I$11)-$I$41</f>
        <v>20387111.129999999</v>
      </c>
      <c r="J15" s="282">
        <f>SUM(G15:I15)</f>
        <v>50053266.950000003</v>
      </c>
      <c r="K15" s="272">
        <f>'Pt 3 MLR and Rebate Calculation'!K15</f>
        <v>34281318.899999999</v>
      </c>
      <c r="L15" s="273">
        <f>'Pt 3 MLR and Rebate Calculation'!L15</f>
        <v>44744437.579999998</v>
      </c>
      <c r="M15" s="282">
        <f>SUM('Pt1_2 Formula Sheet'!O$2,'Pt 1 Summary of Data'!O$6:O$7)+SUM('Pt1_2 Formula Sheet'!Q$2,'Pt 1 Summary of Data'!Q$6:Q$7)-SUM('Pt1_2 Formula Sheet'!R$2,'Pt 1 Summary of Data'!R$6:R$7)-$M$41</f>
        <v>36998662.009999998</v>
      </c>
      <c r="N15" s="282">
        <f>SUM(K15:M15)</f>
        <v>116024418.48999998</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65703.14</v>
      </c>
      <c r="D16" s="274">
        <f>'Pt 3 MLR and Rebate Calculation'!D16</f>
        <v>50309.95</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24318.680000000008</v>
      </c>
      <c r="F16" s="275">
        <f>SUM(C16:E16)</f>
        <v>140331.77000000002</v>
      </c>
      <c r="G16" s="408">
        <f>'Pt 3 MLR and Rebate Calculation'!G16</f>
        <v>1905858.65</v>
      </c>
      <c r="H16" s="274">
        <f>'Pt 3 MLR and Rebate Calculation'!H16</f>
        <v>921340.81</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797826.25</v>
      </c>
      <c r="J16" s="275">
        <f>SUM(G16:I16)</f>
        <v>3625025.71</v>
      </c>
      <c r="K16" s="408">
        <f>'Pt 3 MLR and Rebate Calculation'!K16</f>
        <v>3158738</v>
      </c>
      <c r="L16" s="274">
        <f>'Pt 3 MLR and Rebate Calculation'!L16</f>
        <v>1193786.5900000001</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834526.67999999993</v>
      </c>
      <c r="N16" s="275">
        <f>SUM(K16:M16)</f>
        <v>5187051.2699999996</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217316.44</v>
      </c>
      <c r="D17" s="279">
        <f>D$15-D$16+IF(AND(OR('Company Information'!$C$12="District of Columbia",'Company Information'!$C$12="Massachusetts",'Company Information'!$C$12="Vermont"),SUM($C$6:$F$11,$C$15:$F$16,$C$19:$D$19)&lt;&gt;0),H$15-H$16,0)</f>
        <v>167835.65999999997</v>
      </c>
      <c r="E17" s="279">
        <f>E$15-E$16+IF(AND(OR('Company Information'!$C$12="District of Columbia",'Company Information'!$C$12="Massachusetts",'Company Information'!$C$12="Vermont"),SUM($C$6:$F$11,$C$15:$F$16,$C$19:$D$19)&lt;&gt;0),I$15-I$16,0)</f>
        <v>159227.89000000001</v>
      </c>
      <c r="F17" s="279">
        <f>F$15-F$16+IF(AND(OR('Company Information'!$C$12="District of Columbia",'Company Information'!$C$12="Massachusetts",'Company Information'!$C$12="Vermont"),SUM($C$6:$F$11,$C$15:$F$16,$C$19:$D$19)&lt;&gt;0),J$15-J$16,0)</f>
        <v>544379.99</v>
      </c>
      <c r="G17" s="410">
        <f>G$15-G$16+IF(AND(OR('Company Information'!$C$12="District of Columbia",'Company Information'!$C$12="Massachusetts",'Company Information'!$C$12="Vermont"),SUM($G$6:$J$11,$G$15:$J$16,$G$19:$H$19)&lt;&gt;0),C$15-C$16,0)</f>
        <v>13535533.369999999</v>
      </c>
      <c r="H17" s="279">
        <f>H$15-H$16+IF(AND(OR('Company Information'!$C$12="District of Columbia",'Company Information'!$C$12="Massachusetts",'Company Information'!$C$12="Vermont"),SUM($G$6:$J$11,$G$15:$J$16,$G$19:$H$19)&lt;&gt;0),D$15-D$16,0)</f>
        <v>13303422.99</v>
      </c>
      <c r="I17" s="279">
        <f>I$15-I$16+IF(AND(OR('Company Information'!$C$12="District of Columbia",'Company Information'!$C$12="Massachusetts",'Company Information'!$C$12="Vermont"),SUM($G$6:$J$11,$G$15:$J$16,$G$19:$H$19)&lt;&gt;0),E$15-E$16,0)</f>
        <v>19589284.879999999</v>
      </c>
      <c r="J17" s="279">
        <f>J$15-J$16+IF(AND(OR('Company Information'!$C$12="District of Columbia",'Company Information'!$C$12="Massachusetts",'Company Information'!$C$12="Vermont"),SUM($G$6:$J$11,$G$15:$J$16,$G$19:$H$19)&lt;&gt;0),F$15-F$16,0)</f>
        <v>46428241.240000002</v>
      </c>
      <c r="K17" s="410">
        <f>K$15-K$16</f>
        <v>31122580.899999999</v>
      </c>
      <c r="L17" s="279">
        <f>L$15-L$16</f>
        <v>43550650.989999995</v>
      </c>
      <c r="M17" s="279">
        <f>M$15-M$16</f>
        <v>36164135.329999998</v>
      </c>
      <c r="N17" s="279">
        <f>N$15-N$16</f>
        <v>110837367.21999998</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58.33</v>
      </c>
      <c r="D19" s="285">
        <f>'Pt 3 MLR and Rebate Calculation'!D19</f>
        <v>48.08</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39.75</v>
      </c>
      <c r="F19" s="286">
        <f>SUM(C$19:E$19)+IF(AND(OR('Company Information'!$C$12="District of Columbia",'Company Information'!$C$12="Massachusetts",'Company Information'!$C$12="Vermont"),SUM($C$6:$F$11,$C$15:$F$16,$C$19:$D$19)&lt;&gt;0),IF($C$19&lt;&gt;$G$19,$G$19,0)+IF($D$19&lt;&gt;$H$19,$H$19,0),0)</f>
        <v>146.16</v>
      </c>
      <c r="G19" s="284">
        <f>'Pt 3 MLR and Rebate Calculation'!G19</f>
        <v>3658.92</v>
      </c>
      <c r="H19" s="285">
        <f>'Pt 3 MLR and Rebate Calculation'!H19</f>
        <v>3213.33</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4367.333333333333</v>
      </c>
      <c r="J19" s="286">
        <f>SUM(G$19:I$19)+IF(AND(OR('Company Information'!$C$12="District of Columbia",'Company Information'!$C$12="Massachusetts",'Company Information'!$C$12="Vermont"),SUM($G$6:$J$11,$G$15:$J$16,$G$19:$H$19)&lt;&gt;0),IF($C$19&lt;&gt;$G$19,$C$19,0)+IF($D$19&lt;&gt;$H$19,$D$19,0),0)</f>
        <v>11239.583333333332</v>
      </c>
      <c r="K19" s="284">
        <f>'Pt 3 MLR and Rebate Calculation'!K19</f>
        <v>8344.67</v>
      </c>
      <c r="L19" s="285">
        <f>'Pt 3 MLR and Rebate Calculation'!L19</f>
        <v>10873.42</v>
      </c>
      <c r="M19" s="286">
        <f>('Pt 1 Summary of Data'!O$59+'Pt 1 Summary of Data'!Q$59-'Pt 1 Summary of Data'!R$59)/12</f>
        <v>8282.6666666666661</v>
      </c>
      <c r="N19" s="286">
        <f>SUM(K$19:M$19)</f>
        <v>27500.756666666668</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0</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2.5173611111111112E-2</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1.5599878933333334E-2</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IF(OR(F$19&lt;1000,F$19&gt;=75000),0,F$20*F$22)</f>
        <v>0</v>
      </c>
      <c r="G23" s="259"/>
      <c r="H23" s="260"/>
      <c r="I23" s="260"/>
      <c r="J23" s="295">
        <f ca="1">IF(OR(J$19&lt;1000,J$19&gt;=75000),0,J$20*J$22)</f>
        <v>2.5173611111111112E-2</v>
      </c>
      <c r="K23" s="259"/>
      <c r="L23" s="260"/>
      <c r="M23" s="260"/>
      <c r="N23" s="295">
        <f ca="1">IF(OR(N$19&lt;1000,N$19&gt;=75000),0,N$20*N$22)</f>
        <v>1.5599878933333334E-2</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0.80462665410863532</v>
      </c>
      <c r="D26" s="295">
        <f>IF(D$17&lt;=0,"",D$12/D$17)</f>
        <v>1.1992043288059286</v>
      </c>
      <c r="E26" s="295">
        <f>IF(E$17&lt;=0,"",E$12/E$17)</f>
        <v>0.70354037851032258</v>
      </c>
      <c r="F26" s="295" t="str">
        <f>IF(OR(F$19&lt;1000,F$17&lt;=0),"",F$12/F$17)</f>
        <v/>
      </c>
      <c r="G26" s="412">
        <f>IF(G$17&lt;=0,"",G$12/G$17)</f>
        <v>0.8390504341093431</v>
      </c>
      <c r="H26" s="295">
        <f>IF(H$17&lt;=0,"",H$12/H$17)</f>
        <v>0.79340409366326548</v>
      </c>
      <c r="I26" s="295">
        <f>IF(I$17&lt;=0,"",I$12/I$17)</f>
        <v>0.81112776690600674</v>
      </c>
      <c r="J26" s="295">
        <f>IF(OR(J$19&lt;1000,J$17&lt;=0),"",J$12/J$17)</f>
        <v>0.81418975391711379</v>
      </c>
      <c r="K26" s="412">
        <f>IF(K$17&lt;=0,"",K$12/K$17)</f>
        <v>0.89813802684982347</v>
      </c>
      <c r="L26" s="295">
        <f>IF(L$17&lt;=0,"",L$12/L$17)</f>
        <v>0.94391408843553559</v>
      </c>
      <c r="M26" s="295">
        <f>IF(M$17&lt;=0,"",M$12/M$17)</f>
        <v>0.85948526506633893</v>
      </c>
      <c r="N26" s="295">
        <f>IF(OR(N$19&lt;1000,N$17&lt;=0),"",N$12/N$17)</f>
        <v>0.90351287099076605</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t="str">
        <f>IF(F$26="","",F$23)</f>
        <v/>
      </c>
      <c r="G28" s="259"/>
      <c r="H28" s="260"/>
      <c r="I28" s="260"/>
      <c r="J28" s="295">
        <f ca="1">IF(J$26="","",J$23)</f>
        <v>2.5173611111111112E-2</v>
      </c>
      <c r="K28" s="259"/>
      <c r="L28" s="260"/>
      <c r="M28" s="260"/>
      <c r="N28" s="295">
        <f ca="1">IF(N$26="","",N$23)</f>
        <v>1.5599878933333334E-2</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t="str">
        <f>IF(F$26="","",ROUND(F$26+MAX(0,F$28),3))</f>
        <v/>
      </c>
      <c r="G29" s="262"/>
      <c r="H29" s="263"/>
      <c r="I29" s="263"/>
      <c r="J29" s="295">
        <f ca="1">IF(J$26="","",ROUND(J$26+MAX(0,J$28),3))</f>
        <v>0.83899999999999997</v>
      </c>
      <c r="K29" s="262"/>
      <c r="L29" s="263"/>
      <c r="M29" s="263"/>
      <c r="N29" s="295">
        <f ca="1">IF(N$26="","",ROUND(N$26+MAX(0,N$28),3))</f>
        <v>0.91900000000000004</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t="str">
        <f>F$29</f>
        <v/>
      </c>
      <c r="G32" s="409"/>
      <c r="H32" s="277"/>
      <c r="I32" s="277"/>
      <c r="J32" s="302">
        <f ca="1">J$29</f>
        <v>0.83899999999999997</v>
      </c>
      <c r="K32" s="409"/>
      <c r="L32" s="277"/>
      <c r="M32" s="277"/>
      <c r="N32" s="302">
        <f ca="1">N$29</f>
        <v>0.91900000000000004</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t="str">
        <f>IF(F$19&lt;1000,"",MAX(0,E$15-E$16))</f>
        <v/>
      </c>
      <c r="G33" s="259"/>
      <c r="H33" s="260"/>
      <c r="I33" s="260"/>
      <c r="J33" s="275">
        <f>IF(J$19&lt;1000,"",MAX(0,I$15-I$16))</f>
        <v>19589284.879999999</v>
      </c>
      <c r="K33" s="259"/>
      <c r="L33" s="260"/>
      <c r="M33" s="260"/>
      <c r="N33" s="275">
        <f>IF(N$19&lt;1000,"",MAX(0,M$15-M$16))</f>
        <v>36164135.329999998</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IF(OR(F$19&lt;1000,E$19=0,F$17&lt;=0),0,MAX(0,SUM(F$31)-SUM(F$32))*F$33)</f>
        <v>0</v>
      </c>
      <c r="G34" s="262"/>
      <c r="H34" s="263"/>
      <c r="I34" s="263"/>
      <c r="J34" s="279">
        <f ca="1">IF(OR(J$19&lt;1000,I$19=0,J$17&lt;=0),0,MAX(0,SUM(J$31)-SUM(J$32))*J$33)</f>
        <v>0</v>
      </c>
      <c r="K34" s="262"/>
      <c r="L34" s="263"/>
      <c r="M34" s="263"/>
      <c r="N34" s="279">
        <f ca="1">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t="str">
        <f>IFERROR(MAX(0,C$17*(C$31-ROUND(C$26+F$28,3))),"")</f>
        <v/>
      </c>
      <c r="D35" s="275" t="str">
        <f>IFERROR(MAX(0,D$17*(D$31-ROUND(D$26+F$28,3))),"")</f>
        <v/>
      </c>
      <c r="E35" s="275" t="str">
        <f>IFERROR(MAX(0,E$17*(E$31-ROUND(E$26+F$28,3))),"")</f>
        <v/>
      </c>
      <c r="F35" s="260"/>
      <c r="G35" s="413">
        <f ca="1">IFERROR(MAX(0,G$17*(G$31-ROUND(G$26+J$28,3))),"")</f>
        <v>0</v>
      </c>
      <c r="H35" s="275">
        <f ca="1">IFERROR(MAX(0,H$17*(H$31-ROUND(H$26+J$28,3))),"")</f>
        <v>0</v>
      </c>
      <c r="I35" s="275">
        <f ca="1">IFERROR(MAX(0,I$17*(I$31-ROUND(I$26+J$28,3))),"")</f>
        <v>0</v>
      </c>
      <c r="J35" s="260"/>
      <c r="K35" s="413">
        <f ca="1">IFERROR(MAX(0,K$17*(K$31-ROUND(K$26+N$28,3))),"")</f>
        <v>0</v>
      </c>
      <c r="L35" s="275">
        <f ca="1">IFERROR(MAX(0,L$17*(L$31-ROUND(L$26+N$28,3))),"")</f>
        <v>0</v>
      </c>
      <c r="M35" s="275">
        <f ca="1">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t="str">
        <f>IF(C$35="","",MAX(0,SUM(C$35)-SUM(C$36)))</f>
        <v/>
      </c>
      <c r="D37" s="275" t="str">
        <f>IF(D$35="","",MAX(0,SUM(D$35)-SUM(D$36)))</f>
        <v/>
      </c>
      <c r="E37" s="275" t="str">
        <f>IF(E$35="","",MAX(0,SUM(E$35)-SUM(E$36)))</f>
        <v/>
      </c>
      <c r="F37" s="260"/>
      <c r="G37" s="413">
        <f ca="1">IF(G$35="","",MAX(0,SUM(G$35)-SUM(G$36)))</f>
        <v>0</v>
      </c>
      <c r="H37" s="275">
        <f ca="1">IF(H$35="","",MAX(0,SUM(H$35)-SUM(H$36)))</f>
        <v>0</v>
      </c>
      <c r="I37" s="275">
        <f ca="1">IF(I$35="","",MAX(0,SUM(I$35)-SUM(I$36)))</f>
        <v>0</v>
      </c>
      <c r="J37" s="260"/>
      <c r="K37" s="413">
        <f ca="1">IF(K$35="","",MAX(0,SUM(K$35)-SUM(K$36)))</f>
        <v>0</v>
      </c>
      <c r="L37" s="275">
        <f ca="1">IF(L$35="","",MAX(0,SUM(L$35)-SUM(L$36)))</f>
        <v>0</v>
      </c>
      <c r="M37" s="275">
        <f ca="1">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t="str">
        <f>IF(C$35="","",MIN(F$34,SUM(C$37)*IFERROR((C$15-C$16)/C$17,1)))</f>
        <v/>
      </c>
      <c r="D38" s="279" t="str">
        <f>IF(D$35="","",MIN(F$34-SUM(C$38),SUM(D$37)*IFERROR((D$15-D$16)/D$17,1)))</f>
        <v/>
      </c>
      <c r="E38" s="279" t="str">
        <f>IF(E$35="","",MIN(F$34-SUM(C$38:D$38),SUM(E$37)*IFERROR((E$15-E$16)/E$17,1)))</f>
        <v/>
      </c>
      <c r="F38" s="279" t="str">
        <f>IF(AND(C$38="",D$38="",E$38=""),"",SUM(C$38:E$38))</f>
        <v/>
      </c>
      <c r="G38" s="410">
        <f ca="1">IF(G$35="","",MIN(J$34,SUM(G$37)*IFERROR((G$15-G$16)/G$17,1)))</f>
        <v>0</v>
      </c>
      <c r="H38" s="279">
        <f ca="1">IF(H$35="","",MIN(J$34-SUM(G$38),SUM(H$37)*IFERROR((H$15-H$16)/H$17,1)))</f>
        <v>0</v>
      </c>
      <c r="I38" s="279">
        <f ca="1">IF(I$35="","",MIN(J$34-SUM(G$38:H$38),SUM(I$37)*IFERROR((I$15-I$16)/I$17,1)))</f>
        <v>0</v>
      </c>
      <c r="J38" s="279">
        <f ca="1">IF(AND(G$38="",H$38="",I$38=""),"",SUM(G$38:I$38))</f>
        <v>0</v>
      </c>
      <c r="K38" s="410">
        <f ca="1">IF(K$35="","",MIN(N$34,SUM(K$37)*IFERROR((K$15-K$16)/K$17,1)))</f>
        <v>0</v>
      </c>
      <c r="L38" s="279">
        <f ca="1">IF(L$35="","",MIN(N$34-SUM(K$38),SUM(L$37)*IFERROR((L$15-L$16)/L$17,1)))</f>
        <v>0</v>
      </c>
      <c r="M38" s="279">
        <f ca="1">IF(M$35="","",MIN(N$34-SUM(K$38:L$38),SUM(M$37)*IFERROR((M$15-M$16)/M$17,1)))</f>
        <v>0</v>
      </c>
      <c r="N38" s="279">
        <f ca="1">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26</v>
      </c>
      <c r="D4" s="416">
        <v>2541</v>
      </c>
      <c r="E4" s="416">
        <v>3850</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0</v>
      </c>
      <c r="E6" s="64">
        <v>0</v>
      </c>
      <c r="F6" s="198"/>
      <c r="G6" s="64">
        <v>0</v>
      </c>
      <c r="H6" s="64">
        <v>0</v>
      </c>
      <c r="I6" s="198"/>
      <c r="J6" s="198"/>
      <c r="K6" s="200"/>
    </row>
    <row r="7" spans="1:11" x14ac:dyDescent="0.25">
      <c r="A7" s="216" t="s">
        <v>478</v>
      </c>
      <c r="B7" s="79" t="s">
        <v>479</v>
      </c>
      <c r="C7" s="364">
        <v>0</v>
      </c>
      <c r="D7" s="366">
        <v>0</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0</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0</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0</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0</v>
      </c>
      <c r="E18" s="429">
        <v>0</v>
      </c>
      <c r="F18" s="429">
        <v>0</v>
      </c>
      <c r="G18" s="429">
        <v>0</v>
      </c>
      <c r="H18" s="429">
        <v>0</v>
      </c>
      <c r="I18" s="189"/>
      <c r="J18" s="189"/>
      <c r="K18" s="430"/>
    </row>
    <row r="19" spans="1:11" ht="13.95" customHeight="1" x14ac:dyDescent="0.25">
      <c r="A19" s="216" t="s">
        <v>500</v>
      </c>
      <c r="B19" s="79" t="s">
        <v>501</v>
      </c>
      <c r="C19" s="396"/>
      <c r="D19" s="429">
        <v>0</v>
      </c>
      <c r="E19" s="429">
        <v>0</v>
      </c>
      <c r="F19" s="431"/>
      <c r="G19" s="429">
        <v>0</v>
      </c>
      <c r="H19" s="429">
        <v>0</v>
      </c>
      <c r="I19" s="189"/>
      <c r="J19" s="189"/>
      <c r="K19" s="432"/>
    </row>
    <row r="20" spans="1:11" ht="26.4" x14ac:dyDescent="0.25">
      <c r="A20" s="216" t="s">
        <v>502</v>
      </c>
      <c r="B20" s="79" t="s">
        <v>503</v>
      </c>
      <c r="C20" s="428">
        <v>0</v>
      </c>
      <c r="D20" s="429">
        <v>0</v>
      </c>
      <c r="E20" s="429">
        <v>0</v>
      </c>
      <c r="F20" s="429">
        <v>0</v>
      </c>
      <c r="G20" s="429">
        <v>0</v>
      </c>
      <c r="H20" s="429">
        <v>0</v>
      </c>
      <c r="I20" s="189"/>
      <c r="J20" s="189"/>
      <c r="K20" s="430"/>
    </row>
    <row r="21" spans="1:11" ht="13.95" customHeight="1" x14ac:dyDescent="0.25">
      <c r="A21" s="216" t="s">
        <v>504</v>
      </c>
      <c r="B21" s="79" t="s">
        <v>505</v>
      </c>
      <c r="C21" s="396"/>
      <c r="D21" s="429">
        <v>0</v>
      </c>
      <c r="E21" s="429">
        <v>0</v>
      </c>
      <c r="F21" s="431"/>
      <c r="G21" s="429">
        <v>0</v>
      </c>
      <c r="H21" s="429">
        <v>0</v>
      </c>
      <c r="I21" s="189"/>
      <c r="J21" s="189"/>
      <c r="K21" s="432"/>
    </row>
    <row r="22" spans="1:11" x14ac:dyDescent="0.25">
      <c r="A22" s="216" t="s">
        <v>506</v>
      </c>
      <c r="B22" s="109" t="s">
        <v>507</v>
      </c>
      <c r="C22" s="383">
        <v>0</v>
      </c>
      <c r="D22" s="433">
        <v>0</v>
      </c>
      <c r="E22" s="433">
        <v>0</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Twardy, Drew J</cp:lastModifiedBy>
  <dcterms:created xsi:type="dcterms:W3CDTF">2012-03-15T12:14:51Z</dcterms:created>
  <dcterms:modified xsi:type="dcterms:W3CDTF">2018-07-25T19:07:28Z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