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D429" lockStructure="1"/>
  <bookViews>
    <workbookView xWindow="120" yWindow="105" windowWidth="17115" windowHeight="9465"/>
  </bookViews>
  <sheets>
    <sheet name="Pt 1 and 2" sheetId="1" r:id="rId1"/>
    <sheet name="Pt 3" sheetId="2" r:id="rId2"/>
    <sheet name="Pt 4 Allocation" sheetId="3" r:id="rId3"/>
    <sheet name="Pt 5 Rebate Calculation" sheetId="4" r:id="rId4"/>
    <sheet name="Pt 6 Rebate Report" sheetId="5" r:id="rId5"/>
    <sheet name="Attestation" sheetId="6" r:id="rId6"/>
    <sheet name="Tables" sheetId="7" r:id="rId7"/>
  </sheets>
  <externalReferences>
    <externalReference r:id="rId8"/>
  </externalReferences>
  <definedNames>
    <definedName name="ACC_MED_INC_POOLS_BON_CURR_YR" localSheetId="0">'Pt 1 and 2'!$A$141</definedName>
    <definedName name="ACC_MED_INC_POOLS_BON_PRIOR_YR" localSheetId="0">'Pt 1 and 2'!$A$142</definedName>
    <definedName name="ACT_PREVENT_HOSP_READM_1" localSheetId="2">'Pt 4 Allocation'!$A$76</definedName>
    <definedName name="ACT_PREVENT_HOSP_READM_10" localSheetId="2">'Pt 4 Allocation'!$A$85</definedName>
    <definedName name="ACT_PREVENT_HOSP_READM_2" localSheetId="2">'Pt 4 Allocation'!$A$77</definedName>
    <definedName name="ACT_PREVENT_HOSP_READM_3" localSheetId="2">'Pt 4 Allocation'!$A$78</definedName>
    <definedName name="ACT_PREVENT_HOSP_READM_4" localSheetId="2">'Pt 4 Allocation'!$A$79</definedName>
    <definedName name="ACT_PREVENT_HOSP_READM_5" localSheetId="2">'Pt 4 Allocation'!$A$80</definedName>
    <definedName name="ACT_PREVENT_HOSP_READM_6" localSheetId="2">'Pt 4 Allocation'!$A$81</definedName>
    <definedName name="ACT_PREVENT_HOSP_READM_7" localSheetId="2">'Pt 4 Allocation'!$A$82</definedName>
    <definedName name="ACT_PREVENT_HOSP_READM_8" localSheetId="2">'Pt 4 Allocation'!$A$83</definedName>
    <definedName name="ACT_PREVENT_HOSP_READM_9" localSheetId="2">'Pt 4 Allocation'!$A$84</definedName>
    <definedName name="ACT_PREVENT_HOSP_READM_9" localSheetId="3">'Pt 4 Allocation'!$A$85</definedName>
    <definedName name="ACTIVITES_TO_PREVENT_HOSP_READM" localSheetId="0">'Pt 1 and 2'!$A$53</definedName>
    <definedName name="ADJ_EARNED_PREMIUM_LIC_REG_FEE" localSheetId="3">'Pt 5 Rebate Calculation'!$A$45</definedName>
    <definedName name="ADJ_INCURRED_CLAIMS" localSheetId="3">'Pt 5 Rebate Calculation'!$A$15</definedName>
    <definedName name="ADJ_INCURRED_CLAIMS_RESTATED_Q1" localSheetId="3">'Pt 5 Rebate Calculation'!$A$16</definedName>
    <definedName name="ADJUSTED_INCURRED_CLAIMS" localSheetId="0">'Pt 1 and 2'!$A$30</definedName>
    <definedName name="AFTER_TAX_NET_GAIN" localSheetId="0">'Pt 1 and 2'!$A$76</definedName>
    <definedName name="AGGREGATE_2PERCENT_RULE_YEARLY" localSheetId="0">'Pt 1 and 2'!$AM$18</definedName>
    <definedName name="AGNTS_AND_BROKERS_FEES_COMMS" localSheetId="0">'Pt 1 and 2'!$A$63</definedName>
    <definedName name="AGTS_AND_BRKRS_FEES_AND_COMM_1" localSheetId="2">'Pt 4 Allocation'!$A$145</definedName>
    <definedName name="AGTS_AND_BRKRS_FEES_AND_COMM_2" localSheetId="2">'Pt 4 Allocation'!$A$146</definedName>
    <definedName name="AGTS_AND_BRKRS_FEES_AND_COMM_3" localSheetId="2">'Pt 4 Allocation'!$A$147</definedName>
    <definedName name="AGTS_AND_BRKRS_FEES_AND_COMM_4" localSheetId="2">'Pt 4 Allocation'!$A$148</definedName>
    <definedName name="AGTS_AND_BRKRS_FEES_AND_COMM_5" localSheetId="2">'Pt 4 Allocation'!$A$149</definedName>
    <definedName name="AGTS_AND_BRKRS_FEES_AND_COMM_6" localSheetId="2">'Pt 4 Allocation'!$A$150</definedName>
    <definedName name="AGTS_AND_BRKRS_FEES_AND_COMM_7" localSheetId="2">'Pt 4 Allocation'!$A$151</definedName>
    <definedName name="ALL_OTH_CLAIMS_ADJ_EXP_1" localSheetId="2">'Pt 4 Allocation'!$A$129</definedName>
    <definedName name="ALL_OTH_CLAIMS_ADJ_EXP_2" localSheetId="2">'Pt 4 Allocation'!$A$130</definedName>
    <definedName name="ALL_OTH_CLAIMS_ADJ_EXP_3" localSheetId="2">'Pt 4 Allocation'!$A$131</definedName>
    <definedName name="ALL_OTH_CLAIMS_ADJ_EXP_4" localSheetId="2">'Pt 4 Allocation'!$A$132</definedName>
    <definedName name="ALL_OTH_CLAIMS_ADJ_EXP_5" localSheetId="2">'Pt 4 Allocation'!$A$133</definedName>
    <definedName name="ALL_OTH_CLAIMS_ADJ_EXP_6" localSheetId="2">'Pt 4 Allocation'!$A$134</definedName>
    <definedName name="ALL_OTH_CLAIMS_ADJ_EXP_7" localSheetId="2">'Pt 4 Allocation'!$A$135</definedName>
    <definedName name="ALL_OTHER_CLAIMS_ADJ_EXPENSES" localSheetId="0">'Pt 1 and 2'!$A$61</definedName>
    <definedName name="ALLOWABLE_FRAUD_REDUCTION_EXP" localSheetId="0">'Pt 1 and 2'!$A$149</definedName>
    <definedName name="AMBEST_NUMBER" localSheetId="0">'Pt 1 and 2'!$F$8</definedName>
    <definedName name="AMT_OF_DE_MINIMIS_REBATES" localSheetId="4">'Pt 6 Rebate Report'!$A$25</definedName>
    <definedName name="AMT_REBATES_PAID_BY_PREM_CREDIT" localSheetId="4">'Pt 6 Rebate Report'!$A$26</definedName>
    <definedName name="AMT_REBATES_PAID_LUMP_SUM_REIMB" localSheetId="4">'Pt 6 Rebate Report'!$A$27</definedName>
    <definedName name="AMT_UNCLAIM_REBATE_PRIOR_REP_YR" localSheetId="4">'Pt 6 Rebate Report'!$A$29</definedName>
    <definedName name="AVERAGE_DEDUCTIBLE" localSheetId="3">'Pt 5 Rebate Calculation'!$A$30</definedName>
    <definedName name="BASE_CREDIBILITY_FACTOR" localSheetId="3">'Pt 5 Rebate Calculation'!$A$29</definedName>
    <definedName name="BLENDED_RATE_ADJUSTMENT" localSheetId="0">'Pt 1 and 2'!$A$148</definedName>
    <definedName name="BUSINESS_STATE" localSheetId="0">'Pt 1 and 2'!$I$10</definedName>
    <definedName name="BUSINESS_STATE_LIST">Tables!$E$5:$E$61</definedName>
    <definedName name="CAE_COST_CONTAINMENT_EXP" localSheetId="1">'Pt 3'!$K$14</definedName>
    <definedName name="CAE_OTHER_CLAIMS_ADJ_EXP" localSheetId="1">'Pt 3'!$L$14</definedName>
    <definedName name="CHANGE_IN_RES_EXP_RAT_REFUNDS" localSheetId="0">'Pt 1 and 2'!$A$117</definedName>
    <definedName name="CHANGE_IN_UNEARNED_PREMIUM" localSheetId="0">'Pt 1 and 2'!$A$111</definedName>
    <definedName name="CLM_ALL_INCU_DATES_PAID_REP_YR" localSheetId="0">'Pt 1 and 2'!$A$126</definedName>
    <definedName name="CLM_INC_REP_YR_AND_FOLL_YR" localSheetId="0">'Pt 1 and 2'!$A$127</definedName>
    <definedName name="CMM_INDIVIDUAL" localSheetId="1">'Pt 3'!$A$16</definedName>
    <definedName name="CMM_INDIVIDUAL" localSheetId="4">'Pt 6 Rebate Report'!$D$12</definedName>
    <definedName name="CMM_INDIVIDUAL_CY" localSheetId="3">'Pt 5 Rebate Calculation'!$G$13</definedName>
    <definedName name="CMM_INDIVIDUAL_DEFERRED_CY" localSheetId="0">'Pt 1 and 2'!$I$18</definedName>
    <definedName name="CMM_INDIVIDUAL_DEFERRED_CY" localSheetId="1">'Pt 3'!$A$18</definedName>
    <definedName name="CMM_INDIVIDUAL_DEFERRED_PY" localSheetId="0">'Pt 1 and 2'!$H$18</definedName>
    <definedName name="CMM_INDIVIDUAL_DEFERRED_PY" localSheetId="1">'Pt 3'!$A$17</definedName>
    <definedName name="CMM_INDIVIDUAL_PY1" localSheetId="3">'Pt 5 Rebate Calculation'!$F$13</definedName>
    <definedName name="CMM_INDIVIDUAL_PY2" localSheetId="3">'Pt 5 Rebate Calculation'!$E$13</definedName>
    <definedName name="CMM_INDIVIDUAL_Q1" localSheetId="0">'Pt 1 and 2'!$G$18</definedName>
    <definedName name="CMM_INDIVIDUAL_TOTAL" localSheetId="0">'Pt 1 and 2'!$J$18</definedName>
    <definedName name="CMM_INDIVIDUAL_TOTAL" localSheetId="1">'Pt 3'!$A$19</definedName>
    <definedName name="CMM_INDIVIDUAL_TOTAL" localSheetId="3">'Pt 5 Rebate Calculation'!$H$13</definedName>
    <definedName name="CMM_INDIVIDUAL_YEARLY" localSheetId="0">'Pt 1 and 2'!$F$18</definedName>
    <definedName name="CMM_LARGE_GROUP" localSheetId="1">'Pt 3'!$A$26</definedName>
    <definedName name="CMM_LARGE_GROUP" localSheetId="4">'Pt 6 Rebate Report'!$F$12</definedName>
    <definedName name="CMM_LARGE_GROUP_CY" localSheetId="3">'Pt 5 Rebate Calculation'!$O$13</definedName>
    <definedName name="CMM_LARGE_GROUP_DEFERRED_CY" localSheetId="0">'Pt 1 and 2'!$S$18</definedName>
    <definedName name="CMM_LARGE_GROUP_DEFERRED_CY" localSheetId="1">'Pt 3'!$A$28</definedName>
    <definedName name="CMM_LARGE_GROUP_DEFERRED_PY" localSheetId="0">'Pt 1 and 2'!$R$18</definedName>
    <definedName name="CMM_LARGE_GROUP_DEFERRED_PY" localSheetId="1">'Pt 3'!$A$27</definedName>
    <definedName name="CMM_LARGE_GROUP_PY1" localSheetId="3">'Pt 5 Rebate Calculation'!$N$13</definedName>
    <definedName name="CMM_LARGE_GROUP_PY2" localSheetId="3">'Pt 5 Rebate Calculation'!$M$13</definedName>
    <definedName name="CMM_LARGE_GROUP_Q1" localSheetId="0">'Pt 1 and 2'!$Q$18</definedName>
    <definedName name="CMM_LARGE_GROUP_TOTAL" localSheetId="0">'Pt 1 and 2'!$T$18</definedName>
    <definedName name="CMM_LARGE_GROUP_TOTAL" localSheetId="1">'Pt 3'!$A$29</definedName>
    <definedName name="CMM_LARGE_GROUP_TOTAL" localSheetId="3">'Pt 5 Rebate Calculation'!$P$13</definedName>
    <definedName name="CMM_LARGE_GROUP_YEARLY" localSheetId="0">'Pt 1 and 2'!$P$18</definedName>
    <definedName name="CMM_SMALL_GROUP" localSheetId="1">'Pt 3'!$A$21</definedName>
    <definedName name="CMM_SMALL_GROUP" localSheetId="4">'Pt 6 Rebate Report'!$E$12</definedName>
    <definedName name="CMM_SMALL_GROUP_CY" localSheetId="3">'Pt 5 Rebate Calculation'!$K$13</definedName>
    <definedName name="CMM_SMALL_GROUP_DEFERRED_CY" localSheetId="0">'Pt 1 and 2'!$N$18</definedName>
    <definedName name="CMM_SMALL_GROUP_DEFERRED_CY" localSheetId="1">'Pt 3'!$A$23</definedName>
    <definedName name="CMM_SMALL_GROUP_DEFERRED_PY" localSheetId="0">'Pt 1 and 2'!$M$18</definedName>
    <definedName name="CMM_SMALL_GROUP_DEFERRED_PY" localSheetId="1">'Pt 3'!$A$22</definedName>
    <definedName name="CMM_SMALL_GROUP_PY1" localSheetId="3">'Pt 5 Rebate Calculation'!$J$13</definedName>
    <definedName name="CMM_SMALL_GROUP_PY2" localSheetId="3">'Pt 5 Rebate Calculation'!$I$13</definedName>
    <definedName name="CMM_SMALL_GROUP_Q1" localSheetId="0">'Pt 1 and 2'!$L$18</definedName>
    <definedName name="CMM_SMALL_GROUP_TOTAL" localSheetId="0">'Pt 1 and 2'!$O$18</definedName>
    <definedName name="CMM_SMALL_GROUP_TOTAL" localSheetId="1">'Pt 3'!$A$24</definedName>
    <definedName name="CMM_SMALL_GROUP_TOTAL" localSheetId="3">'Pt 5 Rebate Calculation'!$L$13</definedName>
    <definedName name="CMM_SMALL_GROUP_YEARLY" localSheetId="0">'Pt 1 and 2'!$K$18</definedName>
    <definedName name="COMM_BEN_EXP_NOT_FOR_PROFIT_1" localSheetId="2">'Pt 4 Allocation'!$A$50</definedName>
    <definedName name="COMM_BEN_EXP_NOT_FOR_PROFIT_2" localSheetId="2">'Pt 4 Allocation'!$A$51</definedName>
    <definedName name="COMM_BEN_EXP_NOT_FOR_PROFIT_3" localSheetId="2">'Pt 4 Allocation'!$A$52</definedName>
    <definedName name="COMM_BEN_EXP_NOT_FOR_PROFIT_4" localSheetId="2">'Pt 4 Allocation'!$A$53</definedName>
    <definedName name="COMM_BEN_EXP_NOT_FOR_PROFIT_5" localSheetId="2">'Pt 4 Allocation'!$A$54</definedName>
    <definedName name="COMM_BEN_EXP_NOT_FOR_PROFIT_6" localSheetId="2">'Pt 4 Allocation'!$A$55</definedName>
    <definedName name="COMMUNITY_BENEFIT_EXP" localSheetId="0">'Pt 1 and 2'!$A$68</definedName>
    <definedName name="COMMUNITY_BENEFIT_EXP_1" localSheetId="2">'Pt 4 Allocation'!$A$161</definedName>
    <definedName name="COMMUNITY_BENEFIT_EXP_2" localSheetId="2">'Pt 4 Allocation'!$A$162</definedName>
    <definedName name="COMMUNITY_BENEFIT_EXP_3" localSheetId="2">'Pt 4 Allocation'!$A$163</definedName>
    <definedName name="COMMUNITY_BENEFIT_EXP_4" localSheetId="2">'Pt 4 Allocation'!$A$164</definedName>
    <definedName name="COMMUNITY_BENEFIT_EXP_5" localSheetId="2">'Pt 4 Allocation'!$A$165</definedName>
    <definedName name="COMMUNITY_BENEFIT_EXP_6" localSheetId="2">'Pt 4 Allocation'!$A$166</definedName>
    <definedName name="COMMUNITY_BENEFIT_EXP_7" localSheetId="2">'Pt 4 Allocation'!$A$167</definedName>
    <definedName name="COMMUNITY_BENEFIT_EXPENDITURES" localSheetId="0">'Pt 1 and 2'!$A$47</definedName>
    <definedName name="COMPANY_ADDRESS" localSheetId="0">'Pt 1 and 2'!$D$12</definedName>
    <definedName name="COMPANY_CODE" localSheetId="0">'Pt 1 and 2'!$B$8</definedName>
    <definedName name="COMPANY_NAME" localSheetId="0">'Pt 1 and 2'!$D$8</definedName>
    <definedName name="CONTINGENT_BEN_LAWSUIT_RESERVE" localSheetId="0">'Pt 1 and 2'!$A$146</definedName>
    <definedName name="COST_CONT_EXP_INC_QTY_IMP_EXP_1" localSheetId="2">'Pt 4 Allocation'!$A$121</definedName>
    <definedName name="COST_CONT_EXP_INC_QTY_IMP_EXP_2" localSheetId="2">'Pt 4 Allocation'!$A$122</definedName>
    <definedName name="COST_CONT_EXP_INC_QTY_IMP_EXP_3" localSheetId="2">'Pt 4 Allocation'!$A$123</definedName>
    <definedName name="COST_CONT_EXP_INC_QTY_IMP_EXP_4" localSheetId="2">'Pt 4 Allocation'!$A$124</definedName>
    <definedName name="COST_CONT_EXP_INC_QTY_IMP_EXP_5" localSheetId="2">'Pt 4 Allocation'!$A$125</definedName>
    <definedName name="COST_CONT_EXP_INC_QTY_IMP_EXP_6" localSheetId="2">'Pt 4 Allocation'!$A$126</definedName>
    <definedName name="COST_CONT_EXP_INC_QTY_IMP_EXP_7" localSheetId="2">'Pt 4 Allocation'!$A$127</definedName>
    <definedName name="COST_CONTAINMENT_EXP_NOT_INCL" localSheetId="0">'Pt 1 and 2'!$A$60</definedName>
    <definedName name="CREDIBILITY_ADJ_FACTOR_LN3_5" localSheetId="3">'Pt 5 Rebate Calculation'!$A$39</definedName>
    <definedName name="CREDIBILITY_ADJUSTED_MLR" localSheetId="3">'Pt 5 Rebate Calculation'!$A$40</definedName>
    <definedName name="CREDIBILITY_ADJUSTED_MLR_LN4_4" localSheetId="3">'Pt 5 Rebate Calculation'!$A$44</definedName>
    <definedName name="CREDIBILITY_ADJUSTMENT_FACTOR" localSheetId="3">'Pt 5 Rebate Calculation'!$A$32</definedName>
    <definedName name="DBA_MARKETING_NAME" localSheetId="0">'Pt 1 and 2'!$D$10</definedName>
    <definedName name="DEDUCTIBLE_FACTOR" localSheetId="3">'Pt 5 Rebate Calculation'!$A$31</definedName>
    <definedName name="DESC_DISB_PRI_REP_UNCLM_REB" localSheetId="4">'Pt 6 Rebate Report'!$B$37</definedName>
    <definedName name="DESC_LOCATE_PLCY_HLERS_SUB" localSheetId="4">'Pt 6 Rebate Report'!$B$34</definedName>
    <definedName name="DESC_OF_EXP_ELEMENT_BY_TYPE" localSheetId="2">'Pt 4 Allocation'!$B$12</definedName>
    <definedName name="DET_DESC_OF_EXP_ALLOC_METHODS" localSheetId="2">'Pt 4 Allocation'!$D$12</definedName>
    <definedName name="DIR_CLAIM_LIABILITY_CURR_YR" localSheetId="0">'Pt 1 and 2'!$A$128</definedName>
    <definedName name="DIR_CLAIM_LIABILITY_PRIOR_YR" localSheetId="0">'Pt 1 and 2'!$A$129</definedName>
    <definedName name="DIR_CLAIM_RESERVES_CURR_YR" localSheetId="0">'Pt 1 and 2'!$A$130</definedName>
    <definedName name="DIR_CLAIM_RESERVES_PRIOR_YR" localSheetId="0">'Pt 1 and 2'!$A$131</definedName>
    <definedName name="DIR_CONTRACT_RESERVES_CURR_YR" localSheetId="0">'Pt 1 and 2'!$A$132</definedName>
    <definedName name="DIR_CONTRACT_RESERVES_PRIOR_YR" localSheetId="0">'Pt 1 and 2'!$A$133</definedName>
    <definedName name="DIR_SALES_SALARIES_AND_BENEFITS" localSheetId="0">'Pt 1 and 2'!$A$62</definedName>
    <definedName name="DIRECT_PREMIUM_WRITTEN" localSheetId="0">'Pt 1 and 2'!$A$108</definedName>
    <definedName name="DIRECT_SALES_SAL_AND_BEN_1" localSheetId="2">'Pt 4 Allocation'!$A$137</definedName>
    <definedName name="DIRECT_SALES_SAL_AND_BEN_2" localSheetId="2">'Pt 4 Allocation'!$A$138</definedName>
    <definedName name="DIRECT_SALES_SAL_AND_BEN_3" localSheetId="2">'Pt 4 Allocation'!$A$139</definedName>
    <definedName name="DIRECT_SALES_SAL_AND_BEN_4" localSheetId="2">'Pt 4 Allocation'!$A$140</definedName>
    <definedName name="DIRECT_SALES_SAL_AND_BEN_5" localSheetId="2">'Pt 4 Allocation'!$A$141</definedName>
    <definedName name="DIRECT_SALES_SAL_AND_BEN_6" localSheetId="2">'Pt 4 Allocation'!$A$142</definedName>
    <definedName name="DIRECT_SALES_SAL_AND_BEN_7" localSheetId="2">'Pt 4 Allocation'!$A$143</definedName>
    <definedName name="DOMICILIARY_STATE" localSheetId="0">'Pt 1 and 2'!$I$12</definedName>
    <definedName name="EST_REB_UNPAID_CURR_MLR_REP_YR" localSheetId="0">'Pt 1 and 2'!$A$38</definedName>
    <definedName name="EST_REB_UNPAID_PRIOR_MLR_REP_YR" localSheetId="0">'Pt 1 and 2'!$A$37</definedName>
    <definedName name="EXP_RAT_REF_INC_REP_YR_FOLL_YR" localSheetId="0">'Pt 1 and 2'!$A$136</definedName>
    <definedName name="EXP_RAT_REFUNDS_INC_DATE_REP_YR" localSheetId="0">'Pt 1 and 2'!$A$135</definedName>
    <definedName name="EXP_RATING_REFUNDS_PAID_REP_YR" localSheetId="0">'Pt 1 and 2'!$A$113</definedName>
    <definedName name="EXP_RATING_REFUNDS_PAID_YR_Q1" localSheetId="0">'Pt 1 and 2'!$A$114</definedName>
    <definedName name="EXPAT_LARGE_GROUP" localSheetId="1">'Pt 3'!$A$42</definedName>
    <definedName name="EXPAT_LARGE_GROUP_DEFERRED_CY" localSheetId="0">'Pt 1 and 2'!$AI$18</definedName>
    <definedName name="EXPAT_LARGE_GROUP_DEFERRED_CY" localSheetId="1">'Pt 3'!$A$44</definedName>
    <definedName name="EXPAT_LARGE_GROUP_DEFERRED_PY" localSheetId="0">'Pt 1 and 2'!$AH$18</definedName>
    <definedName name="EXPAT_LARGE_GROUP_DEFERRED_PY" localSheetId="1">'Pt 3'!$A$43</definedName>
    <definedName name="EXPAT_LARGE_GROUP_Q1" localSheetId="0">'Pt 1 and 2'!$AG$18</definedName>
    <definedName name="EXPAT_LARGE_GROUP_TOTAL" localSheetId="0">'Pt 1 and 2'!$AJ$18</definedName>
    <definedName name="EXPAT_LARGE_GROUP_TOTAL" localSheetId="1">'Pt 3'!$A$45</definedName>
    <definedName name="EXPAT_LARGE_GROUP_YEARLY" localSheetId="0">'Pt 1 and 2'!$AF$18</definedName>
    <definedName name="EXPAT_SMALL_GROUP" localSheetId="1">'Pt 3'!$A$37</definedName>
    <definedName name="EXPAT_SMALL_GROUP_DEFERRED_CY" localSheetId="0">'Pt 1 and 2'!$AD$18</definedName>
    <definedName name="EXPAT_SMALL_GROUP_DEFERRED_CY" localSheetId="1">'Pt 3'!$A$39</definedName>
    <definedName name="EXPAT_SMALL_GROUP_DEFERRED_PY" localSheetId="0">'Pt 1 and 2'!$AC$18</definedName>
    <definedName name="EXPAT_SMALL_GROUP_DEFERRED_PY" localSheetId="1">'Pt 3'!$A$38</definedName>
    <definedName name="EXPAT_SMALL_GROUP_Q1" localSheetId="0">'Pt 1 and 2'!$AB$18</definedName>
    <definedName name="EXPAT_SMALL_GROUP_TOTAL" localSheetId="0">'Pt 1 and 2'!$AE$18</definedName>
    <definedName name="EXPAT_SMALL_GROUP_TOTAL" localSheetId="1">'Pt 3'!$A$40</definedName>
    <definedName name="EXPAT_SMALL_GROUP_YEARLY" localSheetId="0">'Pt 1 and 2'!$AA$18</definedName>
    <definedName name="EXPATRIATE_LARGE_GROUP" localSheetId="4">'Pt 6 Rebate Report'!$K$12</definedName>
    <definedName name="EXPATRIATE_LARGE_GROUP_CY" localSheetId="3">'Pt 5 Rebate Calculation'!$AI$13</definedName>
    <definedName name="EXPATRIATE_LARGE_GROUP_PY1" localSheetId="3">'Pt 5 Rebate Calculation'!$AH$13</definedName>
    <definedName name="EXPATRIATE_LARGE_GROUP_PY2" localSheetId="3">'Pt 5 Rebate Calculation'!$AG$13</definedName>
    <definedName name="EXPATRIATE_LARGE_GROUP_TOTAL" localSheetId="3">'Pt 5 Rebate Calculation'!$AJ$13</definedName>
    <definedName name="EXPATRIATE_SMALL_GROUP" localSheetId="4">'Pt 6 Rebate Report'!$J$12</definedName>
    <definedName name="EXPATRIATE_SMALL_GROUP_CY" localSheetId="3">'Pt 5 Rebate Calculation'!$AE$13</definedName>
    <definedName name="EXPATRIATE_SMALL_GROUP_PY1" localSheetId="3">'Pt 5 Rebate Calculation'!$AD$13</definedName>
    <definedName name="EXPATRIATE_SMALL_GROUP_PY2" localSheetId="3">'Pt 5 Rebate Calculation'!$AC$13</definedName>
    <definedName name="EXPATRIATE_SMALL_GROUP_TOTAL" localSheetId="3">'Pt 5 Rebate Calculation'!$AF$13</definedName>
    <definedName name="FED_STATE_TAXES_LIC_OR_REG_FEE" localSheetId="3">'Pt 5 Rebate Calculation'!$A$24</definedName>
    <definedName name="FED_TAXES_AND_ASSESSMENTS_1" localSheetId="2">'Pt 4 Allocation'!$A$36</definedName>
    <definedName name="FED_TAXES_AND_ASSESSMENTS_2" localSheetId="2">'Pt 4 Allocation'!$A$37</definedName>
    <definedName name="FED_TAXES_AND_ASSESSMENTS_3" localSheetId="2">'Pt 4 Allocation'!$A$38</definedName>
    <definedName name="FED_TAXES_AND_ASSESSMENTS_4" localSheetId="2">'Pt 4 Allocation'!$A$39</definedName>
    <definedName name="FED_TAXES_AND_ASSESSMENTS_5" localSheetId="2">'Pt 4 Allocation'!$A$40</definedName>
    <definedName name="FED_TAXES_AND_ASSESSMENTS_6" localSheetId="2">'Pt 4 Allocation'!$A$41</definedName>
    <definedName name="FEDERAL_EIN" localSheetId="0">'Pt 1 and 2'!$F$6</definedName>
    <definedName name="FEDERAL_HIGH_RISK_POOLS" localSheetId="0">'Pt 1 and 2'!$A$21</definedName>
    <definedName name="FEDERAL_INCOME_TAXES" localSheetId="0">'Pt 1 and 2'!$A$75</definedName>
    <definedName name="FEDERAL_TAXES_AND_ASSESSMENTS" localSheetId="0">'Pt 1 and 2'!$A$43</definedName>
    <definedName name="FEE_FOR_SERVICE_AND_CO_PAY_REV" localSheetId="0">'Pt 1 and 2'!$A$39</definedName>
    <definedName name="FINES_PENLTS_OF_REG_AUTHORITIES" localSheetId="0">'Pt 1 and 2'!$A$66</definedName>
    <definedName name="GENERAL_ADMINISTRATIVE_EXP" localSheetId="1">'Pt 3'!$M$14</definedName>
    <definedName name="GOVERNMENT_PROG_PLANS_YEARLY" localSheetId="0">'Pt 1 and 2'!$AK$18</definedName>
    <definedName name="GRAND_TOTAL" localSheetId="0">'Pt 1 and 2'!$AO$18</definedName>
    <definedName name="GROUP_AFFILIATION" localSheetId="0">'Pt 1 and 2'!$D$6</definedName>
    <definedName name="GROUP_CONVERSION_CHARGES" localSheetId="0">'Pt 1 and 2'!$A$147</definedName>
    <definedName name="HEALTHCARE_RECEIVABLES_CURR_YR" localSheetId="0">'Pt 1 and 2'!$A$144</definedName>
    <definedName name="HEALTHCARE_RECEIVABLES_PRIOR_YR" localSheetId="0">'Pt 1 and 2'!$A$145</definedName>
    <definedName name="HIT_EXP_RELATED_TO_HEALTH_IMP_1" localSheetId="2">'Pt 4 Allocation'!$A$109</definedName>
    <definedName name="HIT_EXP_RELATED_TO_HEALTH_IMP_10" localSheetId="2">'Pt 4 Allocation'!$A$118</definedName>
    <definedName name="HIT_EXP_RELATED_TO_HEALTH_IMP_2" localSheetId="2">'Pt 4 Allocation'!$A$110</definedName>
    <definedName name="HIT_EXP_RELATED_TO_HEALTH_IMP_3" localSheetId="2">'Pt 4 Allocation'!$A$111</definedName>
    <definedName name="HIT_EXP_RELATED_TO_HEALTH_IMP_4" localSheetId="2">'Pt 4 Allocation'!$A$112</definedName>
    <definedName name="HIT_EXP_RELATED_TO_HEALTH_IMP_5" localSheetId="2">'Pt 4 Allocation'!$A$113</definedName>
    <definedName name="HIT_EXP_RELATED_TO_HEALTH_IMP_6" localSheetId="2">'Pt 4 Allocation'!$A$114</definedName>
    <definedName name="HIT_EXP_RELATED_TO_HEALTH_IMP_7" localSheetId="2">'Pt 4 Allocation'!$A$115</definedName>
    <definedName name="HIT_EXP_RELATED_TO_HEALTH_IMP_8" localSheetId="2">'Pt 4 Allocation'!$A$116</definedName>
    <definedName name="HIT_EXP_RELATED_TO_HEALTH_IMP_9" localSheetId="2">'Pt 4 Allocation'!$A$117</definedName>
    <definedName name="HITER_TO_HEALTH_IMPROVEMENT" localSheetId="0">'Pt 1 and 2'!$A$56</definedName>
    <definedName name="ICD10_IMPLEMENTATION_EXPENSES" localSheetId="0">'Pt 1 and 2'!$A$70</definedName>
    <definedName name="IHCQE_ACT_TO_PRE_HOSP_READM" localSheetId="1">'Pt 3'!$G$14</definedName>
    <definedName name="IHCQE_HIT_EXP" localSheetId="1">'Pt 3'!$J$14</definedName>
    <definedName name="IHCQE_IMPROVE_HEALTH_OUTCOMES" localSheetId="1">'Pt 3'!$F$14</definedName>
    <definedName name="IHCQE_W_AND_H_PROMOTION_ACT" localSheetId="1">'Pt 3'!$I$14</definedName>
    <definedName name="IIHCQE_IPS_AND_REDUCE_MED_ERRS" localSheetId="1">'Pt 3'!$H$14</definedName>
    <definedName name="IMP_PAT_SAFETY_REDUCE_MED_ERR_1" localSheetId="2">'Pt 4 Allocation'!$A$87</definedName>
    <definedName name="IMP_PAT_SAFETY_REDUCE_MED_ERR_10" localSheetId="2">'Pt 4 Allocation'!$A$96</definedName>
    <definedName name="IMP_PAT_SAFETY_REDUCE_MED_ERR_2" localSheetId="2">'Pt 4 Allocation'!$A$88</definedName>
    <definedName name="IMP_PAT_SAFETY_REDUCE_MED_ERR_3" localSheetId="2">'Pt 4 Allocation'!$A$89</definedName>
    <definedName name="IMP_PAT_SAFETY_REDUCE_MED_ERR_4" localSheetId="2">'Pt 4 Allocation'!$A$90</definedName>
    <definedName name="IMP_PAT_SAFETY_REDUCE_MED_ERR_5" localSheetId="2">'Pt 4 Allocation'!$A$91</definedName>
    <definedName name="IMP_PAT_SAFETY_REDUCE_MED_ERR_6" localSheetId="2">'Pt 4 Allocation'!$A$92</definedName>
    <definedName name="IMP_PAT_SAFETY_REDUCE_MED_ERR_7" localSheetId="2">'Pt 4 Allocation'!$A$93</definedName>
    <definedName name="IMP_PAT_SAFETY_REDUCE_MED_ERR_8" localSheetId="2">'Pt 4 Allocation'!$A$94</definedName>
    <definedName name="IMP_PAT_SAFETY_REDUCE_MED_ERR_9" localSheetId="2">'Pt 4 Allocation'!$A$95</definedName>
    <definedName name="IMP_PAT_SAFETY_REDUCE_MED_ERRS" localSheetId="0">'Pt 1 and 2'!$A$54</definedName>
    <definedName name="IMPROVE_HEALTH_OUTCOMES" localSheetId="0">'Pt 1 and 2'!$A$52</definedName>
    <definedName name="IMPROVE_HEALTH_OUTCOMES_1" localSheetId="2">'Pt 4 Allocation'!$A$65</definedName>
    <definedName name="IMPROVE_HEALTH_OUTCOMES_10" localSheetId="2">'Pt 4 Allocation'!$A$74</definedName>
    <definedName name="IMPROVE_HEALTH_OUTCOMES_2" localSheetId="2">'Pt 4 Allocation'!$A$66</definedName>
    <definedName name="IMPROVE_HEALTH_OUTCOMES_3" localSheetId="2">'Pt 4 Allocation'!$A$67</definedName>
    <definedName name="IMPROVE_HEALTH_OUTCOMES_4" localSheetId="2">'Pt 4 Allocation'!$A$68</definedName>
    <definedName name="IMPROVE_HEALTH_OUTCOMES_5" localSheetId="2">'Pt 4 Allocation'!$A$69</definedName>
    <definedName name="IMPROVE_HEALTH_OUTCOMES_6" localSheetId="2">'Pt 4 Allocation'!$A$70</definedName>
    <definedName name="IMPROVE_HEALTH_OUTCOMES_7" localSheetId="2">'Pt 4 Allocation'!$A$71</definedName>
    <definedName name="IMPROVE_HEALTH_OUTCOMES_8" localSheetId="2">'Pt 4 Allocation'!$A$72</definedName>
    <definedName name="IMPROVE_HEALTH_OUTCOMES_9" localSheetId="2">'Pt 4 Allocation'!$A$73</definedName>
    <definedName name="INC_FROM_FEES_OF_UNINS_PLANS" localSheetId="0">'Pt 1 and 2'!$A$73</definedName>
    <definedName name="INCURRED_CLAIMS_1" localSheetId="2">'Pt 4 Allocation'!$A$14</definedName>
    <definedName name="INCURRED_CLAIMS_10" localSheetId="2">'Pt 4 Allocation'!$A$23</definedName>
    <definedName name="INCURRED_CLAIMS_11" localSheetId="2">'Pt 4 Allocation'!$A$24</definedName>
    <definedName name="INCURRED_CLAIMS_12" localSheetId="2">'Pt 4 Allocation'!$A$25</definedName>
    <definedName name="INCURRED_CLAIMS_13" localSheetId="2">'Pt 4 Allocation'!$A$26</definedName>
    <definedName name="INCURRED_CLAIMS_14" localSheetId="2">'Pt 4 Allocation'!$A$27</definedName>
    <definedName name="INCURRED_CLAIMS_15" localSheetId="2">'Pt 4 Allocation'!$A$28</definedName>
    <definedName name="INCURRED_CLAIMS_16" localSheetId="2">'Pt 4 Allocation'!$A$29</definedName>
    <definedName name="INCURRED_CLAIMS_17" localSheetId="2">'Pt 4 Allocation'!$A$30</definedName>
    <definedName name="INCURRED_CLAIMS_18" localSheetId="2">'Pt 4 Allocation'!$A$31</definedName>
    <definedName name="INCURRED_CLAIMS_19" localSheetId="2">'Pt 4 Allocation'!$A$32</definedName>
    <definedName name="INCURRED_CLAIMS_2" localSheetId="2">'Pt 4 Allocation'!$A$15</definedName>
    <definedName name="INCURRED_CLAIMS_20" localSheetId="2">'Pt 4 Allocation'!$A$33</definedName>
    <definedName name="INCURRED_CLAIMS_3" localSheetId="2">'Pt 4 Allocation'!$A$16</definedName>
    <definedName name="INCURRED_CLAIMS_4" localSheetId="2">'Pt 4 Allocation'!$A$17</definedName>
    <definedName name="INCURRED_CLAIMS_5" localSheetId="2">'Pt 4 Allocation'!$A$18</definedName>
    <definedName name="INCURRED_CLAIMS_6" localSheetId="2">'Pt 4 Allocation'!$A$19</definedName>
    <definedName name="INCURRED_CLAIMS_7" localSheetId="2">'Pt 4 Allocation'!$A$20</definedName>
    <definedName name="INCURRED_CLAIMS_8" localSheetId="2">'Pt 4 Allocation'!$A$21</definedName>
    <definedName name="INCURRED_CLAIMS_9" localSheetId="2">'Pt 4 Allocation'!$A$22</definedName>
    <definedName name="IS_EXPERIENCE_CREDIBLE" localSheetId="3">'Pt 5 Rebate Calculation'!$A$35</definedName>
    <definedName name="IS_NEW" localSheetId="2">'Pt 4 Allocation'!$C$12</definedName>
    <definedName name="IS_REBATE_OWED" localSheetId="4">'Pt 6 Rebate Report'!$A$13</definedName>
    <definedName name="ISSUER_ID" localSheetId="0">'Pt 1 and 2'!$I$8</definedName>
    <definedName name="LIFE_YEARS_TO_DETERMINE_CRED" localSheetId="3">'Pt 5 Rebate Calculation'!$A$28</definedName>
    <definedName name="MEMBER_MONTHS" localSheetId="0">'Pt 1 and 2'!$A$81</definedName>
    <definedName name="MERGE_MARKETS_IND_SMALL_GRP" localSheetId="0">'Pt 1 and 2'!$L$8</definedName>
    <definedName name="MINI_MED_INDIVIDUAL" localSheetId="1">'Pt 3'!$A$32</definedName>
    <definedName name="MINI_MED_INDIVIDUAL" localSheetId="4">'Pt 6 Rebate Report'!$G$12</definedName>
    <definedName name="MINI_MED_INDIVIDUAL_CY" localSheetId="3">'Pt 5 Rebate Calculation'!$S$13</definedName>
    <definedName name="MINI_MED_INDIVIDUAL_PY1" localSheetId="3">'Pt 5 Rebate Calculation'!$R$13</definedName>
    <definedName name="MINI_MED_INDIVIDUAL_PY2" localSheetId="3">'Pt 5 Rebate Calculation'!$Q$13</definedName>
    <definedName name="MINI_MED_INDIVIDUAL_Q1" localSheetId="0">'Pt 1 and 2'!$V$18</definedName>
    <definedName name="MINI_MED_INDIVIDUAL_TOTAL" localSheetId="3">'Pt 5 Rebate Calculation'!$T$13</definedName>
    <definedName name="MINI_MED_INDIVIDUAL_YEARLY" localSheetId="0">'Pt 1 and 2'!$U$18</definedName>
    <definedName name="MINI_MED_LARGE_GROUP" localSheetId="1">'Pt 3'!$A$34</definedName>
    <definedName name="MINI_MED_LARGE_GROUP" localSheetId="4">'Pt 6 Rebate Report'!$I$12</definedName>
    <definedName name="MINI_MED_LARGE_GROUP_CY" localSheetId="3">'Pt 5 Rebate Calculation'!$AA$13</definedName>
    <definedName name="MINI_MED_LARGE_GROUP_PY1" localSheetId="3">'Pt 5 Rebate Calculation'!$Z$13</definedName>
    <definedName name="MINI_MED_LARGE_GROUP_PY2" localSheetId="3">'Pt 5 Rebate Calculation'!$Y$13</definedName>
    <definedName name="MINI_MED_LARGE_GROUP_Q1" localSheetId="0">'Pt 1 and 2'!$Z$18</definedName>
    <definedName name="MINI_MED_LARGE_GROUP_TOTAL" localSheetId="3">'Pt 5 Rebate Calculation'!$AB$13</definedName>
    <definedName name="MINI_MED_LARGE_GROUP_YEARLY" localSheetId="0">'Pt 1 and 2'!$Y$18</definedName>
    <definedName name="MINI_MED_SMALL_GROUP" localSheetId="1">'Pt 3'!$A$33</definedName>
    <definedName name="MINI_MED_SMALL_GROUP" localSheetId="4">'Pt 6 Rebate Report'!$H$12</definedName>
    <definedName name="MINI_MED_SMALL_GROUP_CY" localSheetId="3">'Pt 5 Rebate Calculation'!$W$13</definedName>
    <definedName name="MINI_MED_SMALL_GROUP_PY1" localSheetId="3">'Pt 5 Rebate Calculation'!$V$13</definedName>
    <definedName name="MINI_MED_SMALL_GROUP_PY2" localSheetId="3">'Pt 5 Rebate Calculation'!$U$13</definedName>
    <definedName name="MINI_MED_SMALL_GROUP_Q1" localSheetId="0">'Pt 1 and 2'!$X$18</definedName>
    <definedName name="MINI_MED_SMALL_GROUP_TOTAL" localSheetId="3">'Pt 5 Rebate Calculation'!$X$13</definedName>
    <definedName name="MINI_MED_SMALL_GROUP_YEARLY" localSheetId="0">'Pt 1 and 2'!$W$18</definedName>
    <definedName name="MLR_DENOMINATOR" localSheetId="3">'Pt 5 Rebate Calculation'!$A$25</definedName>
    <definedName name="MLR_NUMERATOR" localSheetId="3">'Pt 5 Rebate Calculation'!$A$19</definedName>
    <definedName name="MLR_NUMERATOR_MINI_MED_EXPAT" localSheetId="3">'Pt 5 Rebate Calculation'!$A$20</definedName>
    <definedName name="MLR_REBATES_PAID_BASED_EXP" localSheetId="3">'Pt 5 Rebate Calculation'!$A$18</definedName>
    <definedName name="MLR_STANDARD" localSheetId="3">'Pt 5 Rebate Calculation'!$A$43</definedName>
    <definedName name="MLR_XLS_Key" localSheetId="0">'Pt 1 and 2'!$A$3</definedName>
    <definedName name="MLR_XLS_Key_Final" localSheetId="0">'Pt 1 and 2'!$A$4</definedName>
    <definedName name="NAIC_COMPANY_CODE" localSheetId="0">'Pt 1 and 2'!$F$12</definedName>
    <definedName name="NAIC_GROUP_CODE" localSheetId="0">'Pt 1 and 2'!$F$10</definedName>
    <definedName name="NET_ASSUMED_CEDED_REINS_PREM" localSheetId="0">'Pt 1 and 2'!$A$24</definedName>
    <definedName name="NET_ASSUMED_LESS_CEDED_CLM_INC" localSheetId="0">'Pt 1 and 2'!$A$34</definedName>
    <definedName name="NET_INCURRED_CLAIMS_AFTER_REINS" localSheetId="0">'Pt 1 and 2'!$A$40</definedName>
    <definedName name="NET_INVESTMENT_AND_OTHER_GAIN" localSheetId="0">'Pt 1 and 2'!$A$74</definedName>
    <definedName name="NO_OF_POL_HOLDS_REB_DE_MINIMIS" localSheetId="4">'Pt 6 Rebate Report'!$A$20</definedName>
    <definedName name="NO_OF_POLICIES_CERTS" localSheetId="4">'Pt 6 Rebate Report'!$A$15</definedName>
    <definedName name="NO_OF_POLICYHOLDERS_OWN_A_REB" localSheetId="4">'Pt 6 Rebate Report'!$A$18</definedName>
    <definedName name="NO_OF_SUBSCRIBERS_OWED_A_REB" localSheetId="4">'Pt 6 Rebate Report'!$A$19</definedName>
    <definedName name="NO_RECEIVE_PREMIUM_CREDIT" localSheetId="4">'Pt 6 Rebate Report'!$A$21</definedName>
    <definedName name="NOT_FOR_PROFIT" localSheetId="0">'Pt 1 and 2'!$L$10</definedName>
    <definedName name="NUMBER_OF_COVERED_LIVES" localSheetId="0">'Pt 1 and 2'!$A$79</definedName>
    <definedName name="NUMBER_OF_GROUPS" localSheetId="0">'Pt 1 and 2'!$A$80</definedName>
    <definedName name="NUMBER_OF_LIFE_YEARS" localSheetId="0">'Pt 1 and 2'!$A$82</definedName>
    <definedName name="NUMBER_OF_POLICIES_CERTIFICATES" localSheetId="0">'Pt 1 and 2'!$A$78</definedName>
    <definedName name="OTH_ADJ_DUE_TO_MLR_CALC_CLM_INC" localSheetId="0">'Pt 1 and 2'!$A$35</definedName>
    <definedName name="OTH_ADJ_MLR_CALC_PREMIUM" localSheetId="0">'Pt 1 and 2'!$A$25</definedName>
    <definedName name="OTH_AGGREGATE_2_RULE" localSheetId="1">'Pt 3'!$A$50</definedName>
    <definedName name="OTH_GEN_AND_ADM_EXPENSES_1" localSheetId="2">'Pt 4 Allocation'!$A$169</definedName>
    <definedName name="OTH_GEN_AND_ADM_EXPENSES_2" localSheetId="2">'Pt 4 Allocation'!$A$170</definedName>
    <definedName name="OTH_GEN_AND_ADM_EXPENSES_3" localSheetId="2">'Pt 4 Allocation'!$A$171</definedName>
    <definedName name="OTH_GEN_AND_ADM_EXPENSES_4" localSheetId="2">'Pt 4 Allocation'!$A$172</definedName>
    <definedName name="OTH_GEN_AND_ADM_EXPENSES_5" localSheetId="2">'Pt 4 Allocation'!$A$173</definedName>
    <definedName name="OTH_GEN_AND_ADM_EXPENSES_6" localSheetId="2">'Pt 4 Allocation'!$A$174</definedName>
    <definedName name="OTH_GEN_AND_ADM_EXPENSES_7" localSheetId="2">'Pt 4 Allocation'!$A$175</definedName>
    <definedName name="OTH_GOVERNMENT_PROGRAM_PLANS" localSheetId="1">'Pt 3'!$A$48</definedName>
    <definedName name="OTH_HEALTH_BUSINESS" localSheetId="1">'Pt 3'!$A$49</definedName>
    <definedName name="OTH_UNINSURED_SELF_FUNDED_PLANS" localSheetId="1">'Pt 3'!$A$51</definedName>
    <definedName name="OTHER_GENERAL_AND_ADM_EXPENSES" localSheetId="0">'Pt 1 and 2'!$A$67</definedName>
    <definedName name="OTHER_HEALTH_BUSINESS_YEARLY" localSheetId="0">'Pt 1 and 2'!$AL$18</definedName>
    <definedName name="OTHER_TAXES_1" localSheetId="2">'Pt 4 Allocation'!$A$153</definedName>
    <definedName name="OTHER_TAXES_2" localSheetId="2">'Pt 4 Allocation'!$A$154</definedName>
    <definedName name="OTHER_TAXES_3" localSheetId="2">'Pt 4 Allocation'!$A$155</definedName>
    <definedName name="OTHER_TAXES_4" localSheetId="2">'Pt 4 Allocation'!$A$156</definedName>
    <definedName name="OTHER_TAXES_5" localSheetId="2">'Pt 4 Allocation'!$A$157</definedName>
    <definedName name="OTHER_TAXES_6" localSheetId="2">'Pt 4 Allocation'!$A$158</definedName>
    <definedName name="OTHER_TAXES_7" localSheetId="2">'Pt 4 Allocation'!$A$159</definedName>
    <definedName name="PAID_MED_INC_POOLS_BON_CURR_YR" localSheetId="0">'Pt 1 and 2'!$A$140</definedName>
    <definedName name="PART3_TOTAL" localSheetId="1">'Pt 3'!$A$53</definedName>
    <definedName name="PHARMACEUTICAL_REBATES" localSheetId="0">'Pt 1 and 2'!$A$32</definedName>
    <definedName name="PRE_EARNED_INC_FED_STATE_HRP" localSheetId="0">'Pt 1 and 2'!$A$23</definedName>
    <definedName name="PRE_GROUP_CONVERSION_CHARGES" localSheetId="0">'Pt 1 and 2'!$A$119</definedName>
    <definedName name="PRE_RES_EXP_RAT_REF_CURR_YR" localSheetId="0">'Pt 1 and 2'!$A$115</definedName>
    <definedName name="PRE_RES_EXP_RAT_REF_PRIOR_YR" localSheetId="0">'Pt 1 and 2'!$A$116</definedName>
    <definedName name="PRE_TAX_UNDERWRITING_GAIN" localSheetId="0">'Pt 1 and 2'!$A$72</definedName>
    <definedName name="PRELIMINARY_MLR" localSheetId="3">'Pt 5 Rebate Calculation'!$A$37</definedName>
    <definedName name="PRELIMINARY_MLR_MINI_MED_EXPAT" localSheetId="3">'Pt 5 Rebate Calculation'!$A$38</definedName>
    <definedName name="PREM_ASSUMED_UNDER_100_REINS" localSheetId="0">'Pt 1 and 2'!$A$122</definedName>
    <definedName name="PREM_CEDED_UNDER_100_REINS" localSheetId="0">'Pt 1 and 2'!$A$121</definedName>
    <definedName name="PREM_EARN_INC_FASHRP_NET_REINS" localSheetId="0">'Pt 1 and 2'!$A$27</definedName>
    <definedName name="PREMIUM_BALANCES_WRITTEN_OFF" localSheetId="0">'Pt 1 and 2'!$A$118</definedName>
    <definedName name="PREMIUM_EARNED_INCLUDING_FSHRP" localSheetId="3">'Pt 5 Rebate Calculation'!$A$23</definedName>
    <definedName name="PRESCRIPTION_DRUGS" localSheetId="0">'Pt 1 and 2'!$A$31</definedName>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 name="QUALITY_IMPROVEMENT_EXPENSES" localSheetId="3">'Pt 5 Rebate Calculation'!$A$17</definedName>
    <definedName name="REBATE_AMT_CREDIBILITY_ADJ_MLR" localSheetId="3">'Pt 5 Rebate Calculation'!$A$46</definedName>
    <definedName name="REBATES_PAID" localSheetId="0">'Pt 1 and 2'!$A$36</definedName>
    <definedName name="REG_AUTHORITY_LIC_FEES_1" localSheetId="2">'Pt 4 Allocation'!$A$57</definedName>
    <definedName name="REG_AUTHORITY_LIC_FEES_2" localSheetId="2">'Pt 4 Allocation'!$A$58</definedName>
    <definedName name="REG_AUTHORITY_LIC_FEES_3" localSheetId="2">'Pt 4 Allocation'!$A$59</definedName>
    <definedName name="REG_AUTHORITY_LIC_FEES_4" localSheetId="2">'Pt 4 Allocation'!$A$60</definedName>
    <definedName name="REG_AUTHORITY_LIC_FEES_5" localSheetId="2">'Pt 4 Allocation'!$A$61</definedName>
    <definedName name="REG_AUTHORITY_LIC_FEES_6" localSheetId="2">'Pt 4 Allocation'!$A$62</definedName>
    <definedName name="REG_AUTHORITY_LICENSES_AND_FEES" localSheetId="0">'Pt 1 and 2'!$A$48</definedName>
    <definedName name="REPORTING_YEAR" localSheetId="0">'Pt 1 and 2'!$L$12</definedName>
    <definedName name="RES_EXP_RAT_REFUNDS_CURR_YR" localSheetId="0">'Pt 1 and 2'!$A$137</definedName>
    <definedName name="RES_EXP_RAT_REFUNDS_PRIOR_YR" localSheetId="0">'Pt 1 and 2'!$A$138</definedName>
    <definedName name="RISK_REVENUE" localSheetId="0">'Pt 1 and 2'!$A$26</definedName>
    <definedName name="STATE_HIGH_RISK_POOLS" localSheetId="0">'Pt 1 and 2'!$A$22</definedName>
    <definedName name="STATE_INCOME_EXCISE_BUSINES_OTH" localSheetId="0">'Pt 1 and 2'!$A$45</definedName>
    <definedName name="STATE_INS_PREM_OTH_TAXES_1" localSheetId="2">'Pt 4 Allocation'!$A$43</definedName>
    <definedName name="STATE_INS_PREM_OTH_TAXES_2" localSheetId="2">'Pt 4 Allocation'!$A$44</definedName>
    <definedName name="STATE_INS_PREM_OTH_TAXES_3" localSheetId="2">'Pt 4 Allocation'!$A$45</definedName>
    <definedName name="STATE_INS_PREM_OTH_TAXES_4" localSheetId="2">'Pt 4 Allocation'!$A$46</definedName>
    <definedName name="STATE_INS_PREM_OTH_TAXES_5" localSheetId="2">'Pt 4 Allocation'!$A$47</definedName>
    <definedName name="STATE_INS_PREM_OTH_TAXES_6" localSheetId="2">'Pt 4 Allocation'!$A$48</definedName>
    <definedName name="STATE_PREMIUM_TAXES" localSheetId="0">'Pt 1 and 2'!$A$46</definedName>
    <definedName name="STATE_STOP_LOSS_MARKET" localSheetId="0">'Pt 1 and 2'!$A$33</definedName>
    <definedName name="STATE_TAXES_ASSMTS_NOT_EXC_PREM" localSheetId="0">'Pt 1 and 2'!$A$65</definedName>
    <definedName name="STATES_ONLY_LIST">Tables!$E$5:$E$60</definedName>
    <definedName name="TOT_DEF_EXP_INCUR_IMP_HLT_CARE" localSheetId="0">'Pt 1 and 2'!$A$57</definedName>
    <definedName name="TOTAL_ADJ_INCURRED_CLAIMS_Q1" localSheetId="0">'Pt 1 and 2'!$A$153</definedName>
    <definedName name="TOTAL_ADJ_INCURRED_CLAIMS_YR" localSheetId="0">'Pt 1 and 2'!$A$152</definedName>
    <definedName name="TOTAL_AMOUNT_OF_REBATES" localSheetId="4">'Pt 6 Rebate Report'!$A$24</definedName>
    <definedName name="TOTAL_DIRECT_PREMIUM_EARNED" localSheetId="0">'Pt 1 and 2'!$A$20</definedName>
    <definedName name="TOTAL_DIRECT_PREMIUM_EARNED_1_11" localSheetId="0">'Pt 1 and 2'!$A$120</definedName>
    <definedName name="TOTAL_EXPENSES" localSheetId="1">'Pt 3'!$N$14</definedName>
    <definedName name="TOTAL_FED_AND_STATE_TAXES_FEES" localSheetId="0">'Pt 1 and 2'!$A$49</definedName>
    <definedName name="TOTAL_FRAUD_REC_RED_PAID_CLAIMS" localSheetId="0">'Pt 1 and 2'!$A$151</definedName>
    <definedName name="TOTAL_FRAUD_REDUCTION_EXPENSE" localSheetId="0">'Pt 1 and 2'!$A$150</definedName>
    <definedName name="TOTAL_NON_CLAIMS_COSTS" localSheetId="0">'Pt 1 and 2'!$A$69</definedName>
    <definedName name="UNEARNED_PREMIUM_CURRENT_YEAR" localSheetId="0">'Pt 1 and 2'!$A$110</definedName>
    <definedName name="UNEARNED_PREMIUM_PRIOR_YEAR" localSheetId="0">'Pt 1 and 2'!$A$109</definedName>
    <definedName name="UNINSURED_PLANS_YEARLY" localSheetId="0">'Pt 1 and 2'!$AN$18</definedName>
    <definedName name="WELLNESS_AND_HEALTH_PROM_ACT_1" localSheetId="2">'Pt 4 Allocation'!$A$98</definedName>
    <definedName name="WELLNESS_AND_HEALTH_PROM_ACT_10" localSheetId="2">'Pt 4 Allocation'!$A$107</definedName>
    <definedName name="WELLNESS_AND_HEALTH_PROM_ACT_2" localSheetId="2">'Pt 4 Allocation'!$A$99</definedName>
    <definedName name="WELLNESS_AND_HEALTH_PROM_ACT_3" localSheetId="2">'Pt 4 Allocation'!$A$100</definedName>
    <definedName name="WELLNESS_AND_HEALTH_PROM_ACT_4" localSheetId="2">'Pt 4 Allocation'!$A$101</definedName>
    <definedName name="WELLNESS_AND_HEALTH_PROM_ACT_5" localSheetId="2">'Pt 4 Allocation'!$A$102</definedName>
    <definedName name="WELLNESS_AND_HEALTH_PROM_ACT_6" localSheetId="2">'Pt 4 Allocation'!$A$103</definedName>
    <definedName name="WELLNESS_AND_HEALTH_PROM_ACT_7" localSheetId="2">'Pt 4 Allocation'!$A$104</definedName>
    <definedName name="WELLNESS_AND_HEALTH_PROM_ACT_8" localSheetId="2">'Pt 4 Allocation'!$A$105</definedName>
    <definedName name="WELLNESS_AND_HEALTH_PROM_ACT_9" localSheetId="2">'Pt 4 Allocation'!$A$106</definedName>
    <definedName name="WELLNESS_AND_HEALTH_PROM_ACTS" localSheetId="0">'Pt 1 and 2'!$A$55</definedName>
    <definedName name="YEARS_LIST">Tables!$G$5:$G$54</definedName>
    <definedName name="YES_NO_LIST">Tables!$I$5:$I$6</definedName>
  </definedNames>
  <calcPr calcId="145621" fullCalcOnLoad="1"/>
</workbook>
</file>

<file path=xl/calcChain.xml><?xml version="1.0" encoding="utf-8"?>
<calcChain xmlns="http://schemas.openxmlformats.org/spreadsheetml/2006/main">
  <c r="B11" i="6" l="1"/>
  <c r="K9" i="6"/>
  <c r="H9" i="6"/>
  <c r="E9" i="6"/>
  <c r="B9" i="6"/>
  <c r="K7" i="6"/>
  <c r="H7" i="6"/>
  <c r="E7" i="6"/>
  <c r="B7" i="6"/>
  <c r="K5" i="6"/>
  <c r="H5" i="6"/>
  <c r="E5" i="6"/>
  <c r="H3" i="6"/>
  <c r="E3" i="6"/>
  <c r="C27" i="5"/>
  <c r="C26" i="5"/>
  <c r="C25" i="5"/>
  <c r="I24" i="5"/>
  <c r="H24" i="5"/>
  <c r="G24" i="5"/>
  <c r="F24" i="5"/>
  <c r="E24" i="5"/>
  <c r="D24" i="5"/>
  <c r="C24" i="5"/>
  <c r="C23" i="5"/>
  <c r="C21" i="5"/>
  <c r="C20" i="5"/>
  <c r="C19" i="5"/>
  <c r="C18" i="5"/>
  <c r="I13" i="5"/>
  <c r="H13" i="5"/>
  <c r="G13" i="5"/>
  <c r="F13" i="5"/>
  <c r="E13" i="5"/>
  <c r="D13" i="5"/>
  <c r="K8" i="5"/>
  <c r="H8" i="5"/>
  <c r="E8" i="5"/>
  <c r="B8" i="5"/>
  <c r="K6" i="5"/>
  <c r="H6" i="5"/>
  <c r="E6" i="5"/>
  <c r="B6" i="5"/>
  <c r="K4" i="5"/>
  <c r="H4" i="5"/>
  <c r="E4" i="5"/>
  <c r="H2" i="5"/>
  <c r="E2" i="5"/>
  <c r="D46" i="4"/>
  <c r="D45" i="4"/>
  <c r="D44" i="4"/>
  <c r="D39" i="4"/>
  <c r="D38" i="4"/>
  <c r="D37" i="4"/>
  <c r="D40" i="4" s="1"/>
  <c r="D32" i="4"/>
  <c r="AJ31" i="4"/>
  <c r="AF31" i="4"/>
  <c r="D28" i="4"/>
  <c r="AH25" i="4"/>
  <c r="AG25" i="4"/>
  <c r="AD25" i="4"/>
  <c r="AC25" i="4"/>
  <c r="Z25" i="4"/>
  <c r="Y25" i="4"/>
  <c r="V25" i="4"/>
  <c r="U25" i="4"/>
  <c r="R25" i="4"/>
  <c r="Q25" i="4"/>
  <c r="N25" i="4"/>
  <c r="M25" i="4"/>
  <c r="J25" i="4"/>
  <c r="I25" i="4"/>
  <c r="F25" i="4"/>
  <c r="E25" i="4"/>
  <c r="D25" i="4"/>
  <c r="D24" i="4"/>
  <c r="D23" i="4"/>
  <c r="AJ20" i="4"/>
  <c r="AF20" i="4"/>
  <c r="AB20" i="4"/>
  <c r="X20" i="4"/>
  <c r="T20" i="4"/>
  <c r="D20" i="4"/>
  <c r="AH19" i="4"/>
  <c r="AG19" i="4"/>
  <c r="AD19" i="4"/>
  <c r="AC19" i="4"/>
  <c r="Z19" i="4"/>
  <c r="Y19" i="4"/>
  <c r="V19" i="4"/>
  <c r="U19" i="4"/>
  <c r="R19" i="4"/>
  <c r="Q19" i="4"/>
  <c r="N19" i="4"/>
  <c r="M19" i="4"/>
  <c r="J19" i="4"/>
  <c r="I19" i="4"/>
  <c r="F19" i="4"/>
  <c r="E19" i="4"/>
  <c r="D19" i="4"/>
  <c r="AJ18" i="4"/>
  <c r="AF18" i="4"/>
  <c r="AB18" i="4"/>
  <c r="X18" i="4"/>
  <c r="T18" i="4"/>
  <c r="P18" i="4"/>
  <c r="L18" i="4"/>
  <c r="H18" i="4"/>
  <c r="D17" i="4"/>
  <c r="D15" i="4"/>
  <c r="L8" i="4"/>
  <c r="I8" i="4"/>
  <c r="F8" i="4"/>
  <c r="B8" i="4"/>
  <c r="L6" i="4"/>
  <c r="I6" i="4"/>
  <c r="F6" i="4"/>
  <c r="B6" i="4"/>
  <c r="L4" i="4"/>
  <c r="I4" i="4"/>
  <c r="F4" i="4"/>
  <c r="I2" i="4"/>
  <c r="F2" i="4"/>
  <c r="K8" i="3"/>
  <c r="H8" i="3"/>
  <c r="E8" i="3"/>
  <c r="B8" i="3"/>
  <c r="K6" i="3"/>
  <c r="H6" i="3"/>
  <c r="E6" i="3"/>
  <c r="B6" i="3"/>
  <c r="K4" i="3"/>
  <c r="H4" i="3"/>
  <c r="E4" i="3"/>
  <c r="H2" i="3"/>
  <c r="E2" i="3"/>
  <c r="N51" i="2"/>
  <c r="N50" i="2"/>
  <c r="N49" i="2"/>
  <c r="N48" i="2"/>
  <c r="M45" i="2"/>
  <c r="L45" i="2"/>
  <c r="K45" i="2"/>
  <c r="J45" i="2"/>
  <c r="I45" i="2"/>
  <c r="H45" i="2"/>
  <c r="G45" i="2"/>
  <c r="F45" i="2"/>
  <c r="N44" i="2"/>
  <c r="N43" i="2"/>
  <c r="N42" i="2"/>
  <c r="N45" i="2" s="1"/>
  <c r="M40" i="2"/>
  <c r="L40" i="2"/>
  <c r="K40" i="2"/>
  <c r="J40" i="2"/>
  <c r="I40" i="2"/>
  <c r="H40" i="2"/>
  <c r="G40" i="2"/>
  <c r="F40" i="2"/>
  <c r="N39" i="2"/>
  <c r="N38" i="2"/>
  <c r="N37" i="2"/>
  <c r="N40" i="2" s="1"/>
  <c r="N34" i="2"/>
  <c r="N33" i="2"/>
  <c r="N32" i="2"/>
  <c r="M29" i="2"/>
  <c r="L29" i="2"/>
  <c r="K29" i="2"/>
  <c r="J29" i="2"/>
  <c r="I29" i="2"/>
  <c r="H29" i="2"/>
  <c r="G29" i="2"/>
  <c r="F29" i="2"/>
  <c r="N28" i="2"/>
  <c r="N27" i="2"/>
  <c r="N26" i="2"/>
  <c r="N29" i="2" s="1"/>
  <c r="M24" i="2"/>
  <c r="L24" i="2"/>
  <c r="K24" i="2"/>
  <c r="J24" i="2"/>
  <c r="I24" i="2"/>
  <c r="H24" i="2"/>
  <c r="G24" i="2"/>
  <c r="F24" i="2"/>
  <c r="N23" i="2"/>
  <c r="N22" i="2"/>
  <c r="N21" i="2"/>
  <c r="N24" i="2" s="1"/>
  <c r="M19" i="2"/>
  <c r="M53" i="2" s="1"/>
  <c r="L19" i="2"/>
  <c r="L53" i="2" s="1"/>
  <c r="K19" i="2"/>
  <c r="K53" i="2" s="1"/>
  <c r="J19" i="2"/>
  <c r="J53" i="2" s="1"/>
  <c r="I19" i="2"/>
  <c r="I53" i="2" s="1"/>
  <c r="H19" i="2"/>
  <c r="H53" i="2" s="1"/>
  <c r="G19" i="2"/>
  <c r="G53" i="2" s="1"/>
  <c r="F19" i="2"/>
  <c r="F53" i="2" s="1"/>
  <c r="N18" i="2"/>
  <c r="N17" i="2"/>
  <c r="N16" i="2"/>
  <c r="N19" i="2" s="1"/>
  <c r="N53" i="2" s="1"/>
  <c r="B10" i="2"/>
  <c r="L8" i="2"/>
  <c r="I8" i="2"/>
  <c r="F8" i="2"/>
  <c r="B8" i="2"/>
  <c r="L6" i="2"/>
  <c r="I6" i="2"/>
  <c r="F6" i="2"/>
  <c r="B6" i="2"/>
  <c r="L4" i="2"/>
  <c r="I4" i="2"/>
  <c r="F4" i="2"/>
  <c r="I2" i="2"/>
  <c r="F2" i="2"/>
  <c r="AO151" i="1"/>
  <c r="AJ151" i="1"/>
  <c r="AE151" i="1"/>
  <c r="T151" i="1"/>
  <c r="O151" i="1"/>
  <c r="J151" i="1"/>
  <c r="D151" i="1"/>
  <c r="AO150" i="1"/>
  <c r="AJ150" i="1"/>
  <c r="AE150" i="1"/>
  <c r="T150" i="1"/>
  <c r="O150" i="1"/>
  <c r="J150" i="1"/>
  <c r="D150" i="1"/>
  <c r="AM149" i="1"/>
  <c r="AM152" i="1" s="1"/>
  <c r="AL149" i="1"/>
  <c r="AL152" i="1" s="1"/>
  <c r="AK149" i="1"/>
  <c r="AK152" i="1" s="1"/>
  <c r="AI149" i="1"/>
  <c r="AI153" i="1" s="1"/>
  <c r="AH149" i="1"/>
  <c r="AH153" i="1" s="1"/>
  <c r="AG149" i="1"/>
  <c r="AJ149" i="1" s="1"/>
  <c r="AF149" i="1"/>
  <c r="AF152" i="1" s="1"/>
  <c r="AD149" i="1"/>
  <c r="AD153" i="1" s="1"/>
  <c r="AC149" i="1"/>
  <c r="AC153" i="1" s="1"/>
  <c r="AB149" i="1"/>
  <c r="AE149" i="1" s="1"/>
  <c r="AA149" i="1"/>
  <c r="AA152" i="1" s="1"/>
  <c r="Z149" i="1"/>
  <c r="Y149" i="1"/>
  <c r="Y152" i="1" s="1"/>
  <c r="X149" i="1"/>
  <c r="W149" i="1"/>
  <c r="W152" i="1" s="1"/>
  <c r="V149" i="1"/>
  <c r="U149" i="1"/>
  <c r="U152" i="1" s="1"/>
  <c r="S149" i="1"/>
  <c r="S153" i="1" s="1"/>
  <c r="R149" i="1"/>
  <c r="R153" i="1" s="1"/>
  <c r="Q149" i="1"/>
  <c r="T149" i="1" s="1"/>
  <c r="P149" i="1"/>
  <c r="P152" i="1" s="1"/>
  <c r="N149" i="1"/>
  <c r="N153" i="1" s="1"/>
  <c r="M149" i="1"/>
  <c r="M153" i="1" s="1"/>
  <c r="L149" i="1"/>
  <c r="O149" i="1" s="1"/>
  <c r="K149" i="1"/>
  <c r="K152" i="1" s="1"/>
  <c r="I149" i="1"/>
  <c r="I153" i="1" s="1"/>
  <c r="H149" i="1"/>
  <c r="H153" i="1" s="1"/>
  <c r="G149" i="1"/>
  <c r="J149" i="1" s="1"/>
  <c r="F149" i="1"/>
  <c r="F152" i="1" s="1"/>
  <c r="AO152" i="1" s="1"/>
  <c r="D149" i="1"/>
  <c r="AO148" i="1"/>
  <c r="AJ148" i="1"/>
  <c r="AE148" i="1"/>
  <c r="T148" i="1"/>
  <c r="O148" i="1"/>
  <c r="J148" i="1"/>
  <c r="AO147" i="1"/>
  <c r="AJ147" i="1"/>
  <c r="AE147" i="1"/>
  <c r="T147" i="1"/>
  <c r="O147" i="1"/>
  <c r="J147" i="1"/>
  <c r="AO146" i="1"/>
  <c r="AJ146" i="1"/>
  <c r="AE146" i="1"/>
  <c r="T146" i="1"/>
  <c r="O146" i="1"/>
  <c r="J146" i="1"/>
  <c r="AO145" i="1"/>
  <c r="D145" i="1"/>
  <c r="AO144" i="1"/>
  <c r="AJ144" i="1"/>
  <c r="AE144" i="1"/>
  <c r="T144" i="1"/>
  <c r="O144" i="1"/>
  <c r="J144" i="1"/>
  <c r="D144" i="1"/>
  <c r="AO143" i="1"/>
  <c r="D143" i="1"/>
  <c r="AO142" i="1"/>
  <c r="D142" i="1"/>
  <c r="AO141" i="1"/>
  <c r="AJ141" i="1"/>
  <c r="AE141" i="1"/>
  <c r="T141" i="1"/>
  <c r="O141" i="1"/>
  <c r="J141" i="1"/>
  <c r="D141" i="1"/>
  <c r="AJ140" i="1"/>
  <c r="AE140" i="1"/>
  <c r="T140" i="1"/>
  <c r="O140" i="1"/>
  <c r="J140" i="1"/>
  <c r="D140" i="1"/>
  <c r="AO139" i="1"/>
  <c r="AO138" i="1"/>
  <c r="AO137" i="1"/>
  <c r="AJ137" i="1"/>
  <c r="AE137" i="1"/>
  <c r="T137" i="1"/>
  <c r="O137" i="1"/>
  <c r="J137" i="1"/>
  <c r="AJ136" i="1"/>
  <c r="AE136" i="1"/>
  <c r="T136" i="1"/>
  <c r="O136" i="1"/>
  <c r="J136" i="1"/>
  <c r="AO135" i="1"/>
  <c r="AO134" i="1"/>
  <c r="AO133" i="1"/>
  <c r="AG133" i="1"/>
  <c r="AJ133" i="1" s="1"/>
  <c r="AB133" i="1"/>
  <c r="AE133" i="1" s="1"/>
  <c r="Z133" i="1"/>
  <c r="X133" i="1"/>
  <c r="V133" i="1"/>
  <c r="T133" i="1"/>
  <c r="Q133" i="1"/>
  <c r="O133" i="1"/>
  <c r="L133" i="1"/>
  <c r="J133" i="1"/>
  <c r="G133" i="1"/>
  <c r="AO132" i="1"/>
  <c r="AG132" i="1"/>
  <c r="AG153" i="1" s="1"/>
  <c r="AB132" i="1"/>
  <c r="AB153" i="1" s="1"/>
  <c r="Z132" i="1"/>
  <c r="Z153" i="1" s="1"/>
  <c r="X132" i="1"/>
  <c r="X153" i="1" s="1"/>
  <c r="V132" i="1"/>
  <c r="V153" i="1" s="1"/>
  <c r="T132" i="1"/>
  <c r="Q132" i="1"/>
  <c r="Q153" i="1" s="1"/>
  <c r="O132" i="1"/>
  <c r="L132" i="1"/>
  <c r="L153" i="1" s="1"/>
  <c r="J132" i="1"/>
  <c r="G132" i="1"/>
  <c r="G153" i="1" s="1"/>
  <c r="AO131" i="1"/>
  <c r="AO130" i="1"/>
  <c r="AJ130" i="1"/>
  <c r="AE130" i="1"/>
  <c r="T130" i="1"/>
  <c r="O130" i="1"/>
  <c r="J130" i="1"/>
  <c r="AO129" i="1"/>
  <c r="AO128" i="1"/>
  <c r="AJ128" i="1"/>
  <c r="AE128" i="1"/>
  <c r="T128" i="1"/>
  <c r="O128" i="1"/>
  <c r="J128" i="1"/>
  <c r="AJ127" i="1"/>
  <c r="AE127" i="1"/>
  <c r="T127" i="1"/>
  <c r="T153" i="1" s="1"/>
  <c r="O127" i="1"/>
  <c r="O153" i="1" s="1"/>
  <c r="J127" i="1"/>
  <c r="J153" i="1" s="1"/>
  <c r="D127" i="1"/>
  <c r="D153" i="1" s="1"/>
  <c r="AO126" i="1"/>
  <c r="D126" i="1"/>
  <c r="D152" i="1" s="1"/>
  <c r="AO122" i="1"/>
  <c r="AG122" i="1"/>
  <c r="AJ122" i="1" s="1"/>
  <c r="AB122" i="1"/>
  <c r="AE122" i="1" s="1"/>
  <c r="Z122" i="1"/>
  <c r="X122" i="1"/>
  <c r="V122" i="1"/>
  <c r="T122" i="1"/>
  <c r="Q122" i="1"/>
  <c r="O122" i="1"/>
  <c r="L122" i="1"/>
  <c r="J122" i="1"/>
  <c r="G122" i="1"/>
  <c r="D122" i="1"/>
  <c r="AO121" i="1"/>
  <c r="AJ121" i="1"/>
  <c r="AG121" i="1"/>
  <c r="AE121" i="1"/>
  <c r="AB121" i="1"/>
  <c r="Z121" i="1"/>
  <c r="X121" i="1"/>
  <c r="V121" i="1"/>
  <c r="Q121" i="1"/>
  <c r="T121" i="1" s="1"/>
  <c r="L121" i="1"/>
  <c r="O121" i="1" s="1"/>
  <c r="G121" i="1"/>
  <c r="J121" i="1" s="1"/>
  <c r="D121" i="1"/>
  <c r="AM120" i="1"/>
  <c r="AL120" i="1"/>
  <c r="AK120" i="1"/>
  <c r="AI120" i="1"/>
  <c r="AH120" i="1"/>
  <c r="AF120" i="1"/>
  <c r="AD120" i="1"/>
  <c r="AC120" i="1"/>
  <c r="AA120" i="1"/>
  <c r="Y120" i="1"/>
  <c r="W120" i="1"/>
  <c r="U120" i="1"/>
  <c r="S120" i="1"/>
  <c r="R120" i="1"/>
  <c r="P120" i="1"/>
  <c r="N120" i="1"/>
  <c r="M120" i="1"/>
  <c r="K120" i="1"/>
  <c r="I120" i="1"/>
  <c r="H120" i="1"/>
  <c r="F120" i="1"/>
  <c r="AO120" i="1" s="1"/>
  <c r="D120" i="1"/>
  <c r="AO119" i="1"/>
  <c r="AG119" i="1"/>
  <c r="AJ119" i="1" s="1"/>
  <c r="AB119" i="1"/>
  <c r="AE119" i="1" s="1"/>
  <c r="Z119" i="1"/>
  <c r="X119" i="1"/>
  <c r="V119" i="1"/>
  <c r="T119" i="1"/>
  <c r="Q119" i="1"/>
  <c r="O119" i="1"/>
  <c r="L119" i="1"/>
  <c r="J119" i="1"/>
  <c r="G119" i="1"/>
  <c r="AO118" i="1"/>
  <c r="AG118" i="1"/>
  <c r="AJ118" i="1" s="1"/>
  <c r="AB118" i="1"/>
  <c r="AE118" i="1" s="1"/>
  <c r="Z118" i="1"/>
  <c r="X118" i="1"/>
  <c r="V118" i="1"/>
  <c r="T118" i="1"/>
  <c r="Q118" i="1"/>
  <c r="O118" i="1"/>
  <c r="L118" i="1"/>
  <c r="J118" i="1"/>
  <c r="G118" i="1"/>
  <c r="AM117" i="1"/>
  <c r="AL117" i="1"/>
  <c r="AK117" i="1"/>
  <c r="AF117" i="1"/>
  <c r="AA117" i="1"/>
  <c r="Y117" i="1"/>
  <c r="W117" i="1"/>
  <c r="U117" i="1"/>
  <c r="P117" i="1"/>
  <c r="K117" i="1"/>
  <c r="AO117" i="1" s="1"/>
  <c r="F117" i="1"/>
  <c r="D117" i="1"/>
  <c r="AO116" i="1"/>
  <c r="AO115" i="1"/>
  <c r="AJ115" i="1"/>
  <c r="AE115" i="1"/>
  <c r="T115" i="1"/>
  <c r="O115" i="1"/>
  <c r="J115" i="1"/>
  <c r="AJ114" i="1"/>
  <c r="AE114" i="1"/>
  <c r="T114" i="1"/>
  <c r="O114" i="1"/>
  <c r="J114" i="1"/>
  <c r="AO113" i="1"/>
  <c r="AO112" i="1"/>
  <c r="AM111" i="1"/>
  <c r="AL111" i="1"/>
  <c r="AK111" i="1"/>
  <c r="AI111" i="1"/>
  <c r="AH111" i="1"/>
  <c r="AF111" i="1"/>
  <c r="AD111" i="1"/>
  <c r="AC111" i="1"/>
  <c r="AA111" i="1"/>
  <c r="Y111" i="1"/>
  <c r="W111" i="1"/>
  <c r="U111" i="1"/>
  <c r="S111" i="1"/>
  <c r="R111" i="1"/>
  <c r="P111" i="1"/>
  <c r="N111" i="1"/>
  <c r="M111" i="1"/>
  <c r="K111" i="1"/>
  <c r="I111" i="1"/>
  <c r="H111" i="1"/>
  <c r="F111" i="1"/>
  <c r="AO111" i="1" s="1"/>
  <c r="D111" i="1"/>
  <c r="AO110" i="1"/>
  <c r="AJ110" i="1"/>
  <c r="AG110" i="1"/>
  <c r="AE110" i="1"/>
  <c r="AB110" i="1"/>
  <c r="Z110" i="1"/>
  <c r="X110" i="1"/>
  <c r="V110" i="1"/>
  <c r="Q110" i="1"/>
  <c r="T110" i="1" s="1"/>
  <c r="L110" i="1"/>
  <c r="O110" i="1" s="1"/>
  <c r="G110" i="1"/>
  <c r="J110" i="1" s="1"/>
  <c r="AO109" i="1"/>
  <c r="AJ109" i="1"/>
  <c r="AG109" i="1"/>
  <c r="AG111" i="1" s="1"/>
  <c r="AJ111" i="1" s="1"/>
  <c r="AE109" i="1"/>
  <c r="AB109" i="1"/>
  <c r="AB111" i="1" s="1"/>
  <c r="AE111" i="1" s="1"/>
  <c r="Z109" i="1"/>
  <c r="Z111" i="1" s="1"/>
  <c r="X109" i="1"/>
  <c r="X111" i="1" s="1"/>
  <c r="V109" i="1"/>
  <c r="V111" i="1" s="1"/>
  <c r="Q109" i="1"/>
  <c r="Q111" i="1" s="1"/>
  <c r="T111" i="1" s="1"/>
  <c r="L109" i="1"/>
  <c r="L111" i="1" s="1"/>
  <c r="O111" i="1" s="1"/>
  <c r="G109" i="1"/>
  <c r="G111" i="1" s="1"/>
  <c r="J111" i="1" s="1"/>
  <c r="AO108" i="1"/>
  <c r="AG108" i="1"/>
  <c r="AJ108" i="1" s="1"/>
  <c r="AE108" i="1"/>
  <c r="AB108" i="1"/>
  <c r="AB120" i="1" s="1"/>
  <c r="AE120" i="1" s="1"/>
  <c r="Z108" i="1"/>
  <c r="Z120" i="1" s="1"/>
  <c r="X108" i="1"/>
  <c r="X120" i="1" s="1"/>
  <c r="V108" i="1"/>
  <c r="V120" i="1" s="1"/>
  <c r="Q108" i="1"/>
  <c r="Q120" i="1" s="1"/>
  <c r="T120" i="1" s="1"/>
  <c r="L108" i="1"/>
  <c r="L120" i="1" s="1"/>
  <c r="O120" i="1" s="1"/>
  <c r="G108" i="1"/>
  <c r="G120" i="1" s="1"/>
  <c r="J120" i="1" s="1"/>
  <c r="AN82" i="1"/>
  <c r="AM82" i="1"/>
  <c r="AL82" i="1"/>
  <c r="AK82" i="1"/>
  <c r="AI82" i="1"/>
  <c r="AH82" i="1"/>
  <c r="AF82" i="1"/>
  <c r="AD82" i="1"/>
  <c r="AC82" i="1"/>
  <c r="AA82" i="1"/>
  <c r="Y82" i="1"/>
  <c r="W82" i="1"/>
  <c r="U82" i="1"/>
  <c r="S82" i="1"/>
  <c r="R82" i="1"/>
  <c r="P82" i="1"/>
  <c r="N82" i="1"/>
  <c r="M82" i="1"/>
  <c r="K82" i="1"/>
  <c r="I82" i="1"/>
  <c r="H82" i="1"/>
  <c r="F82" i="1"/>
  <c r="AO82" i="1" s="1"/>
  <c r="AO81" i="1"/>
  <c r="AG81" i="1"/>
  <c r="AJ81" i="1" s="1"/>
  <c r="AB81" i="1"/>
  <c r="AB82" i="1" s="1"/>
  <c r="AE82" i="1" s="1"/>
  <c r="AE28" i="4" s="1"/>
  <c r="Z81" i="1"/>
  <c r="Z82" i="1" s="1"/>
  <c r="X81" i="1"/>
  <c r="X82" i="1" s="1"/>
  <c r="V81" i="1"/>
  <c r="V82" i="1" s="1"/>
  <c r="T81" i="1"/>
  <c r="Q81" i="1"/>
  <c r="Q82" i="1" s="1"/>
  <c r="T82" i="1" s="1"/>
  <c r="O81" i="1"/>
  <c r="L81" i="1"/>
  <c r="L82" i="1" s="1"/>
  <c r="O82" i="1" s="1"/>
  <c r="J81" i="1"/>
  <c r="G81" i="1"/>
  <c r="G82" i="1" s="1"/>
  <c r="J82" i="1" s="1"/>
  <c r="AO80" i="1"/>
  <c r="AG80" i="1"/>
  <c r="AJ80" i="1" s="1"/>
  <c r="AB80" i="1"/>
  <c r="AE80" i="1" s="1"/>
  <c r="Z80" i="1"/>
  <c r="X80" i="1"/>
  <c r="Q80" i="1"/>
  <c r="T80" i="1" s="1"/>
  <c r="L80" i="1"/>
  <c r="O80" i="1" s="1"/>
  <c r="AO79" i="1"/>
  <c r="AJ79" i="1"/>
  <c r="AG79" i="1"/>
  <c r="AE79" i="1"/>
  <c r="AB79" i="1"/>
  <c r="Z79" i="1"/>
  <c r="X79" i="1"/>
  <c r="V79" i="1"/>
  <c r="Q79" i="1"/>
  <c r="T79" i="1" s="1"/>
  <c r="L79" i="1"/>
  <c r="O79" i="1" s="1"/>
  <c r="G79" i="1"/>
  <c r="J79" i="1" s="1"/>
  <c r="AO78" i="1"/>
  <c r="AJ78" i="1"/>
  <c r="K15" i="5" s="1"/>
  <c r="AG78" i="1"/>
  <c r="AE78" i="1"/>
  <c r="J15" i="5" s="1"/>
  <c r="AB78" i="1"/>
  <c r="Z78" i="1"/>
  <c r="I15" i="5" s="1"/>
  <c r="X78" i="1"/>
  <c r="H15" i="5" s="1"/>
  <c r="V78" i="1"/>
  <c r="G15" i="5" s="1"/>
  <c r="Q78" i="1"/>
  <c r="T78" i="1" s="1"/>
  <c r="F15" i="5" s="1"/>
  <c r="L78" i="1"/>
  <c r="O78" i="1" s="1"/>
  <c r="E15" i="5" s="1"/>
  <c r="G78" i="1"/>
  <c r="J78" i="1" s="1"/>
  <c r="D15" i="5" s="1"/>
  <c r="C76" i="1"/>
  <c r="C75" i="1"/>
  <c r="AO73" i="1"/>
  <c r="C72" i="1"/>
  <c r="AO70" i="1"/>
  <c r="AG70" i="1"/>
  <c r="AJ70" i="1" s="1"/>
  <c r="AB70" i="1"/>
  <c r="AE70" i="1" s="1"/>
  <c r="Z70" i="1"/>
  <c r="X70" i="1"/>
  <c r="V70" i="1"/>
  <c r="T70" i="1"/>
  <c r="Q70" i="1"/>
  <c r="O70" i="1"/>
  <c r="L70" i="1"/>
  <c r="J70" i="1"/>
  <c r="G70" i="1"/>
  <c r="AC69" i="1"/>
  <c r="Y69" i="1"/>
  <c r="U69" i="1"/>
  <c r="M69" i="1"/>
  <c r="K69" i="1"/>
  <c r="I69" i="1"/>
  <c r="D69" i="1"/>
  <c r="AO68" i="1"/>
  <c r="AJ68" i="1"/>
  <c r="AG68" i="1"/>
  <c r="AE68" i="1"/>
  <c r="AB68" i="1"/>
  <c r="Z68" i="1"/>
  <c r="X68" i="1"/>
  <c r="V68" i="1"/>
  <c r="Q68" i="1"/>
  <c r="T68" i="1" s="1"/>
  <c r="L68" i="1"/>
  <c r="O68" i="1" s="1"/>
  <c r="G68" i="1"/>
  <c r="J68" i="1" s="1"/>
  <c r="AO67" i="1"/>
  <c r="AJ67" i="1"/>
  <c r="AG67" i="1"/>
  <c r="AE67" i="1"/>
  <c r="AB67" i="1"/>
  <c r="Z67" i="1"/>
  <c r="X67" i="1"/>
  <c r="V67" i="1"/>
  <c r="Q67" i="1"/>
  <c r="T67" i="1" s="1"/>
  <c r="L67" i="1"/>
  <c r="O67" i="1" s="1"/>
  <c r="G67" i="1"/>
  <c r="J67" i="1" s="1"/>
  <c r="AO66" i="1"/>
  <c r="AJ66" i="1"/>
  <c r="AG66" i="1"/>
  <c r="AE66" i="1"/>
  <c r="AB66" i="1"/>
  <c r="Z66" i="1"/>
  <c r="X66" i="1"/>
  <c r="V66" i="1"/>
  <c r="Q66" i="1"/>
  <c r="T66" i="1" s="1"/>
  <c r="L66" i="1"/>
  <c r="O66" i="1" s="1"/>
  <c r="G66" i="1"/>
  <c r="J66" i="1" s="1"/>
  <c r="D66" i="1"/>
  <c r="AO65" i="1"/>
  <c r="AG65" i="1"/>
  <c r="AJ65" i="1" s="1"/>
  <c r="AB65" i="1"/>
  <c r="AE65" i="1" s="1"/>
  <c r="Z65" i="1"/>
  <c r="X65" i="1"/>
  <c r="V65" i="1"/>
  <c r="T65" i="1"/>
  <c r="Q65" i="1"/>
  <c r="O65" i="1"/>
  <c r="L65" i="1"/>
  <c r="J65" i="1"/>
  <c r="G65" i="1"/>
  <c r="D65" i="1"/>
  <c r="AO63" i="1"/>
  <c r="AJ63" i="1"/>
  <c r="AG63" i="1"/>
  <c r="AE63" i="1"/>
  <c r="AB63" i="1"/>
  <c r="Z63" i="1"/>
  <c r="X63" i="1"/>
  <c r="V63" i="1"/>
  <c r="Q63" i="1"/>
  <c r="T63" i="1" s="1"/>
  <c r="L63" i="1"/>
  <c r="O63" i="1" s="1"/>
  <c r="G63" i="1"/>
  <c r="J63" i="1" s="1"/>
  <c r="AO62" i="1"/>
  <c r="AJ62" i="1"/>
  <c r="AG62" i="1"/>
  <c r="AE62" i="1"/>
  <c r="AB62" i="1"/>
  <c r="Z62" i="1"/>
  <c r="X62" i="1"/>
  <c r="V62" i="1"/>
  <c r="Q62" i="1"/>
  <c r="T62" i="1" s="1"/>
  <c r="L62" i="1"/>
  <c r="O62" i="1" s="1"/>
  <c r="G62" i="1"/>
  <c r="J62" i="1" s="1"/>
  <c r="AN61" i="1"/>
  <c r="AM61" i="1"/>
  <c r="AL61" i="1"/>
  <c r="AK61" i="1"/>
  <c r="AI61" i="1"/>
  <c r="AH61" i="1"/>
  <c r="AF61" i="1"/>
  <c r="AG61" i="1" s="1"/>
  <c r="AJ61" i="1" s="1"/>
  <c r="AD61" i="1"/>
  <c r="AC61" i="1"/>
  <c r="AB61" i="1"/>
  <c r="AE61" i="1" s="1"/>
  <c r="AA61" i="1"/>
  <c r="Z61" i="1"/>
  <c r="Y61" i="1"/>
  <c r="X61" i="1"/>
  <c r="W61" i="1"/>
  <c r="V61" i="1"/>
  <c r="U61" i="1"/>
  <c r="S61" i="1"/>
  <c r="R61" i="1"/>
  <c r="P61" i="1"/>
  <c r="Q61" i="1" s="1"/>
  <c r="T61" i="1" s="1"/>
  <c r="N61" i="1"/>
  <c r="M61" i="1"/>
  <c r="L61" i="1"/>
  <c r="O61" i="1" s="1"/>
  <c r="K61" i="1"/>
  <c r="I61" i="1"/>
  <c r="H61" i="1"/>
  <c r="F61" i="1"/>
  <c r="AO61" i="1" s="1"/>
  <c r="AN60" i="1"/>
  <c r="AN69" i="1" s="1"/>
  <c r="AM60" i="1"/>
  <c r="AM69" i="1" s="1"/>
  <c r="AL60" i="1"/>
  <c r="AL69" i="1" s="1"/>
  <c r="AK60" i="1"/>
  <c r="AK69" i="1" s="1"/>
  <c r="AI60" i="1"/>
  <c r="AI69" i="1" s="1"/>
  <c r="AH60" i="1"/>
  <c r="AH69" i="1" s="1"/>
  <c r="AF60" i="1"/>
  <c r="AF69" i="1" s="1"/>
  <c r="AD60" i="1"/>
  <c r="AD69" i="1" s="1"/>
  <c r="AC60" i="1"/>
  <c r="AB60" i="1"/>
  <c r="AB69" i="1" s="1"/>
  <c r="AE69" i="1" s="1"/>
  <c r="AA60" i="1"/>
  <c r="AA69" i="1" s="1"/>
  <c r="Z60" i="1"/>
  <c r="Z69" i="1" s="1"/>
  <c r="Y60" i="1"/>
  <c r="X60" i="1"/>
  <c r="X69" i="1" s="1"/>
  <c r="W60" i="1"/>
  <c r="W69" i="1" s="1"/>
  <c r="V60" i="1"/>
  <c r="V69" i="1" s="1"/>
  <c r="U60" i="1"/>
  <c r="S60" i="1"/>
  <c r="S69" i="1" s="1"/>
  <c r="R60" i="1"/>
  <c r="R69" i="1" s="1"/>
  <c r="P60" i="1"/>
  <c r="P69" i="1" s="1"/>
  <c r="N60" i="1"/>
  <c r="N69" i="1" s="1"/>
  <c r="M60" i="1"/>
  <c r="L60" i="1"/>
  <c r="L69" i="1" s="1"/>
  <c r="O69" i="1" s="1"/>
  <c r="K60" i="1"/>
  <c r="I60" i="1"/>
  <c r="H60" i="1"/>
  <c r="H69" i="1" s="1"/>
  <c r="F60" i="1"/>
  <c r="F69" i="1" s="1"/>
  <c r="AO69" i="1" s="1"/>
  <c r="D60" i="1"/>
  <c r="AM57" i="1"/>
  <c r="AK57" i="1"/>
  <c r="AI57" i="1"/>
  <c r="AC57" i="1"/>
  <c r="AA57" i="1"/>
  <c r="Y57" i="1"/>
  <c r="W57" i="1"/>
  <c r="U57" i="1"/>
  <c r="S57" i="1"/>
  <c r="M57" i="1"/>
  <c r="K57" i="1"/>
  <c r="I57" i="1"/>
  <c r="D57" i="1"/>
  <c r="AN56" i="1"/>
  <c r="AM56" i="1"/>
  <c r="AL56" i="1"/>
  <c r="AK56" i="1"/>
  <c r="AI56" i="1"/>
  <c r="AH56" i="1"/>
  <c r="AF56" i="1"/>
  <c r="AG56" i="1" s="1"/>
  <c r="AJ56" i="1" s="1"/>
  <c r="AD56" i="1"/>
  <c r="AC56" i="1"/>
  <c r="AB56" i="1"/>
  <c r="AE56" i="1" s="1"/>
  <c r="AA56" i="1"/>
  <c r="Z56" i="1"/>
  <c r="Y56" i="1"/>
  <c r="X56" i="1"/>
  <c r="W56" i="1"/>
  <c r="V56" i="1"/>
  <c r="U56" i="1"/>
  <c r="S56" i="1"/>
  <c r="R56" i="1"/>
  <c r="P56" i="1"/>
  <c r="Q56" i="1" s="1"/>
  <c r="T56" i="1" s="1"/>
  <c r="N56" i="1"/>
  <c r="M56" i="1"/>
  <c r="L56" i="1"/>
  <c r="O56" i="1" s="1"/>
  <c r="K56" i="1"/>
  <c r="I56" i="1"/>
  <c r="H56" i="1"/>
  <c r="F56" i="1"/>
  <c r="AO56" i="1" s="1"/>
  <c r="AN55" i="1"/>
  <c r="AM55" i="1"/>
  <c r="AL55" i="1"/>
  <c r="AK55" i="1"/>
  <c r="AI55" i="1"/>
  <c r="AH55" i="1"/>
  <c r="AF55" i="1"/>
  <c r="AG55" i="1" s="1"/>
  <c r="AJ55" i="1" s="1"/>
  <c r="AD55" i="1"/>
  <c r="AC55" i="1"/>
  <c r="AB55" i="1"/>
  <c r="AE55" i="1" s="1"/>
  <c r="AA55" i="1"/>
  <c r="Z55" i="1"/>
  <c r="Y55" i="1"/>
  <c r="X55" i="1"/>
  <c r="W55" i="1"/>
  <c r="V55" i="1"/>
  <c r="U55" i="1"/>
  <c r="S55" i="1"/>
  <c r="R55" i="1"/>
  <c r="P55" i="1"/>
  <c r="Q55" i="1" s="1"/>
  <c r="T55" i="1" s="1"/>
  <c r="N55" i="1"/>
  <c r="M55" i="1"/>
  <c r="L55" i="1"/>
  <c r="O55" i="1" s="1"/>
  <c r="K55" i="1"/>
  <c r="I55" i="1"/>
  <c r="H55" i="1"/>
  <c r="F55" i="1"/>
  <c r="AO55" i="1" s="1"/>
  <c r="AN54" i="1"/>
  <c r="AM54" i="1"/>
  <c r="AL54" i="1"/>
  <c r="AK54" i="1"/>
  <c r="AI54" i="1"/>
  <c r="AH54" i="1"/>
  <c r="AF54" i="1"/>
  <c r="AG54" i="1" s="1"/>
  <c r="AJ54" i="1" s="1"/>
  <c r="AD54" i="1"/>
  <c r="AC54" i="1"/>
  <c r="AB54" i="1"/>
  <c r="AE54" i="1" s="1"/>
  <c r="AA54" i="1"/>
  <c r="Z54" i="1"/>
  <c r="Y54" i="1"/>
  <c r="X54" i="1"/>
  <c r="W54" i="1"/>
  <c r="V54" i="1"/>
  <c r="U54" i="1"/>
  <c r="S54" i="1"/>
  <c r="R54" i="1"/>
  <c r="P54" i="1"/>
  <c r="Q54" i="1" s="1"/>
  <c r="T54" i="1" s="1"/>
  <c r="N54" i="1"/>
  <c r="M54" i="1"/>
  <c r="L54" i="1"/>
  <c r="O54" i="1" s="1"/>
  <c r="K54" i="1"/>
  <c r="I54" i="1"/>
  <c r="H54" i="1"/>
  <c r="F54" i="1"/>
  <c r="AO54" i="1" s="1"/>
  <c r="AN53" i="1"/>
  <c r="AM53" i="1"/>
  <c r="AL53" i="1"/>
  <c r="AK53" i="1"/>
  <c r="AI53" i="1"/>
  <c r="AH53" i="1"/>
  <c r="AF53" i="1"/>
  <c r="AG53" i="1" s="1"/>
  <c r="AJ53" i="1" s="1"/>
  <c r="AD53" i="1"/>
  <c r="AC53" i="1"/>
  <c r="AB53" i="1"/>
  <c r="AE53" i="1" s="1"/>
  <c r="AA53" i="1"/>
  <c r="Z53" i="1"/>
  <c r="Y53" i="1"/>
  <c r="X53" i="1"/>
  <c r="W53" i="1"/>
  <c r="V53" i="1"/>
  <c r="U53" i="1"/>
  <c r="S53" i="1"/>
  <c r="R53" i="1"/>
  <c r="P53" i="1"/>
  <c r="Q53" i="1" s="1"/>
  <c r="T53" i="1" s="1"/>
  <c r="N53" i="1"/>
  <c r="M53" i="1"/>
  <c r="L53" i="1"/>
  <c r="O53" i="1" s="1"/>
  <c r="K53" i="1"/>
  <c r="I53" i="1"/>
  <c r="H53" i="1"/>
  <c r="F53" i="1"/>
  <c r="AO53" i="1" s="1"/>
  <c r="AN52" i="1"/>
  <c r="AN57" i="1" s="1"/>
  <c r="AM52" i="1"/>
  <c r="AL52" i="1"/>
  <c r="AL57" i="1" s="1"/>
  <c r="AK52" i="1"/>
  <c r="AI52" i="1"/>
  <c r="AH52" i="1"/>
  <c r="AH57" i="1" s="1"/>
  <c r="AF52" i="1"/>
  <c r="AF57" i="1" s="1"/>
  <c r="AD52" i="1"/>
  <c r="AD57" i="1" s="1"/>
  <c r="AC52" i="1"/>
  <c r="AB52" i="1"/>
  <c r="AB57" i="1" s="1"/>
  <c r="AA52" i="1"/>
  <c r="Z52" i="1"/>
  <c r="Z57" i="1" s="1"/>
  <c r="AA17" i="4" s="1"/>
  <c r="AB17" i="4" s="1"/>
  <c r="Y52" i="1"/>
  <c r="X52" i="1"/>
  <c r="X57" i="1" s="1"/>
  <c r="W17" i="4" s="1"/>
  <c r="X17" i="4" s="1"/>
  <c r="W52" i="1"/>
  <c r="V52" i="1"/>
  <c r="V57" i="1" s="1"/>
  <c r="S17" i="4" s="1"/>
  <c r="T17" i="4" s="1"/>
  <c r="U52" i="1"/>
  <c r="S52" i="1"/>
  <c r="R52" i="1"/>
  <c r="R57" i="1" s="1"/>
  <c r="P52" i="1"/>
  <c r="P57" i="1" s="1"/>
  <c r="N52" i="1"/>
  <c r="N57" i="1" s="1"/>
  <c r="M52" i="1"/>
  <c r="L52" i="1"/>
  <c r="L57" i="1" s="1"/>
  <c r="K52" i="1"/>
  <c r="I52" i="1"/>
  <c r="H52" i="1"/>
  <c r="H57" i="1" s="1"/>
  <c r="F52" i="1"/>
  <c r="F57" i="1" s="1"/>
  <c r="AN49" i="1"/>
  <c r="AM49" i="1"/>
  <c r="AL49" i="1"/>
  <c r="AK49" i="1"/>
  <c r="AI49" i="1"/>
  <c r="AH49" i="1"/>
  <c r="AF49" i="1"/>
  <c r="AD49" i="1"/>
  <c r="AC49" i="1"/>
  <c r="AA49" i="1"/>
  <c r="Z49" i="1"/>
  <c r="AA24" i="4" s="1"/>
  <c r="AB24" i="4" s="1"/>
  <c r="Y49" i="1"/>
  <c r="W49" i="1"/>
  <c r="V49" i="1"/>
  <c r="S24" i="4" s="1"/>
  <c r="T24" i="4" s="1"/>
  <c r="U49" i="1"/>
  <c r="S49" i="1"/>
  <c r="R49" i="1"/>
  <c r="P49" i="1"/>
  <c r="N49" i="1"/>
  <c r="M49" i="1"/>
  <c r="L49" i="1"/>
  <c r="K49" i="1"/>
  <c r="I49" i="1"/>
  <c r="H49" i="1"/>
  <c r="F49" i="1"/>
  <c r="AO49" i="1" s="1"/>
  <c r="D49" i="1"/>
  <c r="AO48" i="1"/>
  <c r="AG48" i="1"/>
  <c r="AJ48" i="1" s="1"/>
  <c r="AB48" i="1"/>
  <c r="AE48" i="1" s="1"/>
  <c r="Z48" i="1"/>
  <c r="X48" i="1"/>
  <c r="V48" i="1"/>
  <c r="T48" i="1"/>
  <c r="Q48" i="1"/>
  <c r="O48" i="1"/>
  <c r="L48" i="1"/>
  <c r="J48" i="1"/>
  <c r="G48" i="1"/>
  <c r="AO47" i="1"/>
  <c r="AG47" i="1"/>
  <c r="AJ47" i="1" s="1"/>
  <c r="AB47" i="1"/>
  <c r="AE47" i="1" s="1"/>
  <c r="Z47" i="1"/>
  <c r="X47" i="1"/>
  <c r="V47" i="1"/>
  <c r="T47" i="1"/>
  <c r="Q47" i="1"/>
  <c r="O47" i="1"/>
  <c r="L47" i="1"/>
  <c r="J47" i="1"/>
  <c r="G47" i="1"/>
  <c r="AO46" i="1"/>
  <c r="AG46" i="1"/>
  <c r="AJ46" i="1" s="1"/>
  <c r="AB46" i="1"/>
  <c r="AE46" i="1" s="1"/>
  <c r="Z46" i="1"/>
  <c r="X46" i="1"/>
  <c r="V46" i="1"/>
  <c r="T46" i="1"/>
  <c r="Q46" i="1"/>
  <c r="O46" i="1"/>
  <c r="L46" i="1"/>
  <c r="J46" i="1"/>
  <c r="G46" i="1"/>
  <c r="AO45" i="1"/>
  <c r="AG45" i="1"/>
  <c r="AJ45" i="1" s="1"/>
  <c r="AB45" i="1"/>
  <c r="AE45" i="1" s="1"/>
  <c r="Z45" i="1"/>
  <c r="X45" i="1"/>
  <c r="V45" i="1"/>
  <c r="T45" i="1"/>
  <c r="Q45" i="1"/>
  <c r="O45" i="1"/>
  <c r="L45" i="1"/>
  <c r="J45" i="1"/>
  <c r="G45" i="1"/>
  <c r="AO43" i="1"/>
  <c r="AG43" i="1"/>
  <c r="AG49" i="1" s="1"/>
  <c r="AB43" i="1"/>
  <c r="AB49" i="1" s="1"/>
  <c r="Z43" i="1"/>
  <c r="X43" i="1"/>
  <c r="X49" i="1" s="1"/>
  <c r="W24" i="4" s="1"/>
  <c r="X24" i="4" s="1"/>
  <c r="V43" i="1"/>
  <c r="T43" i="1"/>
  <c r="T49" i="1" s="1"/>
  <c r="O24" i="4" s="1"/>
  <c r="P24" i="4" s="1"/>
  <c r="Q43" i="1"/>
  <c r="Q49" i="1" s="1"/>
  <c r="O43" i="1"/>
  <c r="O49" i="1" s="1"/>
  <c r="K24" i="4" s="1"/>
  <c r="L24" i="4" s="1"/>
  <c r="L43" i="1"/>
  <c r="J43" i="1"/>
  <c r="J49" i="1" s="1"/>
  <c r="G24" i="4" s="1"/>
  <c r="H24" i="4" s="1"/>
  <c r="G43" i="1"/>
  <c r="G49" i="1" s="1"/>
  <c r="Y40" i="1"/>
  <c r="U40" i="1"/>
  <c r="K40" i="1"/>
  <c r="AO39" i="1"/>
  <c r="AO38" i="1"/>
  <c r="AO37" i="1"/>
  <c r="AO36" i="1"/>
  <c r="AO35" i="1"/>
  <c r="AO34" i="1"/>
  <c r="AO33" i="1"/>
  <c r="AJ33" i="1"/>
  <c r="AE33" i="1"/>
  <c r="T33" i="1"/>
  <c r="O33" i="1"/>
  <c r="J33" i="1"/>
  <c r="AO32" i="1"/>
  <c r="AJ32" i="1"/>
  <c r="AE32" i="1"/>
  <c r="T32" i="1"/>
  <c r="O32" i="1"/>
  <c r="J32" i="1"/>
  <c r="AO31" i="1"/>
  <c r="AJ31" i="1"/>
  <c r="AE31" i="1"/>
  <c r="T31" i="1"/>
  <c r="O31" i="1"/>
  <c r="J31" i="1"/>
  <c r="AM30" i="1"/>
  <c r="AM40" i="1" s="1"/>
  <c r="AL30" i="1"/>
  <c r="AL40" i="1" s="1"/>
  <c r="AK30" i="1"/>
  <c r="AK40" i="1" s="1"/>
  <c r="AI30" i="1"/>
  <c r="AH30" i="1"/>
  <c r="AJ30" i="1" s="1"/>
  <c r="AI16" i="4" s="1"/>
  <c r="AG30" i="1"/>
  <c r="AF30" i="1"/>
  <c r="AI15" i="4" s="1"/>
  <c r="AJ15" i="4" s="1"/>
  <c r="AD30" i="1"/>
  <c r="AC30" i="1"/>
  <c r="AB30" i="1"/>
  <c r="AE30" i="1" s="1"/>
  <c r="AE16" i="4" s="1"/>
  <c r="AA30" i="1"/>
  <c r="AE15" i="4" s="1"/>
  <c r="AF15" i="4" s="1"/>
  <c r="Z30" i="1"/>
  <c r="AA16" i="4" s="1"/>
  <c r="Y30" i="1"/>
  <c r="AA15" i="4" s="1"/>
  <c r="AB15" i="4" s="1"/>
  <c r="X30" i="1"/>
  <c r="W16" i="4" s="1"/>
  <c r="W30" i="1"/>
  <c r="W15" i="4" s="1"/>
  <c r="X15" i="4" s="1"/>
  <c r="V30" i="1"/>
  <c r="S16" i="4" s="1"/>
  <c r="U30" i="1"/>
  <c r="S15" i="4" s="1"/>
  <c r="T15" i="4" s="1"/>
  <c r="S30" i="1"/>
  <c r="R30" i="1"/>
  <c r="T30" i="1" s="1"/>
  <c r="O16" i="4" s="1"/>
  <c r="Q30" i="1"/>
  <c r="P30" i="1"/>
  <c r="O15" i="4" s="1"/>
  <c r="P15" i="4" s="1"/>
  <c r="N30" i="1"/>
  <c r="M30" i="1"/>
  <c r="L30" i="1"/>
  <c r="O30" i="1" s="1"/>
  <c r="K16" i="4" s="1"/>
  <c r="K30" i="1"/>
  <c r="K15" i="4" s="1"/>
  <c r="L15" i="4" s="1"/>
  <c r="I30" i="1"/>
  <c r="H30" i="1"/>
  <c r="J30" i="1" s="1"/>
  <c r="G16" i="4" s="1"/>
  <c r="G30" i="1"/>
  <c r="F30" i="1"/>
  <c r="G15" i="4" s="1"/>
  <c r="H15" i="4" s="1"/>
  <c r="D30" i="1"/>
  <c r="AO26" i="1"/>
  <c r="AO25" i="1"/>
  <c r="AO24" i="1"/>
  <c r="D23" i="1"/>
  <c r="AO22" i="1"/>
  <c r="AJ22" i="1"/>
  <c r="AG22" i="1"/>
  <c r="AE22" i="1"/>
  <c r="AB22" i="1"/>
  <c r="Z22" i="1"/>
  <c r="X22" i="1"/>
  <c r="V22" i="1"/>
  <c r="Q22" i="1"/>
  <c r="T22" i="1" s="1"/>
  <c r="L22" i="1"/>
  <c r="O22" i="1" s="1"/>
  <c r="G22" i="1"/>
  <c r="J22" i="1" s="1"/>
  <c r="AO21" i="1"/>
  <c r="AJ21" i="1"/>
  <c r="AG21" i="1"/>
  <c r="AE21" i="1"/>
  <c r="AB21" i="1"/>
  <c r="Z21" i="1"/>
  <c r="X21" i="1"/>
  <c r="V21" i="1"/>
  <c r="Q21" i="1"/>
  <c r="T21" i="1" s="1"/>
  <c r="L21" i="1"/>
  <c r="O21" i="1" s="1"/>
  <c r="G21" i="1"/>
  <c r="J21" i="1" s="1"/>
  <c r="AM20" i="1"/>
  <c r="AM23" i="1" s="1"/>
  <c r="AM27" i="1" s="1"/>
  <c r="AM72" i="1" s="1"/>
  <c r="AL20" i="1"/>
  <c r="AL23" i="1" s="1"/>
  <c r="AL27" i="1" s="1"/>
  <c r="AL72" i="1" s="1"/>
  <c r="AK20" i="1"/>
  <c r="AK23" i="1" s="1"/>
  <c r="AK27" i="1" s="1"/>
  <c r="AK72" i="1" s="1"/>
  <c r="AI20" i="1"/>
  <c r="AI23" i="1" s="1"/>
  <c r="AH20" i="1"/>
  <c r="AH23" i="1" s="1"/>
  <c r="AF20" i="1"/>
  <c r="AF23" i="1" s="1"/>
  <c r="AF27" i="1" s="1"/>
  <c r="AD20" i="1"/>
  <c r="AD23" i="1" s="1"/>
  <c r="AC20" i="1"/>
  <c r="AC23" i="1" s="1"/>
  <c r="AB20" i="1"/>
  <c r="AB23" i="1" s="1"/>
  <c r="AA20" i="1"/>
  <c r="AA23" i="1" s="1"/>
  <c r="AA27" i="1" s="1"/>
  <c r="Z20" i="1"/>
  <c r="Z23" i="1" s="1"/>
  <c r="AA23" i="4" s="1"/>
  <c r="Y20" i="1"/>
  <c r="Y23" i="1" s="1"/>
  <c r="Y27" i="1" s="1"/>
  <c r="Y72" i="1" s="1"/>
  <c r="X20" i="1"/>
  <c r="X23" i="1" s="1"/>
  <c r="W23" i="4" s="1"/>
  <c r="W20" i="1"/>
  <c r="W23" i="1" s="1"/>
  <c r="W27" i="1" s="1"/>
  <c r="V20" i="1"/>
  <c r="V23" i="1" s="1"/>
  <c r="S23" i="4" s="1"/>
  <c r="U20" i="1"/>
  <c r="U23" i="1" s="1"/>
  <c r="U27" i="1" s="1"/>
  <c r="U72" i="1" s="1"/>
  <c r="S20" i="1"/>
  <c r="S23" i="1" s="1"/>
  <c r="R20" i="1"/>
  <c r="R23" i="1" s="1"/>
  <c r="Q20" i="1"/>
  <c r="Q23" i="1" s="1"/>
  <c r="P20" i="1"/>
  <c r="P23" i="1" s="1"/>
  <c r="P27" i="1" s="1"/>
  <c r="N20" i="1"/>
  <c r="N23" i="1" s="1"/>
  <c r="M20" i="1"/>
  <c r="M23" i="1" s="1"/>
  <c r="L20" i="1"/>
  <c r="L23" i="1" s="1"/>
  <c r="K20" i="1"/>
  <c r="K23" i="1" s="1"/>
  <c r="K27" i="1" s="1"/>
  <c r="K72" i="1" s="1"/>
  <c r="I20" i="1"/>
  <c r="I23" i="1" s="1"/>
  <c r="H20" i="1"/>
  <c r="H23" i="1" s="1"/>
  <c r="G20" i="1"/>
  <c r="G23" i="1" s="1"/>
  <c r="F20" i="1"/>
  <c r="F23" i="1" s="1"/>
  <c r="D20" i="1"/>
  <c r="S25" i="4" l="1"/>
  <c r="T23" i="4"/>
  <c r="W25" i="4"/>
  <c r="X23" i="4"/>
  <c r="AA25" i="4"/>
  <c r="AB23" i="4"/>
  <c r="H16" i="4"/>
  <c r="P16" i="4"/>
  <c r="AJ16" i="4"/>
  <c r="AO57" i="1"/>
  <c r="F27" i="1"/>
  <c r="AO23" i="1"/>
  <c r="L16" i="4"/>
  <c r="AF16" i="4"/>
  <c r="J20" i="1"/>
  <c r="J23" i="1" s="1"/>
  <c r="G23" i="4" s="1"/>
  <c r="T20" i="1"/>
  <c r="T23" i="1" s="1"/>
  <c r="O23" i="4" s="1"/>
  <c r="AO20" i="1"/>
  <c r="F40" i="1"/>
  <c r="P40" i="1"/>
  <c r="P72" i="1" s="1"/>
  <c r="W40" i="1"/>
  <c r="W72" i="1" s="1"/>
  <c r="AA40" i="1"/>
  <c r="AA72" i="1" s="1"/>
  <c r="AE43" i="1"/>
  <c r="AE49" i="1" s="1"/>
  <c r="AE24" i="4" s="1"/>
  <c r="AF24" i="4" s="1"/>
  <c r="AJ43" i="1"/>
  <c r="AJ49" i="1" s="1"/>
  <c r="AI24" i="4" s="1"/>
  <c r="AJ24" i="4" s="1"/>
  <c r="G52" i="1"/>
  <c r="O52" i="1"/>
  <c r="O57" i="1" s="1"/>
  <c r="K17" i="4" s="1"/>
  <c r="L17" i="4" s="1"/>
  <c r="Q52" i="1"/>
  <c r="AE52" i="1"/>
  <c r="AE57" i="1" s="1"/>
  <c r="AE17" i="4" s="1"/>
  <c r="AF17" i="4" s="1"/>
  <c r="AG52" i="1"/>
  <c r="AO52" i="1"/>
  <c r="G53" i="1"/>
  <c r="J53" i="1" s="1"/>
  <c r="G54" i="1"/>
  <c r="J54" i="1" s="1"/>
  <c r="G55" i="1"/>
  <c r="J55" i="1" s="1"/>
  <c r="G56" i="1"/>
  <c r="J56" i="1" s="1"/>
  <c r="G60" i="1"/>
  <c r="O60" i="1"/>
  <c r="Q60" i="1"/>
  <c r="AE60" i="1"/>
  <c r="AG60" i="1"/>
  <c r="AO60" i="1"/>
  <c r="G61" i="1"/>
  <c r="J61" i="1" s="1"/>
  <c r="O20" i="1"/>
  <c r="O23" i="1" s="1"/>
  <c r="K23" i="4" s="1"/>
  <c r="AE20" i="1"/>
  <c r="AE23" i="1" s="1"/>
  <c r="AE23" i="4" s="1"/>
  <c r="T16" i="4"/>
  <c r="S19" i="4"/>
  <c r="X16" i="4"/>
  <c r="W19" i="4"/>
  <c r="AB16" i="4"/>
  <c r="AA19" i="4"/>
  <c r="AO30" i="1"/>
  <c r="AF40" i="1"/>
  <c r="AF72" i="1" s="1"/>
  <c r="AF28" i="4"/>
  <c r="AG82" i="1"/>
  <c r="AJ82" i="1" s="1"/>
  <c r="AI28" i="4" s="1"/>
  <c r="J108" i="1"/>
  <c r="O108" i="1"/>
  <c r="T108" i="1"/>
  <c r="J109" i="1"/>
  <c r="O109" i="1"/>
  <c r="T109" i="1"/>
  <c r="AG120" i="1"/>
  <c r="AE132" i="1"/>
  <c r="AE153" i="1" s="1"/>
  <c r="AJ132" i="1"/>
  <c r="AO149" i="1"/>
  <c r="T25" i="4"/>
  <c r="X25" i="4"/>
  <c r="AB25" i="4"/>
  <c r="AE81" i="1"/>
  <c r="AJ153" i="1"/>
  <c r="T19" i="4"/>
  <c r="X19" i="4"/>
  <c r="AB19" i="4"/>
  <c r="AJ120" i="1" l="1"/>
  <c r="AG20" i="1"/>
  <c r="AF35" i="4"/>
  <c r="AF32" i="4"/>
  <c r="AF46" i="4"/>
  <c r="AF29" i="4"/>
  <c r="K25" i="4"/>
  <c r="L25" i="4" s="1"/>
  <c r="L23" i="4"/>
  <c r="G25" i="4"/>
  <c r="H25" i="4" s="1"/>
  <c r="H23" i="4"/>
  <c r="F72" i="1"/>
  <c r="AO72" i="1" s="1"/>
  <c r="AO76" i="1" s="1"/>
  <c r="AO27" i="1"/>
  <c r="AJ28" i="4"/>
  <c r="AE25" i="4"/>
  <c r="AF23" i="4"/>
  <c r="AG69" i="1"/>
  <c r="AJ69" i="1" s="1"/>
  <c r="AJ60" i="1"/>
  <c r="Q69" i="1"/>
  <c r="T69" i="1" s="1"/>
  <c r="T60" i="1"/>
  <c r="G69" i="1"/>
  <c r="J69" i="1" s="1"/>
  <c r="J60" i="1"/>
  <c r="AG57" i="1"/>
  <c r="AJ52" i="1"/>
  <c r="AJ57" i="1" s="1"/>
  <c r="AI17" i="4" s="1"/>
  <c r="Q57" i="1"/>
  <c r="T52" i="1"/>
  <c r="T57" i="1" s="1"/>
  <c r="O17" i="4" s="1"/>
  <c r="G57" i="1"/>
  <c r="J52" i="1"/>
  <c r="J57" i="1" s="1"/>
  <c r="G17" i="4" s="1"/>
  <c r="AO40" i="1"/>
  <c r="O25" i="4"/>
  <c r="P25" i="4" s="1"/>
  <c r="P23" i="4"/>
  <c r="AE19" i="4"/>
  <c r="AF19" i="4" s="1"/>
  <c r="K19" i="4"/>
  <c r="L19" i="4" s="1"/>
  <c r="H17" i="4" l="1"/>
  <c r="G19" i="4"/>
  <c r="H19" i="4" s="1"/>
  <c r="P17" i="4"/>
  <c r="O19" i="4"/>
  <c r="P19" i="4" s="1"/>
  <c r="AJ17" i="4"/>
  <c r="AI19" i="4"/>
  <c r="AJ19" i="4" s="1"/>
  <c r="AJ46" i="4"/>
  <c r="AJ29" i="4"/>
  <c r="AJ35" i="4"/>
  <c r="AJ32" i="4"/>
  <c r="AG23" i="1"/>
  <c r="AJ20" i="1"/>
  <c r="AJ23" i="1" s="1"/>
  <c r="AI23" i="4" s="1"/>
  <c r="AF45" i="4"/>
  <c r="AF25" i="4"/>
  <c r="J24" i="5"/>
  <c r="J13" i="5"/>
  <c r="AF38" i="4" l="1"/>
  <c r="AF37" i="4"/>
  <c r="AI25" i="4"/>
  <c r="AJ23" i="4"/>
  <c r="K24" i="5"/>
  <c r="K13" i="5"/>
  <c r="AJ45" i="4" l="1"/>
  <c r="AJ25" i="4"/>
  <c r="AF39" i="4"/>
  <c r="AF40" i="4" s="1"/>
  <c r="AF44" i="4" s="1"/>
  <c r="AJ37" i="4" l="1"/>
  <c r="AJ38" i="4"/>
  <c r="AJ39" i="4" l="1"/>
  <c r="AJ40" i="4" s="1"/>
  <c r="AJ44" i="4" s="1"/>
</calcChain>
</file>

<file path=xl/sharedStrings.xml><?xml version="1.0" encoding="utf-8"?>
<sst xmlns="http://schemas.openxmlformats.org/spreadsheetml/2006/main" count="1894" uniqueCount="421">
  <si>
    <t>Department of Health and Human Services</t>
  </si>
  <si>
    <t>Medical Loss Ratio Reporting Form</t>
  </si>
  <si>
    <t>CGI_MLR_V4</t>
  </si>
  <si>
    <t>Parts 1 and 2 - Data Development</t>
  </si>
  <si>
    <t>CGI_MLR_V4_Final</t>
  </si>
  <si>
    <t xml:space="preserve">Group Affiliation:  </t>
  </si>
  <si>
    <t>Federal EIN :</t>
  </si>
  <si>
    <t>UnitedHealth Group</t>
  </si>
  <si>
    <t>362739571</t>
  </si>
  <si>
    <t>Company Name:</t>
  </si>
  <si>
    <t>A.M.Best Number:</t>
  </si>
  <si>
    <t>Issuer ID:</t>
  </si>
  <si>
    <t>Merge Markets - Ind/SmGrp (MA Only)</t>
  </si>
  <si>
    <t>384</t>
  </si>
  <si>
    <t>UnitedHealthcare Insurance Company</t>
  </si>
  <si>
    <t>008290</t>
  </si>
  <si>
    <t>No</t>
  </si>
  <si>
    <t>DBA / Marketing Name:</t>
  </si>
  <si>
    <t>NAIC Group Code:</t>
  </si>
  <si>
    <t>Business in the State of:</t>
  </si>
  <si>
    <t>Not-For-Profit</t>
  </si>
  <si>
    <t>00707</t>
  </si>
  <si>
    <t>Grand Total</t>
  </si>
  <si>
    <t>Address:</t>
  </si>
  <si>
    <t>NAIC Company Code:</t>
  </si>
  <si>
    <t>Domiciliary State:</t>
  </si>
  <si>
    <t>MLR Reporting Year:</t>
  </si>
  <si>
    <t>185 Asylum Street Hartford, CT 06103-0450</t>
  </si>
  <si>
    <t>79413</t>
  </si>
  <si>
    <t>Connecticut</t>
  </si>
  <si>
    <t>2011</t>
  </si>
  <si>
    <t>Health Insurance Coverage</t>
  </si>
  <si>
    <t>"Mini-Med"</t>
  </si>
  <si>
    <t>Expatriate</t>
  </si>
  <si>
    <t>Government Program Plans</t>
  </si>
  <si>
    <t>Other Health Business</t>
  </si>
  <si>
    <t>Aggregate 2% Rule</t>
  </si>
  <si>
    <t>Uninsured Plans</t>
  </si>
  <si>
    <t>Grand Total as of 12/31/11</t>
  </si>
  <si>
    <t>Individual</t>
  </si>
  <si>
    <t>Small Group</t>
  </si>
  <si>
    <t>Large Group</t>
  </si>
  <si>
    <t>Part 1</t>
  </si>
  <si>
    <t>NAIC Supp. Health Care Exhibit Line</t>
  </si>
  <si>
    <t>Total as of 12/31/11</t>
  </si>
  <si>
    <t>3/31/12</t>
  </si>
  <si>
    <t>Deferred PY (Add)</t>
  </si>
  <si>
    <t>Deferred CY (Subtract)</t>
  </si>
  <si>
    <t>Total as of 3/31/12</t>
  </si>
  <si>
    <t>1.</t>
  </si>
  <si>
    <t>Premium</t>
  </si>
  <si>
    <t>Pt 1, Ln 1.1</t>
  </si>
  <si>
    <t>XXX</t>
  </si>
  <si>
    <t>Federal high risk pools</t>
  </si>
  <si>
    <t>Pt 1, Ln 1.2</t>
  </si>
  <si>
    <t>State high risk pools</t>
  </si>
  <si>
    <t>Pt 1, Ln 1.3</t>
  </si>
  <si>
    <t>Pt 1, Ln 1.4</t>
  </si>
  <si>
    <t>Net assumed less ceded reinsurance premium earned 
      (exclude amts reported already included in Line 1.1)</t>
  </si>
  <si>
    <t>Pt 1, Ln 1.9</t>
  </si>
  <si>
    <t>Other adjustments due to MLR calculations Premium</t>
  </si>
  <si>
    <t>Pt 1, Ln 1.10</t>
  </si>
  <si>
    <t>Risk revenue</t>
  </si>
  <si>
    <t>Pt 1, Ln 1.11</t>
  </si>
  <si>
    <t>Premium earned including federal and state high risk programs net of reinsurance 
    (Lines 1.4 + 1.5 + 1.6 + 1.7)</t>
  </si>
  <si>
    <t>2.</t>
  </si>
  <si>
    <t>Claims</t>
  </si>
  <si>
    <t>Prescription drugs 
(informational only; already included in adjusted incurred claims above)</t>
  </si>
  <si>
    <t>Pt 1, Ln 2.2</t>
  </si>
  <si>
    <t>Pharmaceutical rebates 
(informational only; already excluded from adjusted incurred claims above)</t>
  </si>
  <si>
    <t>Pt 1, Ln 2.3</t>
  </si>
  <si>
    <t>State stop loss, market stabilization and claim/census based assessments 
(informational only; already excluded from adjusted incurred claims above)</t>
  </si>
  <si>
    <t>Pt 1, Ln 2.4</t>
  </si>
  <si>
    <t>Net assumed less ceded claims incurred
     (exclude amounts reported already included in Line 2.1)</t>
  </si>
  <si>
    <t>Pt 1, Ln 5.1</t>
  </si>
  <si>
    <t>Other adjustments due to MLR calculation – claims incurred</t>
  </si>
  <si>
    <t>Pt 1, Ln 5.2</t>
  </si>
  <si>
    <t>Rebates paid</t>
  </si>
  <si>
    <t>Pt 1, Ln 5.3</t>
  </si>
  <si>
    <t>Estimated rebates unpaid at the end of the prior MLR reporting year</t>
  </si>
  <si>
    <t>Pt 1, Ln 5.4</t>
  </si>
  <si>
    <t>Estimated rebates unpaid at the end of the current MLR reporting year</t>
  </si>
  <si>
    <t>Pt 1, Ln 5.5</t>
  </si>
  <si>
    <t>Fee-for-service and co-pay revenue (net of expenses)</t>
  </si>
  <si>
    <t>Pt 1, Ln 5.6</t>
  </si>
  <si>
    <t>Net incurred claims after reinsurance (Line 2.1 + 2.5 + 2.6 + 2.7 – 2.8 + 2.9 – 2.10)</t>
  </si>
  <si>
    <t>3.</t>
  </si>
  <si>
    <t>Federal and State Taxes and Licensing or Regulatory Fees</t>
  </si>
  <si>
    <t>Federal taxes and assessments</t>
  </si>
  <si>
    <t>Pt 1, Ln 1.5</t>
  </si>
  <si>
    <t>State insurance, premium and other taxes</t>
  </si>
  <si>
    <t xml:space="preserve">  3.2 a   State income, excise, business, and other taxes excluded from premium</t>
  </si>
  <si>
    <t>Pt 1, Ln 1.6</t>
  </si>
  <si>
    <t xml:space="preserve">  3.2 b   State premium taxes </t>
  </si>
  <si>
    <t xml:space="preserve">  3.2 c   Community Benefit Expenditures</t>
  </si>
  <si>
    <t>Regulatory authority licenses and fees</t>
  </si>
  <si>
    <t>Pt 1, Ln 1.7</t>
  </si>
  <si>
    <t>4.</t>
  </si>
  <si>
    <t>Improving Health Care Quality Expenses Incurred:</t>
  </si>
  <si>
    <t>Improve health outcomes</t>
  </si>
  <si>
    <t>Pt 1, Ln 6.1</t>
  </si>
  <si>
    <t>Activites to prevent hospital readmission</t>
  </si>
  <si>
    <t>Pt 1, Ln 6.2</t>
  </si>
  <si>
    <t>Improve patient safety and reduce medical errors</t>
  </si>
  <si>
    <t>Pt 1, Ln 6.3</t>
  </si>
  <si>
    <t>Wellness and health promotion activities</t>
  </si>
  <si>
    <t>Pt 1, Ln 6.4</t>
  </si>
  <si>
    <t>Health information technology expenses related to health improvement</t>
  </si>
  <si>
    <t>Pt 1, Ln 6.5</t>
  </si>
  <si>
    <t>Pt 1, Ln 6.6</t>
  </si>
  <si>
    <t>5.</t>
  </si>
  <si>
    <t>Non-Claims Costs:</t>
  </si>
  <si>
    <t>Pt 1, Ln 8.1</t>
  </si>
  <si>
    <t>All other claims adjustment expenses</t>
  </si>
  <si>
    <t>Pt 1, Ln 8.2</t>
  </si>
  <si>
    <t>Direct sales salaries and benefits</t>
  </si>
  <si>
    <t>Pt 1, Ln 10.1</t>
  </si>
  <si>
    <t>Agents and brokers fees and commissions</t>
  </si>
  <si>
    <t>Pt 1, Ln 10.2</t>
  </si>
  <si>
    <t>Other taxes</t>
  </si>
  <si>
    <t>Pt 1, Ln 10.3</t>
  </si>
  <si>
    <t>Other general and administrative expenses</t>
  </si>
  <si>
    <t>Pt 1, Ln 10.4</t>
  </si>
  <si>
    <t>Community benefit expenditures (exclude amounts reported already in Line 3.2c)</t>
  </si>
  <si>
    <t>ICD-10 implementation expenses (informational only)</t>
  </si>
  <si>
    <t>Pt 1, Ln 16</t>
  </si>
  <si>
    <t>6.</t>
  </si>
  <si>
    <t>7.</t>
  </si>
  <si>
    <t>Income from fees of uninsured plans</t>
  </si>
  <si>
    <t>Pt 1, Ln 12</t>
  </si>
  <si>
    <t>8.</t>
  </si>
  <si>
    <t>Net investment and other gain / (loss)</t>
  </si>
  <si>
    <t>Pt 1, Ln 13</t>
  </si>
  <si>
    <t>9.</t>
  </si>
  <si>
    <t>Pt 1, Ln 14</t>
  </si>
  <si>
    <t>10.</t>
  </si>
  <si>
    <t>Pt 1, Ln 15</t>
  </si>
  <si>
    <t>11.</t>
  </si>
  <si>
    <t>Other Indicators or information:</t>
  </si>
  <si>
    <t>Number of policies/certificates</t>
  </si>
  <si>
    <t>Pt 1 Other, Ln 1</t>
  </si>
  <si>
    <t>Number of covered lives</t>
  </si>
  <si>
    <t>Pt 1 Other, Ln 2</t>
  </si>
  <si>
    <t>Number of groups</t>
  </si>
  <si>
    <t>Pt 1 Other, Ln 3</t>
  </si>
  <si>
    <t>Member months</t>
  </si>
  <si>
    <t>Pt 1 Other, Ln 4</t>
  </si>
  <si>
    <t>Number of life-years</t>
  </si>
  <si>
    <t>Cell Keys:</t>
  </si>
  <si>
    <t>Blank cells require input from issuer</t>
  </si>
  <si>
    <t xml:space="preserve">Grey cells denote calculated cells or no input required - locked down </t>
  </si>
  <si>
    <t>Pink "XXX" cells require no data input - locked down</t>
  </si>
  <si>
    <t xml:space="preserve">Green cells - not pertinent to 2011 MLR - locked down </t>
  </si>
  <si>
    <t>Part 2</t>
  </si>
  <si>
    <t>Premium:</t>
  </si>
  <si>
    <t>Direct premium written</t>
  </si>
  <si>
    <t>Pt 2, Ln 1.1</t>
  </si>
  <si>
    <t>Unearned premium prior year</t>
  </si>
  <si>
    <t>Pt 2, Ln 1.2</t>
  </si>
  <si>
    <t>Unearned premium current year</t>
  </si>
  <si>
    <t>Pt 2, Ln 1.3</t>
  </si>
  <si>
    <t>Pt 2, Ln 1.4</t>
  </si>
  <si>
    <t>Experience rating refunds (rate credits) paid</t>
  </si>
  <si>
    <t>1.5a Experience rating refunds with all incurral dates that were paid in the reporting year</t>
  </si>
  <si>
    <t>Pt 2, Ln 1.5</t>
  </si>
  <si>
    <t>1.5b Experience rating refunds incurred only in the reporting year and paid in the reporting year and through 3/31 of the following year</t>
  </si>
  <si>
    <t>Reserve for experience rating refunds (rate credits) current year</t>
  </si>
  <si>
    <t>Pt 2, Ln 1.6</t>
  </si>
  <si>
    <t>Reserve for experience rating refunds (rate credits) prior year</t>
  </si>
  <si>
    <t>Pt 2, Ln 1.7</t>
  </si>
  <si>
    <t>Pt 2, Ln 1.8</t>
  </si>
  <si>
    <t>Premium balances written off</t>
  </si>
  <si>
    <t>Pt 2, Ln 1.9</t>
  </si>
  <si>
    <t>1.10</t>
  </si>
  <si>
    <t>Group conversion charges</t>
  </si>
  <si>
    <t>Pt 2, Ln 1.10</t>
  </si>
  <si>
    <t>Pt 2, Ln 1.11</t>
  </si>
  <si>
    <t>Claims:</t>
  </si>
  <si>
    <t>Claims paid</t>
  </si>
  <si>
    <t>Pt 2, Ln 2.1</t>
  </si>
  <si>
    <t>Direct claim liability current year</t>
  </si>
  <si>
    <t>Pt 2, Ln 2.2</t>
  </si>
  <si>
    <t>Direct claim liability prior year</t>
  </si>
  <si>
    <t>Pt 2, Ln 2.3</t>
  </si>
  <si>
    <t>Direct claim reserves current year</t>
  </si>
  <si>
    <t>Pt 2, Ln 2.4</t>
  </si>
  <si>
    <t>Direct claim reserves prior year</t>
  </si>
  <si>
    <t>Pt 2, Ln 2.5</t>
  </si>
  <si>
    <t>Direct contract reserves current year</t>
  </si>
  <si>
    <t>Pt 2, Ln 2.6</t>
  </si>
  <si>
    <t>Direct contract reserves prior year</t>
  </si>
  <si>
    <t>Pt 2, Ln 2.7</t>
  </si>
  <si>
    <t>2.8a Experience rating refunds with all incurral dates that were paid in the reporting year</t>
  </si>
  <si>
    <t>Pt 2, Ln 2.8</t>
  </si>
  <si>
    <t>2.8b Experience rating refunds incurred only in the reporting year and paid in the reporting year and through 3/31 of the following year</t>
  </si>
  <si>
    <t>Pt 2, Ln 2.9</t>
  </si>
  <si>
    <t>2.10</t>
  </si>
  <si>
    <t>Pt 2, Ln 2.10</t>
  </si>
  <si>
    <t>Incurred medical incentive pool and bonuses</t>
  </si>
  <si>
    <t>Pt 2, Ln 2.11a</t>
  </si>
  <si>
    <t>Pt 2, Ln 2.11b</t>
  </si>
  <si>
    <t>Pt 2, Ln 2.11c</t>
  </si>
  <si>
    <t>Pt 2, Ln 2.12a</t>
  </si>
  <si>
    <t>Pt 2, Ln 2.12b</t>
  </si>
  <si>
    <t>Contingent benefit and lawsuit reserves</t>
  </si>
  <si>
    <t>Pt 2, Ln 2.13</t>
  </si>
  <si>
    <t>Blended rate adjustment</t>
  </si>
  <si>
    <t>Pt 2, Ln 2.14</t>
  </si>
  <si>
    <t>Pt 1, Ln 4</t>
  </si>
  <si>
    <t>Pt 3, Col 7, Ln 1.11/ 2.11/3.11/5.11/6.11</t>
  </si>
  <si>
    <t>Pt 2, Ln 3</t>
  </si>
  <si>
    <t>Last Updated:</t>
  </si>
  <si>
    <t>Part 3 - Expense Allocation Report</t>
  </si>
  <si>
    <t>Improving Health Care Quality Expenses</t>
  </si>
  <si>
    <t>Claims Adjustment Expenses</t>
  </si>
  <si>
    <t>General Administrative Expenses</t>
  </si>
  <si>
    <t>Total 
Expenses</t>
  </si>
  <si>
    <t>Description of Expense Element (by Type)</t>
  </si>
  <si>
    <t>Improve Health Outcomes</t>
  </si>
  <si>
    <t>HIT Expenses</t>
  </si>
  <si>
    <t>Cost Containment Expenses</t>
  </si>
  <si>
    <t>Other Claims Adjustment Expenses</t>
  </si>
  <si>
    <t>1.1a</t>
  </si>
  <si>
    <t>1.1b</t>
  </si>
  <si>
    <t>Deferred (PY)</t>
  </si>
  <si>
    <t>1.1c</t>
  </si>
  <si>
    <t>Deferred (CY)</t>
  </si>
  <si>
    <t>1.1d</t>
  </si>
  <si>
    <t>Total</t>
  </si>
  <si>
    <t>1.2a</t>
  </si>
  <si>
    <t>Small group</t>
  </si>
  <si>
    <t>1.2b</t>
  </si>
  <si>
    <t>1.2c</t>
  </si>
  <si>
    <t>1.2d</t>
  </si>
  <si>
    <t>1.3a</t>
  </si>
  <si>
    <t>Large group</t>
  </si>
  <si>
    <t>1.3b</t>
  </si>
  <si>
    <t>1.3c</t>
  </si>
  <si>
    <t>1.3d</t>
  </si>
  <si>
    <t>3.1a</t>
  </si>
  <si>
    <t>3.1b</t>
  </si>
  <si>
    <t>3.1c</t>
  </si>
  <si>
    <t>3.1d</t>
  </si>
  <si>
    <t>3.2a</t>
  </si>
  <si>
    <t>3.2b</t>
  </si>
  <si>
    <t>3.2c</t>
  </si>
  <si>
    <t>3.2d</t>
  </si>
  <si>
    <t>Other Business</t>
  </si>
  <si>
    <t>Government program plans</t>
  </si>
  <si>
    <t>Other health business</t>
  </si>
  <si>
    <t>Aggregate 2% rule</t>
  </si>
  <si>
    <t>Uninsured / Self-funded plans</t>
  </si>
  <si>
    <t>Part 4 - Expense Allocation Methodology Report</t>
  </si>
  <si>
    <t>NEW</t>
  </si>
  <si>
    <t>Detailed Description of Expense Allocation Methods</t>
  </si>
  <si>
    <t>1.  Incurred Claims</t>
  </si>
  <si>
    <t xml:space="preserve">Paid Claims - Adjudicated claim activity  for Physician, Inpatient, Outpatient, and Pharmacy  fee for service claims from source system.  </t>
  </si>
  <si>
    <t xml:space="preserve">Transactions are allocated  to Legal Entity, State, Product, and Group Size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</si>
  <si>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</si>
  <si>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level. </t>
  </si>
  <si>
    <t>Change in Healthcare receivables</t>
  </si>
  <si>
    <t>Rx Rebate receivables are recorded to the same Legal Entity, State, Product and Group Size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</si>
  <si>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</si>
  <si>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</si>
  <si>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</si>
  <si>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Payments/accruals are allocated to Legal Entity, State, Product, and Group Size based on membership in the aggregations where the programs are active (pmpm allocation).</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</si>
  <si>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</si>
  <si>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Settlement expense is allocated to Legal Entity, State, Product, and Group Size in the following manner:  Paids and known payables based on membership while the IBNR component is allocated based on paid claims.</t>
  </si>
  <si>
    <t>Rx Rebates - Pharmaceutical rebates are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</si>
  <si>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directly from policyholder/member information when paid claims are received from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</si>
  <si>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</si>
  <si>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</si>
  <si>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2.  Federal and State Taxes and Licensing or Regulatory Fees</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</si>
  <si>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</si>
  <si>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</si>
  <si>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</si>
  <si>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</si>
  <si>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</si>
  <si>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excluding premium tax on the MLR rebate, is calculated based on member situs and reconfigured to be reported based on employer situs.</t>
  </si>
  <si>
    <t>Community Benefit Expenditures (Not for Profit Entities)</t>
  </si>
  <si>
    <t>N/A</t>
  </si>
  <si>
    <t>Regulatory authority licenses and fees are direct charges incurred by the legal entity from various regulatory agencies. These expenses are booked to the legal entity charged and then allocated within the legal entity to the various states and columns based on membership, revenue, or largest financial cross section depending on the legal entity.</t>
  </si>
  <si>
    <t>3.  Quality Improvement Expenses</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</si>
  <si>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</si>
  <si>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The quality improvement (QI) allocation is determined by purchased service and therefore the allocation methodology is consistent across QI categories (Improve Health, Improve Hospital Readmission, Reduce Medical Errors, Wellness, and HIT).  Below is the description of the general process for both internal and external vendors.
Vendors services were evaluated to determine an appropriate allocation of total costs between direct QI and SG&amp;A as defined in 45 CFR Part  158.150 and 158.151.  Where information was not internally available, targeted external vendors were contacted to provide a recommendation regarding appropriate QI allocation.</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</si>
  <si>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</si>
  <si>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</si>
  <si>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 xml:space="preserve">Analytic Software and Research
Analytics and Research  - There are program scopes of work, quarterly reports, and what are known as Quality Metrics.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t>
  </si>
  <si>
    <t>Data and Technology Sharing:
Payer Consulting  - Consultants supporting various projects such as MYUHC.com and clinical toolbox.
Portals - Portals provide members with access to health information, decision support, education and tools and access to clinical case management programs through an on-line modality.</t>
  </si>
  <si>
    <t xml:space="preserve">Premium Designation - The program uses evidence-based, medical society, and national industry standards with a transparent methodology and robust data sources to evaluate physicians across 20 specialties to advance safe, timely, effective, efficient, equitable and patient-centered care. The program supports practice improvement and provides physicians with access to information on how their clinical practice compares with national and specialty-speciﬁc measures for quality, and with local cost efficiency benchmarks in the same geography.  </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</si>
  <si>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</si>
  <si>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</si>
  <si>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Care Solutions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</si>
  <si>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</si>
  <si>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</si>
  <si>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Wellness - Wellness/lifestyle coaching programs designed to educate and promote health to individuals on clinically effective methods for dealing with a specific chronic disease or condition. Changing member behavior to achieve specific and member improvements in health and wellness utilizing reward/incentives/bonuses/reductions in copays, etc.</t>
  </si>
  <si>
    <t>The quality improvement (QI) allocation is determined by purchased service and therefore the allocation methodology is consistent across QI categories (Improve Health, Improve Hospital Readmission, Reduce Medical Errors, Wellness, and HIT).  Below is the description of the general process for both internal and external vendors.
Vendors services were evaluated to determine an appropriate allocation of total costs between direct QI and SG&amp;A as defined in 45 CFR Part  158.150 and 158.151.  Where information was not internally available, targeted external vendors were contacted to provide recommendation regarding appropriate QI allocation.
Further note, per HHS guidance, certain administrative expenses were excluded from Wellness QI expenses.</t>
  </si>
  <si>
    <t>Data and Technology Sharing:
Payer Consulting  - Consultants supporting various projects such as MYUHC.com and clinical toolbox.</t>
  </si>
  <si>
    <t>Health Information Technology expenses related to health improvement</t>
  </si>
  <si>
    <t>Data and Technology Sharing:
Portals - Portals provide members with access to health information, decision support, education and tools and access to clinical case management programs through an on-line modality.
Clinical Toolbox - Tools and technology to improve the Clinical Delivery Process. Enables the ability to deliver a consistent experience across the continuum of care - for all products, consumer populations and the health care communities that serve them.
HEDIS - The Healthcare Effectiveness Data and Information Set (HEDIS) is a tool used by more than 90 percent of America's health plans to measure performance on important dimensions of care and service.</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</si>
  <si>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</si>
  <si>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</si>
  <si>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4.  Non-Claims costs</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</si>
  <si>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</si>
  <si>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</si>
  <si>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</si>
  <si>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</si>
  <si>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</si>
  <si>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</si>
  <si>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</si>
  <si>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</si>
  <si>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</si>
  <si>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Community Benefit Expenditures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</si>
  <si>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</si>
  <si>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 xml:space="preserve">  Blank cells require input from issuer</t>
  </si>
  <si>
    <t xml:space="preserve">  Grey cells denote calculated cells or no input required - locked down </t>
  </si>
  <si>
    <t xml:space="preserve">  Pink "XXX" cells require no data input - locked down</t>
  </si>
  <si>
    <t xml:space="preserve">  Green cells - not pertinent to 2011 MLR - locked down </t>
  </si>
  <si>
    <t>Part 5 - MLR and Rebate Calculation</t>
  </si>
  <si>
    <t>PY2</t>
  </si>
  <si>
    <t>PY1</t>
  </si>
  <si>
    <t>CY</t>
  </si>
  <si>
    <t>Medical Loss Ratio Numerator</t>
  </si>
  <si>
    <t>Adjusted incurred claims for prior year restated as of March 31 following the current MLR reporting year</t>
  </si>
  <si>
    <t>MLR rebates paid based on 2011 or 2012 experience</t>
  </si>
  <si>
    <t xml:space="preserve">  </t>
  </si>
  <si>
    <t>Medical Loss Ratio Denominator</t>
  </si>
  <si>
    <t>Credibility Adjustment</t>
  </si>
  <si>
    <t>Base credibility factor</t>
  </si>
  <si>
    <t>Average deductible</t>
  </si>
  <si>
    <t>Deductible factor</t>
  </si>
  <si>
    <t>MLR Calculation</t>
  </si>
  <si>
    <t>Is experience credible?</t>
  </si>
  <si>
    <t>Preliminary MLR</t>
  </si>
  <si>
    <t>Rebate Calculation</t>
  </si>
  <si>
    <t>MLR standard</t>
  </si>
  <si>
    <t>Part 6 - Rebate Disbursement Report</t>
  </si>
  <si>
    <t>Is rebate is being paid?</t>
  </si>
  <si>
    <t>Number of policies / certificates  (from Part 1 Line 11.1)</t>
  </si>
  <si>
    <t>Number of policyholders/subscribers owed rebates</t>
  </si>
  <si>
    <t>Amount of unclaimed rebates from prior MLR reporting year</t>
  </si>
  <si>
    <t>5.a   Description of methods used to locate policyholders/subscribers for prior MLR reporting year's unclaimed rebates:</t>
  </si>
  <si>
    <t>5.b  Describe disbursement of prior MLR reporting year's unclaimed rebates:</t>
  </si>
  <si>
    <t>Medical Loss Ratio Attestation</t>
  </si>
  <si>
    <t>Not-for-Profit</t>
  </si>
  <si>
    <t xml:space="preserve">Address: </t>
  </si>
  <si>
    <t>Attestation Statement</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</si>
  <si>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</si>
  <si>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Table 1</t>
  </si>
  <si>
    <t>Table 3</t>
  </si>
  <si>
    <t>Table 4</t>
  </si>
  <si>
    <t>Table 5</t>
  </si>
  <si>
    <t>Base Credibility Adjustment Factors</t>
  </si>
  <si>
    <t>State and Territory Names</t>
  </si>
  <si>
    <t>Reporting Years</t>
  </si>
  <si>
    <t>Yes/No</t>
  </si>
  <si>
    <t>Life Years</t>
  </si>
  <si>
    <t>Alaska</t>
  </si>
  <si>
    <t>Yes</t>
  </si>
  <si>
    <t>Alabama</t>
  </si>
  <si>
    <t>Arkansas</t>
  </si>
  <si>
    <t>American Samoa</t>
  </si>
  <si>
    <t>Arizona</t>
  </si>
  <si>
    <t>California</t>
  </si>
  <si>
    <t>Colorado</t>
  </si>
  <si>
    <t>District of Columbia</t>
  </si>
  <si>
    <t>Delaware</t>
  </si>
  <si>
    <t>Florida</t>
  </si>
  <si>
    <t>Table 2</t>
  </si>
  <si>
    <t>Georgia</t>
  </si>
  <si>
    <t>Deductible Factors</t>
  </si>
  <si>
    <t>Guam</t>
  </si>
  <si>
    <t>Average Health Plan Deductible</t>
  </si>
  <si>
    <t>Hawaii</t>
  </si>
  <si>
    <t>&lt;$2500</t>
  </si>
  <si>
    <t>&lt;$2,500</t>
  </si>
  <si>
    <t>Iowa</t>
  </si>
  <si>
    <t>&gt;=$2,500 - &lt;$5,000</t>
  </si>
  <si>
    <t>Idaho</t>
  </si>
  <si>
    <t>&gt;=$5,000 - &lt;$10,000</t>
  </si>
  <si>
    <t>Illinois</t>
  </si>
  <si>
    <t>&gt;= $10,000</t>
  </si>
  <si>
    <t>Indiana</t>
  </si>
  <si>
    <t>Kansas</t>
  </si>
  <si>
    <t>Kentucky</t>
  </si>
  <si>
    <t>Louisiana</t>
  </si>
  <si>
    <t>Massachusetts</t>
  </si>
  <si>
    <t>Maryland</t>
  </si>
  <si>
    <t>Maine</t>
  </si>
  <si>
    <t>Michigan</t>
  </si>
  <si>
    <t>Minnesota</t>
  </si>
  <si>
    <t>Missouri</t>
  </si>
  <si>
    <t>Northern Mariana Islands</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</si>
  <si>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</si>
  <si>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</si>
  <si>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</si>
  <si>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</si>
  <si>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</si>
  <si>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</si>
  <si>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</si>
  <si>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</si>
  <si>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</si>
  <si>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</si>
  <si>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</si>
  <si>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</si>
  <si>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</si>
  <si>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</si>
  <si>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</si>
  <si>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</si>
  <si>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</si>
  <si>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</si>
  <si>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</si>
  <si>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</si>
  <si>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</si>
  <si>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</si>
  <si>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United States Virgin Islands</t>
  </si>
  <si>
    <t>Vermont</t>
  </si>
  <si>
    <t>Washington</t>
  </si>
  <si>
    <t>Wisconsin</t>
  </si>
  <si>
    <t>West Virginia</t>
  </si>
  <si>
    <t>Wyoming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</si>
</sst>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 numFmtId="167" formatCode="0.0%"/>
    <numFmt numFmtId="168" formatCode="_(* #,##0.000_);_(* \(#,##0.000\);_(* &quot;-&quot;??_);_(@_)"/>
    <numFmt numFmtId="169" formatCode="_(* #,##0.0_);_(* \(#,##0.0\);_(* &quot;-&quot;??_);_(@_)"/>
    <numFmt numFmtId="170" formatCode="0.000"/>
  </numFmts>
  <fonts count="26" x14ac:knownFonts="1">
    <font>
      <sz val="10"/>
      <name val="Arial"/>
      <family val="2"/>
    </font>
    <font>
      <sz val="10"/>
      <name val="Arial"/>
      <family val="2"/>
    </font>
    <font>
      <b/>
      <sz val="10"/>
      <name val="Arial"/>
      <family val="2"/>
    </font>
    <font>
      <sz val="11"/>
      <color indexed="8"/>
      <name val="Calibri"/>
      <family val="2"/>
    </font>
    <font>
      <sz val="10"/>
      <color indexed="9"/>
      <name val="Arial"/>
      <family val="2"/>
    </font>
    <font>
      <sz val="10"/>
      <color indexed="8"/>
      <name val="Arial"/>
      <family val="2"/>
    </font>
    <font>
      <b/>
      <sz val="10"/>
      <color indexed="8"/>
      <name val="Arial"/>
      <family val="2"/>
    </font>
    <font>
      <i/>
      <sz val="10"/>
      <color indexed="10"/>
      <name val="Arial"/>
      <family val="2"/>
    </font>
    <font>
      <b/>
      <i/>
      <sz val="10"/>
      <name val="Arial"/>
      <family val="2"/>
    </font>
    <font>
      <i/>
      <sz val="10"/>
      <name val="Arial"/>
      <family val="2"/>
    </font>
    <font>
      <b/>
      <sz val="11"/>
      <name val="Calibri"/>
      <family val="2"/>
    </font>
    <font>
      <sz val="11"/>
      <name val="Calibri"/>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sz val="10"/>
      <color indexed="10"/>
      <name val="Arial"/>
      <family val="2"/>
    </font>
  </fonts>
  <fills count="34">
    <fill>
      <patternFill patternType="none"/>
    </fill>
    <fill>
      <patternFill patternType="gray125"/>
    </fill>
    <fill>
      <patternFill patternType="solid">
        <fgColor theme="5" tint="0.7999511703848384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indexed="23"/>
        <bgColor indexed="64"/>
      </patternFill>
    </fill>
    <fill>
      <patternFill patternType="solid">
        <fgColor theme="5" tint="0.59996337778862885"/>
        <bgColor indexed="64"/>
      </patternFill>
    </fill>
    <fill>
      <patternFill patternType="solid">
        <fgColor theme="6" tint="0.59993285927915285"/>
        <bgColor indexed="64"/>
      </patternFill>
    </fill>
    <fill>
      <patternFill patternType="solid">
        <fgColor theme="0" tint="-0.34995574816125979"/>
        <bgColor indexed="64"/>
      </patternFill>
    </fill>
    <fill>
      <patternFill patternType="solid">
        <fgColor indexed="9"/>
        <bgColor indexed="64"/>
      </patternFill>
    </fill>
    <fill>
      <patternFill patternType="solid">
        <fgColor rgb="FFBFBFBF"/>
        <bgColor indexed="64"/>
      </patternFill>
    </fill>
    <fill>
      <patternFill patternType="solid">
        <fgColor rgb="FF808080"/>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right style="medium">
        <color indexed="64"/>
      </right>
      <top/>
      <bottom/>
      <diagonal/>
    </border>
    <border>
      <left style="thin">
        <color indexed="64"/>
      </left>
      <right style="medium">
        <color indexed="64"/>
      </right>
      <top/>
      <bottom/>
      <diagonal/>
    </border>
    <border>
      <left style="hair">
        <color indexed="64"/>
      </left>
      <right/>
      <top/>
      <bottom/>
      <diagonal/>
    </border>
    <border>
      <left style="hair">
        <color indexed="64"/>
      </left>
      <right style="medium">
        <color indexed="64"/>
      </right>
      <top/>
      <bottom/>
      <diagonal/>
    </border>
    <border>
      <left style="medium">
        <color indexed="64"/>
      </left>
      <right/>
      <top/>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0">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4" fillId="22"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9" borderId="0" applyNumberFormat="0" applyBorder="0" applyAlignment="0" applyProtection="0"/>
    <xf numFmtId="0" fontId="12" fillId="13" borderId="0" applyNumberFormat="0" applyBorder="0" applyAlignment="0" applyProtection="0"/>
    <xf numFmtId="0" fontId="13" fillId="30" borderId="117" applyNumberFormat="0" applyAlignment="0" applyProtection="0"/>
    <xf numFmtId="0" fontId="13" fillId="30" borderId="117" applyNumberFormat="0" applyAlignment="0" applyProtection="0"/>
    <xf numFmtId="0" fontId="13" fillId="30" borderId="117" applyNumberFormat="0" applyAlignment="0" applyProtection="0"/>
    <xf numFmtId="0" fontId="13" fillId="30" borderId="117" applyNumberFormat="0" applyAlignment="0" applyProtection="0"/>
    <xf numFmtId="0" fontId="13" fillId="30" borderId="117" applyNumberFormat="0" applyAlignment="0" applyProtection="0"/>
    <xf numFmtId="0" fontId="13" fillId="30" borderId="117" applyNumberFormat="0" applyAlignment="0" applyProtection="0"/>
    <xf numFmtId="0" fontId="13" fillId="30" borderId="117" applyNumberFormat="0" applyAlignment="0" applyProtection="0"/>
    <xf numFmtId="0" fontId="13" fillId="30" borderId="117" applyNumberFormat="0" applyAlignment="0" applyProtection="0"/>
    <xf numFmtId="0" fontId="14" fillId="31" borderId="118"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0" borderId="0" applyNumberFormat="0" applyFill="0" applyBorder="0" applyAlignment="0" applyProtection="0"/>
    <xf numFmtId="0" fontId="16" fillId="14" borderId="0" applyNumberFormat="0" applyBorder="0" applyAlignment="0" applyProtection="0"/>
    <xf numFmtId="0" fontId="17" fillId="0" borderId="119" applyNumberFormat="0" applyFill="0" applyAlignment="0" applyProtection="0"/>
    <xf numFmtId="0" fontId="18" fillId="0" borderId="120" applyNumberFormat="0" applyFill="0" applyAlignment="0" applyProtection="0"/>
    <xf numFmtId="0" fontId="19" fillId="0" borderId="121" applyNumberFormat="0" applyFill="0" applyAlignment="0" applyProtection="0"/>
    <xf numFmtId="0" fontId="19" fillId="0" borderId="0" applyNumberFormat="0" applyFill="0" applyBorder="0" applyAlignment="0" applyProtection="0"/>
    <xf numFmtId="0" fontId="20" fillId="17" borderId="117" applyNumberFormat="0" applyAlignment="0" applyProtection="0"/>
    <xf numFmtId="0" fontId="20" fillId="17" borderId="117" applyNumberFormat="0" applyAlignment="0" applyProtection="0"/>
    <xf numFmtId="0" fontId="20" fillId="17" borderId="117" applyNumberFormat="0" applyAlignment="0" applyProtection="0"/>
    <xf numFmtId="0" fontId="20" fillId="17" borderId="117" applyNumberFormat="0" applyAlignment="0" applyProtection="0"/>
    <xf numFmtId="0" fontId="20" fillId="17" borderId="117" applyNumberFormat="0" applyAlignment="0" applyProtection="0"/>
    <xf numFmtId="0" fontId="20" fillId="17" borderId="117" applyNumberFormat="0" applyAlignment="0" applyProtection="0"/>
    <xf numFmtId="0" fontId="20" fillId="17" borderId="117" applyNumberFormat="0" applyAlignment="0" applyProtection="0"/>
    <xf numFmtId="0" fontId="20" fillId="17" borderId="117" applyNumberFormat="0" applyAlignment="0" applyProtection="0"/>
    <xf numFmtId="0" fontId="21" fillId="0" borderId="122" applyNumberFormat="0" applyFill="0" applyAlignment="0" applyProtection="0"/>
    <xf numFmtId="0" fontId="22"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33" borderId="123" applyNumberFormat="0" applyFont="0" applyAlignment="0" applyProtection="0"/>
    <xf numFmtId="0" fontId="5" fillId="33" borderId="123" applyNumberFormat="0" applyFont="0" applyAlignment="0" applyProtection="0"/>
    <xf numFmtId="0" fontId="5" fillId="33" borderId="123" applyNumberFormat="0" applyFont="0" applyAlignment="0" applyProtection="0"/>
    <xf numFmtId="0" fontId="5" fillId="33" borderId="123" applyNumberFormat="0" applyFont="0" applyAlignment="0" applyProtection="0"/>
    <xf numFmtId="0" fontId="5" fillId="33" borderId="123" applyNumberFormat="0" applyFont="0" applyAlignment="0" applyProtection="0"/>
    <xf numFmtId="0" fontId="5" fillId="33" borderId="123" applyNumberFormat="0" applyFont="0" applyAlignment="0" applyProtection="0"/>
    <xf numFmtId="0" fontId="5" fillId="33" borderId="123" applyNumberFormat="0" applyFont="0" applyAlignment="0" applyProtection="0"/>
    <xf numFmtId="0" fontId="5" fillId="33" borderId="123" applyNumberFormat="0" applyFont="0" applyAlignment="0" applyProtection="0"/>
    <xf numFmtId="0" fontId="23" fillId="30" borderId="124" applyNumberFormat="0" applyAlignment="0" applyProtection="0"/>
    <xf numFmtId="0" fontId="23" fillId="30" borderId="124" applyNumberFormat="0" applyAlignment="0" applyProtection="0"/>
    <xf numFmtId="0" fontId="23" fillId="30" borderId="124" applyNumberFormat="0" applyAlignment="0" applyProtection="0"/>
    <xf numFmtId="0" fontId="23" fillId="30" borderId="124" applyNumberFormat="0" applyAlignment="0" applyProtection="0"/>
    <xf numFmtId="0" fontId="23" fillId="30" borderId="124" applyNumberFormat="0" applyAlignment="0" applyProtection="0"/>
    <xf numFmtId="0" fontId="23" fillId="30" borderId="124" applyNumberFormat="0" applyAlignment="0" applyProtection="0"/>
    <xf numFmtId="0" fontId="23" fillId="30" borderId="124" applyNumberFormat="0" applyAlignment="0" applyProtection="0"/>
    <xf numFmtId="0" fontId="23" fillId="30" borderId="124"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25" fillId="0" borderId="0" applyNumberFormat="0" applyFill="0" applyBorder="0" applyAlignment="0" applyProtection="0"/>
  </cellStyleXfs>
  <cellXfs count="763">
    <xf numFmtId="0" fontId="0" fillId="0" borderId="0" xfId="0"/>
    <xf numFmtId="49" fontId="5" fillId="2" borderId="0" xfId="3" applyNumberFormat="1" applyFont="1" applyFill="1" applyBorder="1" applyAlignment="1" applyProtection="1">
      <alignment horizontal="left"/>
    </xf>
    <xf numFmtId="49" fontId="5" fillId="2" borderId="0" xfId="0" applyNumberFormat="1" applyFont="1" applyFill="1" applyAlignment="1" applyProtection="1">
      <alignment horizontal="left"/>
    </xf>
    <xf numFmtId="0" fontId="0" fillId="0" borderId="0" xfId="3" applyFont="1" applyAlignment="1" applyProtection="1">
      <protection hidden="1"/>
    </xf>
    <xf numFmtId="0" fontId="4" fillId="0" borderId="0" xfId="3" applyFont="1" applyFill="1" applyBorder="1" applyAlignment="1" applyProtection="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49" fontId="5" fillId="2" borderId="0" xfId="3" applyNumberFormat="1" applyFont="1" applyFill="1" applyAlignment="1" applyProtection="1">
      <alignment horizontal="left"/>
    </xf>
    <xf numFmtId="0" fontId="0" fillId="0" borderId="0" xfId="3" applyFont="1" applyAlignment="1" applyProtection="1"/>
    <xf numFmtId="49" fontId="0" fillId="0" borderId="0" xfId="3" applyNumberFormat="1" applyFont="1" applyFill="1" applyAlignment="1" applyProtection="1"/>
    <xf numFmtId="49" fontId="5" fillId="2" borderId="0" xfId="0" applyNumberFormat="1" applyFont="1" applyFill="1" applyAlignment="1" applyProtection="1">
      <alignment horizontal="left"/>
    </xf>
    <xf numFmtId="49" fontId="6" fillId="2" borderId="0" xfId="3" applyNumberFormat="1" applyFont="1" applyFill="1" applyBorder="1" applyAlignment="1" applyProtection="1">
      <alignment horizontal="left" vertical="center"/>
    </xf>
    <xf numFmtId="164" fontId="1" fillId="7" borderId="0" xfId="3" applyNumberFormat="1" applyFont="1" applyFill="1" applyAlignment="1" applyProtection="1"/>
    <xf numFmtId="164" fontId="1" fillId="7" borderId="43" xfId="2" applyNumberFormat="1" applyFont="1" applyFill="1" applyBorder="1" applyAlignment="1" applyProtection="1">
      <alignment vertical="top"/>
    </xf>
    <xf numFmtId="164" fontId="0" fillId="5" borderId="42" xfId="2" applyNumberFormat="1" applyFont="1" applyFill="1" applyBorder="1" applyAlignment="1" applyProtection="1">
      <alignment vertical="top"/>
    </xf>
    <xf numFmtId="164" fontId="1" fillId="3" borderId="44" xfId="2" applyNumberFormat="1" applyFont="1" applyFill="1" applyBorder="1" applyAlignment="1" applyProtection="1">
      <alignment vertical="top"/>
    </xf>
    <xf numFmtId="164" fontId="1" fillId="5" borderId="43" xfId="2" applyNumberFormat="1" applyFont="1" applyFill="1" applyBorder="1" applyAlignment="1" applyProtection="1">
      <alignment vertical="top"/>
    </xf>
    <xf numFmtId="164" fontId="0" fillId="5" borderId="43" xfId="2" applyNumberFormat="1" applyFont="1" applyFill="1" applyBorder="1" applyAlignment="1" applyProtection="1">
      <alignment vertical="top"/>
    </xf>
    <xf numFmtId="164" fontId="1" fillId="3" borderId="0" xfId="2" applyNumberFormat="1" applyFont="1" applyFill="1" applyBorder="1" applyAlignment="1" applyProtection="1">
      <alignment vertical="top"/>
    </xf>
    <xf numFmtId="164" fontId="1" fillId="3" borderId="45" xfId="2" applyNumberFormat="1" applyFont="1" applyFill="1" applyBorder="1" applyAlignment="1" applyProtection="1">
      <alignment vertical="top"/>
    </xf>
    <xf numFmtId="164" fontId="0" fillId="5" borderId="41" xfId="2" applyNumberFormat="1" applyFont="1" applyFill="1" applyBorder="1" applyAlignment="1" applyProtection="1">
      <alignment vertical="top"/>
    </xf>
    <xf numFmtId="164" fontId="0" fillId="5" borderId="39" xfId="2" applyNumberFormat="1" applyFont="1" applyFill="1" applyBorder="1" applyAlignment="1" applyProtection="1">
      <alignment vertical="top"/>
    </xf>
    <xf numFmtId="164" fontId="0" fillId="5" borderId="46" xfId="2" applyNumberFormat="1" applyFont="1" applyFill="1" applyBorder="1" applyAlignment="1" applyProtection="1">
      <alignment vertical="top"/>
    </xf>
    <xf numFmtId="164" fontId="1" fillId="3" borderId="8" xfId="2" applyNumberFormat="1" applyFont="1" applyFill="1" applyBorder="1" applyAlignment="1" applyProtection="1">
      <alignment horizontal="center" vertical="top"/>
    </xf>
    <xf numFmtId="165" fontId="1" fillId="7" borderId="43" xfId="1" applyNumberFormat="1" applyFont="1" applyFill="1" applyBorder="1" applyAlignment="1" applyProtection="1">
      <alignment vertical="top"/>
    </xf>
    <xf numFmtId="164" fontId="1" fillId="7" borderId="43" xfId="2" applyNumberFormat="1" applyFont="1" applyFill="1" applyBorder="1" applyAlignment="1" applyProtection="1">
      <alignment horizontal="center" vertical="top"/>
    </xf>
    <xf numFmtId="164" fontId="0" fillId="5" borderId="42" xfId="2" applyNumberFormat="1" applyFont="1" applyFill="1" applyBorder="1" applyAlignment="1" applyProtection="1">
      <alignment horizontal="center" vertical="top"/>
    </xf>
    <xf numFmtId="164" fontId="0" fillId="5" borderId="43" xfId="2" applyNumberFormat="1" applyFont="1" applyFill="1" applyBorder="1" applyAlignment="1" applyProtection="1">
      <alignment horizontal="center" vertical="top"/>
    </xf>
    <xf numFmtId="0" fontId="2" fillId="0" borderId="0" xfId="0" applyFont="1" applyProtection="1"/>
    <xf numFmtId="0" fontId="0" fillId="0" borderId="0" xfId="0" applyFont="1" applyProtection="1"/>
    <xf numFmtId="0" fontId="0" fillId="2" borderId="0" xfId="0" applyNumberFormat="1" applyFont="1" applyFill="1" applyAlignment="1" applyProtection="1">
      <alignment horizontal="left"/>
    </xf>
    <xf numFmtId="0" fontId="2" fillId="0" borderId="0" xfId="0" applyFont="1" applyFill="1" applyProtection="1"/>
    <xf numFmtId="0" fontId="0" fillId="0" borderId="0" xfId="0" applyFont="1" applyFill="1" applyProtection="1"/>
    <xf numFmtId="0" fontId="0" fillId="0" borderId="0" xfId="4" applyFont="1" applyBorder="1" applyAlignment="1" applyProtection="1"/>
    <xf numFmtId="0" fontId="1" fillId="2" borderId="0" xfId="3" applyNumberFormat="1" applyFont="1" applyFill="1" applyAlignment="1" applyProtection="1">
      <alignment horizontal="left"/>
    </xf>
    <xf numFmtId="0" fontId="0" fillId="0" borderId="0" xfId="3" applyFont="1" applyBorder="1" applyAlignment="1" applyProtection="1">
      <alignment horizontal="left"/>
    </xf>
    <xf numFmtId="0" fontId="0" fillId="0" borderId="0" xfId="4" applyFont="1" applyBorder="1" applyAlignment="1" applyProtection="1">
      <alignment horizontal="left"/>
    </xf>
    <xf numFmtId="0" fontId="0" fillId="0" borderId="0" xfId="3" applyFont="1" applyBorder="1" applyAlignment="1" applyProtection="1"/>
    <xf numFmtId="0" fontId="1" fillId="2" borderId="0" xfId="4" applyNumberFormat="1" applyFont="1" applyFill="1" applyBorder="1" applyAlignment="1" applyProtection="1">
      <alignment horizontal="left"/>
    </xf>
    <xf numFmtId="0" fontId="0" fillId="0" borderId="0" xfId="3" applyFont="1" applyFill="1" applyAlignment="1" applyProtection="1"/>
    <xf numFmtId="0" fontId="2" fillId="2" borderId="0" xfId="0" applyNumberFormat="1" applyFont="1" applyFill="1" applyBorder="1" applyAlignment="1" applyProtection="1">
      <alignment horizontal="left"/>
    </xf>
    <xf numFmtId="0" fontId="0" fillId="0" borderId="0" xfId="0" applyFont="1" applyAlignment="1" applyProtection="1"/>
    <xf numFmtId="0" fontId="2" fillId="2" borderId="0" xfId="4" applyNumberFormat="1" applyFont="1" applyFill="1" applyBorder="1" applyAlignment="1" applyProtection="1">
      <alignment horizontal="left" vertical="center"/>
    </xf>
    <xf numFmtId="0" fontId="0" fillId="0" borderId="0" xfId="3" applyFont="1" applyAlignment="1" applyProtection="1">
      <alignment horizontal="right"/>
    </xf>
    <xf numFmtId="0" fontId="0" fillId="0" borderId="0" xfId="4" applyFont="1" applyFill="1" applyBorder="1" applyAlignment="1" applyProtection="1"/>
    <xf numFmtId="0" fontId="0" fillId="0" borderId="0" xfId="3" applyFont="1" applyFill="1" applyAlignment="1" applyProtection="1">
      <alignment horizontal="center"/>
    </xf>
    <xf numFmtId="0" fontId="2" fillId="0" borderId="0" xfId="0" applyFont="1" applyFill="1" applyBorder="1" applyAlignment="1" applyProtection="1">
      <alignment horizontal="center"/>
    </xf>
    <xf numFmtId="0" fontId="2" fillId="0" borderId="0" xfId="4" applyFont="1" applyFill="1" applyBorder="1" applyAlignment="1" applyProtection="1">
      <alignment horizontal="center" vertical="center"/>
    </xf>
    <xf numFmtId="49" fontId="0" fillId="0" borderId="0" xfId="0" applyNumberFormat="1" applyFont="1" applyFill="1" applyAlignment="1" applyProtection="1"/>
    <xf numFmtId="164" fontId="5" fillId="7" borderId="75" xfId="2" applyNumberFormat="1" applyFont="1" applyFill="1" applyBorder="1" applyAlignment="1" applyProtection="1">
      <alignment vertical="top"/>
    </xf>
    <xf numFmtId="164" fontId="5" fillId="7" borderId="41" xfId="2" applyNumberFormat="1" applyFont="1" applyFill="1" applyBorder="1" applyAlignment="1" applyProtection="1">
      <alignment vertical="top"/>
    </xf>
    <xf numFmtId="164" fontId="5" fillId="7" borderId="45" xfId="2" applyNumberFormat="1" applyFont="1" applyFill="1" applyBorder="1" applyAlignment="1" applyProtection="1">
      <alignment vertical="top"/>
    </xf>
    <xf numFmtId="164" fontId="5" fillId="7" borderId="46" xfId="2" applyNumberFormat="1" applyFont="1" applyFill="1" applyBorder="1" applyAlignment="1" applyProtection="1">
      <alignment vertical="top"/>
    </xf>
    <xf numFmtId="164" fontId="5" fillId="7" borderId="8" xfId="2" applyNumberFormat="1" applyFont="1" applyFill="1" applyBorder="1" applyAlignment="1" applyProtection="1">
      <alignment vertical="top"/>
    </xf>
    <xf numFmtId="164" fontId="5" fillId="7" borderId="39" xfId="2" applyNumberFormat="1" applyFont="1" applyFill="1" applyBorder="1" applyAlignment="1" applyProtection="1">
      <alignment vertical="top"/>
    </xf>
    <xf numFmtId="0" fontId="1" fillId="2" borderId="0" xfId="3" applyNumberFormat="1" applyFont="1" applyFill="1" applyBorder="1" applyAlignment="1" applyProtection="1">
      <alignment horizontal="left"/>
    </xf>
    <xf numFmtId="0" fontId="1" fillId="2" borderId="0" xfId="3" applyFont="1" applyFill="1" applyBorder="1" applyAlignment="1" applyProtection="1">
      <alignment horizontal="left"/>
    </xf>
    <xf numFmtId="0" fontId="1" fillId="2" borderId="0" xfId="3" applyFont="1" applyFill="1" applyBorder="1" applyAlignment="1" applyProtection="1">
      <alignment horizontal="right"/>
    </xf>
    <xf numFmtId="0" fontId="2" fillId="2" borderId="0" xfId="3" applyNumberFormat="1" applyFont="1" applyFill="1" applyBorder="1" applyAlignment="1" applyProtection="1">
      <alignment horizontal="left" vertical="center"/>
    </xf>
    <xf numFmtId="0" fontId="0" fillId="0" borderId="0" xfId="0" applyFont="1" applyAlignment="1" applyProtection="1">
      <alignment horizontal="right"/>
    </xf>
    <xf numFmtId="0" fontId="2" fillId="0" borderId="0" xfId="3" applyFont="1" applyAlignment="1" applyProtection="1"/>
    <xf numFmtId="0" fontId="1" fillId="2" borderId="0" xfId="3" applyNumberFormat="1" applyFont="1" applyFill="1" applyBorder="1" applyAlignment="1" applyProtection="1">
      <alignment horizontal="left"/>
    </xf>
    <xf numFmtId="0" fontId="0" fillId="0" borderId="0" xfId="3" applyFont="1" applyAlignment="1" applyProtection="1">
      <alignment horizontal="left"/>
    </xf>
    <xf numFmtId="164" fontId="1" fillId="7" borderId="42" xfId="2" applyNumberFormat="1" applyFont="1" applyFill="1" applyBorder="1" applyAlignment="1" applyProtection="1">
      <alignment vertical="top"/>
    </xf>
    <xf numFmtId="164" fontId="1" fillId="7" borderId="112" xfId="2" applyNumberFormat="1" applyFont="1" applyFill="1" applyBorder="1" applyAlignment="1" applyProtection="1">
      <alignment vertical="top"/>
    </xf>
    <xf numFmtId="164" fontId="1" fillId="11" borderId="43" xfId="2" applyNumberFormat="1" applyFont="1" applyFill="1" applyBorder="1" applyAlignment="1" applyProtection="1">
      <alignment vertical="top"/>
    </xf>
    <xf numFmtId="165" fontId="1" fillId="7" borderId="42" xfId="1" applyNumberFormat="1" applyFont="1" applyFill="1" applyBorder="1" applyAlignment="1" applyProtection="1">
      <alignment vertical="top"/>
    </xf>
    <xf numFmtId="165" fontId="1" fillId="7" borderId="112" xfId="1" applyNumberFormat="1" applyFont="1" applyFill="1" applyBorder="1" applyAlignment="1" applyProtection="1">
      <alignment vertical="top"/>
    </xf>
    <xf numFmtId="164" fontId="1" fillId="11" borderId="41" xfId="9" applyNumberFormat="1" applyFont="1" applyFill="1" applyBorder="1" applyAlignment="1" applyProtection="1">
      <alignment vertical="top"/>
    </xf>
    <xf numFmtId="164" fontId="1" fillId="11" borderId="45" xfId="9" applyNumberFormat="1" applyFont="1" applyFill="1" applyBorder="1" applyAlignment="1" applyProtection="1">
      <alignment vertical="top"/>
    </xf>
    <xf numFmtId="164" fontId="1" fillId="7" borderId="112" xfId="9" applyNumberFormat="1" applyFont="1" applyFill="1" applyBorder="1" applyAlignment="1" applyProtection="1">
      <alignment vertical="top"/>
    </xf>
    <xf numFmtId="164" fontId="1" fillId="7" borderId="43" xfId="9" applyNumberFormat="1" applyFont="1" applyFill="1" applyBorder="1" applyAlignment="1" applyProtection="1">
      <alignment vertical="top"/>
    </xf>
    <xf numFmtId="167" fontId="1" fillId="7" borderId="42" xfId="10" applyNumberFormat="1" applyFont="1" applyFill="1" applyBorder="1" applyAlignment="1" applyProtection="1">
      <alignment vertical="top"/>
    </xf>
    <xf numFmtId="167" fontId="1" fillId="7" borderId="43" xfId="10" applyNumberFormat="1" applyFont="1" applyFill="1" applyBorder="1" applyAlignment="1" applyProtection="1">
      <alignment vertical="top"/>
    </xf>
    <xf numFmtId="167" fontId="1" fillId="7" borderId="112" xfId="10" applyNumberFormat="1" applyFont="1" applyFill="1" applyBorder="1" applyAlignment="1" applyProtection="1">
      <alignment vertical="top"/>
    </xf>
    <xf numFmtId="167" fontId="1" fillId="3" borderId="41" xfId="10" applyNumberFormat="1" applyFont="1" applyFill="1" applyBorder="1" applyAlignment="1" applyProtection="1">
      <alignment vertical="top"/>
    </xf>
    <xf numFmtId="0" fontId="2" fillId="0" borderId="0" xfId="0" applyFont="1" applyAlignment="1" applyProtection="1"/>
    <xf numFmtId="0" fontId="0" fillId="0" borderId="0" xfId="0" applyFont="1" applyBorder="1" applyProtection="1"/>
    <xf numFmtId="0" fontId="0" fillId="0" borderId="0" xfId="3" applyFont="1" applyFill="1" applyBorder="1" applyAlignment="1" applyProtection="1">
      <alignment horizontal="right"/>
    </xf>
    <xf numFmtId="0" fontId="0" fillId="0" borderId="0" xfId="0" applyFont="1" applyFill="1" applyAlignment="1" applyProtection="1">
      <alignment horizontal="right"/>
    </xf>
    <xf numFmtId="0" fontId="0" fillId="0" borderId="0" xfId="0" applyFont="1" applyFill="1" applyAlignment="1" applyProtection="1"/>
    <xf numFmtId="164" fontId="1" fillId="8" borderId="76" xfId="2" applyNumberFormat="1" applyFont="1" applyFill="1" applyBorder="1" applyProtection="1"/>
    <xf numFmtId="164" fontId="1" fillId="8" borderId="23" xfId="2" applyNumberFormat="1" applyFont="1" applyFill="1" applyBorder="1" applyProtection="1"/>
    <xf numFmtId="164" fontId="1" fillId="7" borderId="80" xfId="2" applyNumberFormat="1" applyFont="1" applyFill="1" applyBorder="1" applyAlignment="1" applyProtection="1">
      <alignment vertical="top"/>
    </xf>
    <xf numFmtId="164" fontId="1" fillId="7" borderId="33" xfId="2" applyNumberFormat="1" applyFont="1" applyFill="1" applyBorder="1" applyAlignment="1" applyProtection="1">
      <alignment vertical="top"/>
    </xf>
    <xf numFmtId="164" fontId="1" fillId="7" borderId="12" xfId="2" applyNumberFormat="1" applyFont="1" applyFill="1" applyBorder="1" applyAlignment="1" applyProtection="1">
      <alignment vertical="top"/>
    </xf>
    <xf numFmtId="0" fontId="0" fillId="7" borderId="56" xfId="0" applyFont="1" applyFill="1" applyBorder="1" applyAlignment="1" applyProtection="1">
      <alignment horizontal="center" wrapText="1"/>
    </xf>
    <xf numFmtId="0" fontId="0" fillId="7" borderId="27" xfId="0" applyFont="1" applyFill="1" applyBorder="1" applyAlignment="1" applyProtection="1">
      <alignment horizontal="center" wrapText="1"/>
    </xf>
    <xf numFmtId="0" fontId="0" fillId="7" borderId="29" xfId="0" applyFont="1" applyFill="1" applyBorder="1" applyAlignment="1" applyProtection="1">
      <alignment horizontal="center" wrapText="1"/>
    </xf>
    <xf numFmtId="0" fontId="0" fillId="0" borderId="0" xfId="0" applyProtection="1"/>
    <xf numFmtId="0" fontId="0" fillId="0" borderId="0" xfId="0" applyNumberFormat="1" applyFont="1" applyProtection="1"/>
    <xf numFmtId="0" fontId="2" fillId="0" borderId="0" xfId="0" applyNumberFormat="1" applyFont="1" applyAlignment="1" applyProtection="1"/>
    <xf numFmtId="0" fontId="2" fillId="0" borderId="0" xfId="0" applyNumberFormat="1" applyFont="1" applyProtection="1"/>
    <xf numFmtId="0" fontId="0" fillId="0" borderId="0" xfId="3" applyNumberFormat="1" applyFont="1" applyAlignment="1" applyProtection="1"/>
    <xf numFmtId="0" fontId="0" fillId="0" borderId="0" xfId="0" applyNumberFormat="1" applyFont="1" applyBorder="1" applyProtection="1"/>
    <xf numFmtId="0" fontId="1" fillId="2" borderId="0" xfId="3" applyNumberFormat="1" applyFont="1" applyFill="1" applyAlignment="1" applyProtection="1">
      <alignment horizontal="left" vertical="center"/>
    </xf>
    <xf numFmtId="0" fontId="0" fillId="0" borderId="0" xfId="3" applyNumberFormat="1" applyFont="1" applyBorder="1" applyAlignment="1" applyProtection="1"/>
    <xf numFmtId="0" fontId="0" fillId="0" borderId="0" xfId="0" applyNumberFormat="1" applyFont="1" applyAlignment="1" applyProtection="1"/>
    <xf numFmtId="0" fontId="0" fillId="0" borderId="0" xfId="3" applyFont="1" applyFill="1" applyBorder="1" applyAlignment="1" applyProtection="1">
      <alignment horizontal="left"/>
    </xf>
    <xf numFmtId="0" fontId="0" fillId="0" borderId="0" xfId="3" applyFont="1" applyFill="1" applyBorder="1" applyAlignment="1" applyProtection="1">
      <alignment horizontal="center"/>
    </xf>
    <xf numFmtId="0" fontId="0" fillId="0" borderId="0" xfId="3" applyNumberFormat="1" applyFont="1" applyFill="1" applyAlignment="1" applyProtection="1">
      <alignment horizontal="center"/>
    </xf>
    <xf numFmtId="0" fontId="0" fillId="0" borderId="0" xfId="3" applyNumberFormat="1" applyFont="1" applyFill="1" applyAlignment="1" applyProtection="1"/>
    <xf numFmtId="0" fontId="2" fillId="0" borderId="0" xfId="0" applyNumberFormat="1" applyFont="1" applyFill="1" applyBorder="1" applyAlignment="1" applyProtection="1">
      <alignment horizontal="center"/>
    </xf>
    <xf numFmtId="0" fontId="2" fillId="0" borderId="0" xfId="3" applyNumberFormat="1" applyFont="1" applyFill="1" applyBorder="1" applyAlignment="1" applyProtection="1">
      <alignment horizontal="center" vertical="center"/>
    </xf>
    <xf numFmtId="0" fontId="1" fillId="2" borderId="0" xfId="3" applyFont="1" applyFill="1" applyBorder="1" applyAlignment="1" applyProtection="1">
      <alignment horizontal="center"/>
    </xf>
    <xf numFmtId="0" fontId="0" fillId="0" borderId="0" xfId="0" applyNumberFormat="1" applyProtection="1"/>
    <xf numFmtId="0" fontId="10" fillId="0" borderId="0" xfId="0" applyFont="1" applyProtection="1"/>
    <xf numFmtId="0" fontId="11" fillId="0" borderId="0" xfId="0" applyFont="1" applyProtection="1"/>
    <xf numFmtId="0" fontId="11" fillId="0" borderId="0" xfId="0" applyFont="1" applyAlignment="1" applyProtection="1">
      <alignment horizontal="left" vertical="top" wrapText="1"/>
    </xf>
    <xf numFmtId="0" fontId="0" fillId="0" borderId="0" xfId="0" applyAlignment="1" applyProtection="1">
      <alignment horizontal="left" vertical="top"/>
    </xf>
    <xf numFmtId="0" fontId="11" fillId="0" borderId="0" xfId="0" applyFont="1" applyAlignment="1" applyProtection="1">
      <alignment horizontal="left" vertical="top" wrapText="1"/>
    </xf>
    <xf numFmtId="0" fontId="1" fillId="0" borderId="0" xfId="3" applyFill="1" applyAlignment="1" applyProtection="1">
      <alignment horizontal="center"/>
    </xf>
    <xf numFmtId="0" fontId="1" fillId="0" borderId="0" xfId="3" applyFill="1" applyAlignment="1" applyProtection="1">
      <alignment horizontal="center"/>
    </xf>
    <xf numFmtId="0" fontId="1" fillId="0" borderId="0" xfId="3" applyFill="1" applyProtection="1"/>
    <xf numFmtId="0" fontId="5" fillId="0" borderId="0" xfId="13" applyFont="1" applyFill="1" applyBorder="1" applyAlignment="1" applyProtection="1">
      <alignment horizontal="center"/>
    </xf>
    <xf numFmtId="0" fontId="0" fillId="0" borderId="0" xfId="3" applyFont="1" applyFill="1" applyProtection="1"/>
    <xf numFmtId="0" fontId="1" fillId="0" borderId="21" xfId="3" applyFill="1" applyBorder="1" applyAlignment="1" applyProtection="1">
      <alignment horizontal="center" wrapText="1"/>
    </xf>
    <xf numFmtId="0" fontId="1" fillId="0" borderId="0" xfId="3" applyFill="1" applyBorder="1" applyAlignment="1" applyProtection="1">
      <alignment horizontal="center" wrapText="1"/>
    </xf>
    <xf numFmtId="0" fontId="1" fillId="0" borderId="30" xfId="3" applyFill="1" applyBorder="1" applyAlignment="1" applyProtection="1">
      <alignment horizontal="center"/>
    </xf>
    <xf numFmtId="0" fontId="1" fillId="0" borderId="29" xfId="3" applyFill="1" applyBorder="1" applyAlignment="1" applyProtection="1">
      <alignment horizontal="center"/>
    </xf>
    <xf numFmtId="0" fontId="1" fillId="0" borderId="0" xfId="3" applyFill="1" applyBorder="1" applyAlignment="1" applyProtection="1">
      <alignment horizontal="center"/>
    </xf>
    <xf numFmtId="0" fontId="5" fillId="0" borderId="33" xfId="13" applyFont="1" applyFill="1" applyBorder="1" applyAlignment="1" applyProtection="1">
      <alignment wrapText="1"/>
    </xf>
    <xf numFmtId="0" fontId="1" fillId="0" borderId="33" xfId="3" applyNumberFormat="1" applyFill="1" applyBorder="1" applyProtection="1"/>
    <xf numFmtId="0" fontId="0" fillId="0" borderId="33" xfId="3" applyFont="1" applyFill="1" applyBorder="1" applyProtection="1"/>
    <xf numFmtId="165" fontId="0" fillId="0" borderId="39" xfId="14" applyNumberFormat="1" applyFont="1" applyFill="1" applyBorder="1" applyAlignment="1" applyProtection="1"/>
    <xf numFmtId="167" fontId="0" fillId="0" borderId="41" xfId="15" applyNumberFormat="1" applyFont="1" applyFill="1" applyBorder="1" applyAlignment="1" applyProtection="1">
      <alignment horizontal="center"/>
    </xf>
    <xf numFmtId="167" fontId="0" fillId="0" borderId="0" xfId="15" applyNumberFormat="1" applyFont="1" applyFill="1" applyBorder="1" applyAlignment="1" applyProtection="1">
      <alignment horizontal="center"/>
    </xf>
    <xf numFmtId="0" fontId="5" fillId="0" borderId="39" xfId="13" applyFont="1" applyFill="1" applyBorder="1" applyAlignment="1" applyProtection="1">
      <alignment wrapText="1"/>
    </xf>
    <xf numFmtId="0" fontId="1" fillId="0" borderId="39" xfId="3" applyNumberFormat="1" applyFill="1" applyBorder="1" applyProtection="1"/>
    <xf numFmtId="0" fontId="0" fillId="0" borderId="54" xfId="3" applyFont="1" applyFill="1" applyBorder="1" applyProtection="1"/>
    <xf numFmtId="165" fontId="0" fillId="0" borderId="54" xfId="14" applyNumberFormat="1" applyFont="1" applyFill="1" applyBorder="1" applyAlignment="1" applyProtection="1"/>
    <xf numFmtId="167" fontId="0" fillId="0" borderId="22" xfId="15" applyNumberFormat="1" applyFont="1" applyFill="1" applyBorder="1" applyAlignment="1" applyProtection="1">
      <alignment horizontal="center"/>
    </xf>
    <xf numFmtId="0" fontId="1" fillId="0" borderId="21" xfId="3" applyFill="1" applyBorder="1" applyAlignment="1" applyProtection="1">
      <alignment horizontal="center"/>
    </xf>
    <xf numFmtId="0" fontId="0" fillId="0" borderId="30" xfId="3" applyFont="1" applyFill="1" applyBorder="1" applyAlignment="1" applyProtection="1">
      <alignment horizontal="center"/>
    </xf>
    <xf numFmtId="6" fontId="0" fillId="0" borderId="33" xfId="3" applyNumberFormat="1" applyFont="1" applyFill="1" applyBorder="1" applyAlignment="1" applyProtection="1">
      <alignment horizontal="right"/>
    </xf>
    <xf numFmtId="170" fontId="1" fillId="0" borderId="10" xfId="3" applyNumberFormat="1" applyFill="1" applyBorder="1" applyAlignment="1" applyProtection="1">
      <alignment horizontal="center"/>
    </xf>
    <xf numFmtId="6" fontId="1" fillId="0" borderId="39" xfId="3" applyNumberFormat="1" applyFill="1" applyBorder="1" applyAlignment="1" applyProtection="1">
      <alignment horizontal="right"/>
    </xf>
    <xf numFmtId="6" fontId="1" fillId="0" borderId="54" xfId="3" applyNumberFormat="1" applyFill="1" applyBorder="1" applyAlignment="1" applyProtection="1">
      <alignment horizontal="right"/>
    </xf>
    <xf numFmtId="0" fontId="1" fillId="0" borderId="21" xfId="3" applyFill="1" applyBorder="1" applyAlignment="1" applyProtection="1">
      <alignment horizontal="center"/>
    </xf>
    <xf numFmtId="0" fontId="1" fillId="0" borderId="54" xfId="3" applyNumberFormat="1" applyFill="1" applyBorder="1" applyProtection="1"/>
    <xf numFmtId="0" fontId="5" fillId="0" borderId="54" xfId="13" applyFont="1" applyFill="1" applyBorder="1" applyAlignment="1" applyProtection="1">
      <alignment wrapText="1"/>
    </xf>
    <xf numFmtId="0" fontId="1" fillId="0" borderId="0" xfId="3" applyFill="1" applyBorder="1" applyProtection="1"/>
    <xf numFmtId="0" fontId="3" fillId="0" borderId="0" xfId="0" applyFont="1" applyProtection="1"/>
    <xf numFmtId="0" fontId="0" fillId="0" borderId="0" xfId="0" applyNumberFormat="1" applyFont="1" applyAlignment="1" applyProtection="1">
      <alignment wrapText="1"/>
    </xf>
    <xf numFmtId="0" fontId="4" fillId="0" borderId="0" xfId="0" applyFont="1" applyProtection="1"/>
    <xf numFmtId="0" fontId="0" fillId="0" borderId="0" xfId="3" applyFont="1" applyFill="1" applyBorder="1" applyAlignment="1" applyProtection="1"/>
    <xf numFmtId="49" fontId="0" fillId="2" borderId="0" xfId="0" applyNumberFormat="1" applyFont="1" applyFill="1" applyAlignment="1" applyProtection="1">
      <alignment horizontal="left"/>
    </xf>
    <xf numFmtId="0" fontId="0" fillId="0" borderId="0" xfId="0" applyFont="1" applyFill="1" applyAlignment="1" applyProtection="1">
      <alignment horizontal="center"/>
    </xf>
    <xf numFmtId="0" fontId="5" fillId="2" borderId="0" xfId="4" applyFont="1" applyFill="1" applyAlignment="1" applyProtection="1">
      <alignment horizontal="left"/>
    </xf>
    <xf numFmtId="0" fontId="1" fillId="2" borderId="0" xfId="4" applyFont="1" applyFill="1" applyAlignment="1" applyProtection="1">
      <alignment horizontal="left"/>
    </xf>
    <xf numFmtId="0" fontId="2" fillId="0" borderId="0" xfId="3" applyFont="1" applyFill="1" applyBorder="1" applyAlignment="1" applyProtection="1">
      <alignment horizontal="center" vertical="center"/>
    </xf>
    <xf numFmtId="49" fontId="2" fillId="2" borderId="0" xfId="0" applyNumberFormat="1" applyFont="1" applyFill="1" applyBorder="1" applyAlignment="1" applyProtection="1">
      <alignment horizontal="left"/>
    </xf>
    <xf numFmtId="49" fontId="1" fillId="2" borderId="0" xfId="3" applyNumberFormat="1" applyFont="1" applyFill="1" applyAlignment="1" applyProtection="1">
      <alignment horizontal="left"/>
    </xf>
    <xf numFmtId="49" fontId="2" fillId="2" borderId="0" xfId="3" applyNumberFormat="1" applyFont="1" applyFill="1" applyBorder="1" applyAlignment="1" applyProtection="1">
      <alignment horizontal="left" vertical="center"/>
    </xf>
    <xf numFmtId="0" fontId="2" fillId="3" borderId="1" xfId="0" applyFont="1" applyFill="1" applyBorder="1" applyAlignment="1" applyProtection="1">
      <alignment horizontal="center"/>
    </xf>
    <xf numFmtId="0" fontId="2" fillId="3" borderId="2" xfId="0" applyFont="1" applyFill="1" applyBorder="1" applyAlignment="1" applyProtection="1">
      <alignment horizontal="center"/>
    </xf>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wrapText="1"/>
    </xf>
    <xf numFmtId="0" fontId="2" fillId="3" borderId="5" xfId="0" applyFont="1" applyFill="1" applyBorder="1" applyAlignment="1" applyProtection="1">
      <alignment horizontal="center" wrapText="1"/>
    </xf>
    <xf numFmtId="49" fontId="2" fillId="3" borderId="4" xfId="0" applyNumberFormat="1" applyFont="1" applyFill="1" applyBorder="1" applyAlignment="1" applyProtection="1">
      <alignment horizontal="center" vertical="top" wrapText="1"/>
    </xf>
    <xf numFmtId="0" fontId="0" fillId="0" borderId="0" xfId="0" applyFont="1" applyFill="1" applyBorder="1" applyProtection="1"/>
    <xf numFmtId="0" fontId="0" fillId="4" borderId="1" xfId="0" applyFont="1" applyFill="1" applyBorder="1" applyAlignment="1" applyProtection="1">
      <alignment horizontal="center"/>
    </xf>
    <xf numFmtId="0" fontId="0" fillId="4" borderId="2" xfId="0" applyFont="1" applyFill="1" applyBorder="1" applyAlignment="1" applyProtection="1">
      <alignment horizontal="center"/>
    </xf>
    <xf numFmtId="0" fontId="0" fillId="4" borderId="3" xfId="0" applyFont="1" applyFill="1" applyBorder="1" applyAlignment="1" applyProtection="1">
      <alignment horizontal="center"/>
    </xf>
    <xf numFmtId="0" fontId="2" fillId="3" borderId="6" xfId="0" applyFont="1" applyFill="1" applyBorder="1" applyAlignment="1" applyProtection="1">
      <alignment horizontal="center" wrapText="1"/>
    </xf>
    <xf numFmtId="0" fontId="2" fillId="3" borderId="7" xfId="0" applyFont="1" applyFill="1" applyBorder="1" applyAlignment="1" applyProtection="1">
      <alignment horizontal="center" wrapText="1"/>
    </xf>
    <xf numFmtId="49" fontId="2" fillId="3" borderId="8" xfId="0" applyNumberFormat="1" applyFont="1" applyFill="1" applyBorder="1" applyAlignment="1" applyProtection="1">
      <alignment horizontal="center" vertical="top" wrapText="1"/>
    </xf>
    <xf numFmtId="0" fontId="2" fillId="0" borderId="9" xfId="0" applyFont="1" applyBorder="1" applyAlignment="1" applyProtection="1">
      <alignment horizontal="center" vertical="top"/>
    </xf>
    <xf numFmtId="0" fontId="2" fillId="0" borderId="10" xfId="0" applyFont="1" applyBorder="1" applyAlignment="1" applyProtection="1">
      <alignment horizontal="center" vertical="top"/>
    </xf>
    <xf numFmtId="0" fontId="2" fillId="0" borderId="11" xfId="0" applyFont="1" applyBorder="1" applyAlignment="1" applyProtection="1">
      <alignment horizontal="center" vertical="top"/>
    </xf>
    <xf numFmtId="0" fontId="0" fillId="0" borderId="12" xfId="0" applyFont="1" applyBorder="1" applyAlignment="1" applyProtection="1">
      <alignment horizontal="center" wrapText="1"/>
    </xf>
    <xf numFmtId="49" fontId="0" fillId="0" borderId="13" xfId="0" applyNumberFormat="1" applyFont="1" applyBorder="1" applyAlignment="1" applyProtection="1">
      <alignment horizontal="center" vertical="top" wrapText="1"/>
    </xf>
    <xf numFmtId="49" fontId="0" fillId="0" borderId="14" xfId="0" applyNumberFormat="1" applyFont="1" applyBorder="1" applyAlignment="1" applyProtection="1">
      <alignment horizontal="center" vertical="top" wrapText="1"/>
    </xf>
    <xf numFmtId="49" fontId="0" fillId="0" borderId="15" xfId="0" applyNumberFormat="1" applyFont="1" applyBorder="1" applyAlignment="1" applyProtection="1">
      <alignment horizontal="center" vertical="top" wrapText="1"/>
    </xf>
    <xf numFmtId="49" fontId="0" fillId="0" borderId="16" xfId="0" applyNumberFormat="1" applyFont="1" applyBorder="1" applyAlignment="1" applyProtection="1">
      <alignment horizontal="center" vertical="top" wrapText="1"/>
    </xf>
    <xf numFmtId="49" fontId="0" fillId="0" borderId="17" xfId="0" applyNumberFormat="1" applyFont="1" applyBorder="1" applyAlignment="1" applyProtection="1">
      <alignment horizontal="center" vertical="top" wrapText="1"/>
    </xf>
    <xf numFmtId="49" fontId="0" fillId="0" borderId="18" xfId="0" applyNumberFormat="1" applyFont="1" applyBorder="1" applyAlignment="1" applyProtection="1">
      <alignment horizontal="center" vertical="top" wrapText="1"/>
    </xf>
    <xf numFmtId="49" fontId="0" fillId="0" borderId="19" xfId="0" applyNumberFormat="1" applyFont="1" applyBorder="1" applyAlignment="1" applyProtection="1">
      <alignment horizontal="center" vertical="top" wrapText="1"/>
    </xf>
    <xf numFmtId="49" fontId="2" fillId="3" borderId="6" xfId="0" applyNumberFormat="1" applyFont="1" applyFill="1" applyBorder="1" applyAlignment="1" applyProtection="1">
      <alignment horizontal="center" vertical="top" wrapText="1"/>
    </xf>
    <xf numFmtId="0" fontId="2" fillId="0" borderId="20" xfId="0" applyFont="1" applyBorder="1" applyAlignment="1" applyProtection="1">
      <alignment horizontal="center" vertical="top"/>
    </xf>
    <xf numFmtId="0" fontId="2" fillId="0" borderId="21" xfId="0" applyFont="1" applyBorder="1" applyAlignment="1" applyProtection="1">
      <alignment horizontal="center" vertical="top"/>
    </xf>
    <xf numFmtId="0" fontId="2" fillId="0" borderId="22" xfId="0" applyFont="1" applyBorder="1" applyAlignment="1" applyProtection="1">
      <alignment horizontal="center" vertical="top"/>
    </xf>
    <xf numFmtId="0" fontId="0" fillId="0" borderId="23" xfId="0" applyFont="1" applyBorder="1" applyAlignment="1" applyProtection="1">
      <alignment horizontal="center" wrapText="1"/>
    </xf>
    <xf numFmtId="0" fontId="0" fillId="0" borderId="24"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0" fillId="0" borderId="26" xfId="0" applyFont="1" applyBorder="1" applyAlignment="1" applyProtection="1">
      <alignment horizontal="center" vertical="top" wrapText="1"/>
    </xf>
    <xf numFmtId="0" fontId="0" fillId="0" borderId="27"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9" xfId="0" applyFont="1" applyBorder="1" applyAlignment="1" applyProtection="1">
      <alignment horizontal="center" vertical="top" wrapText="1"/>
    </xf>
    <xf numFmtId="0" fontId="0" fillId="0" borderId="30" xfId="0" applyFont="1" applyBorder="1" applyAlignment="1" applyProtection="1">
      <alignment horizontal="center" vertical="top" wrapText="1"/>
    </xf>
    <xf numFmtId="0" fontId="0" fillId="0" borderId="31"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49" fontId="0" fillId="0" borderId="33" xfId="0" applyNumberFormat="1" applyFont="1" applyBorder="1" applyAlignment="1" applyProtection="1">
      <alignment horizontal="right" vertical="top"/>
    </xf>
    <xf numFmtId="0" fontId="0" fillId="0" borderId="9" xfId="0" applyFont="1" applyFill="1" applyBorder="1" applyAlignment="1" applyProtection="1">
      <alignment horizontal="left" vertical="top" indent="1"/>
    </xf>
    <xf numFmtId="0" fontId="0" fillId="0" borderId="11" xfId="0" applyFont="1" applyFill="1" applyBorder="1" applyAlignment="1" applyProtection="1">
      <alignment vertical="top"/>
    </xf>
    <xf numFmtId="0" fontId="0" fillId="5" borderId="9" xfId="0" applyFont="1" applyFill="1" applyBorder="1" applyAlignment="1" applyProtection="1">
      <alignment vertical="top"/>
    </xf>
    <xf numFmtId="164" fontId="0" fillId="5" borderId="34" xfId="2" applyNumberFormat="1" applyFont="1" applyFill="1" applyBorder="1" applyAlignment="1" applyProtection="1">
      <alignment vertical="top"/>
    </xf>
    <xf numFmtId="164" fontId="0" fillId="5" borderId="35" xfId="2" applyNumberFormat="1" applyFont="1" applyFill="1" applyBorder="1" applyAlignment="1" applyProtection="1">
      <alignment vertical="top"/>
    </xf>
    <xf numFmtId="164" fontId="0" fillId="5" borderId="36" xfId="2" applyNumberFormat="1" applyFont="1" applyFill="1" applyBorder="1" applyAlignment="1" applyProtection="1">
      <alignment vertical="top"/>
    </xf>
    <xf numFmtId="164" fontId="0" fillId="5" borderId="10" xfId="2" applyNumberFormat="1" applyFont="1" applyFill="1" applyBorder="1" applyAlignment="1" applyProtection="1">
      <alignment vertical="top"/>
    </xf>
    <xf numFmtId="164" fontId="0" fillId="5" borderId="37" xfId="2" applyNumberFormat="1" applyFont="1" applyFill="1" applyBorder="1" applyAlignment="1" applyProtection="1">
      <alignment vertical="top"/>
    </xf>
    <xf numFmtId="164" fontId="0" fillId="5" borderId="11" xfId="2" applyNumberFormat="1" applyFont="1" applyFill="1" applyBorder="1" applyAlignment="1" applyProtection="1">
      <alignment vertical="top"/>
    </xf>
    <xf numFmtId="164" fontId="0" fillId="5" borderId="33" xfId="2" applyNumberFormat="1" applyFont="1" applyFill="1" applyBorder="1" applyAlignment="1" applyProtection="1">
      <alignment vertical="top"/>
    </xf>
    <xf numFmtId="164" fontId="0" fillId="5" borderId="12" xfId="2" applyNumberFormat="1" applyFont="1" applyFill="1" applyBorder="1" applyAlignment="1" applyProtection="1">
      <alignment vertical="top"/>
    </xf>
    <xf numFmtId="164" fontId="0" fillId="5" borderId="38" xfId="2" applyNumberFormat="1" applyFont="1" applyFill="1" applyBorder="1" applyAlignment="1" applyProtection="1">
      <alignment vertical="top"/>
    </xf>
    <xf numFmtId="49" fontId="0" fillId="0" borderId="39" xfId="0" applyNumberFormat="1" applyFont="1" applyBorder="1" applyAlignment="1" applyProtection="1">
      <alignment horizontal="right" vertical="top"/>
    </xf>
    <xf numFmtId="0" fontId="0" fillId="0" borderId="40" xfId="0" applyFont="1" applyFill="1" applyBorder="1" applyAlignment="1" applyProtection="1">
      <alignment vertical="top"/>
    </xf>
    <xf numFmtId="0" fontId="0" fillId="0" borderId="41" xfId="0" applyFont="1" applyFill="1" applyBorder="1" applyAlignment="1" applyProtection="1">
      <alignment horizontal="left" vertical="top" indent="1"/>
    </xf>
    <xf numFmtId="0" fontId="0" fillId="0" borderId="40" xfId="0" applyFont="1" applyBorder="1" applyAlignment="1" applyProtection="1">
      <alignment vertical="top"/>
    </xf>
    <xf numFmtId="164" fontId="1" fillId="3" borderId="42" xfId="2" applyNumberFormat="1" applyFont="1" applyFill="1" applyBorder="1" applyAlignment="1" applyProtection="1">
      <alignment vertical="top"/>
    </xf>
    <xf numFmtId="164" fontId="1" fillId="3" borderId="43" xfId="2" applyNumberFormat="1" applyFont="1" applyFill="1" applyBorder="1" applyAlignment="1" applyProtection="1">
      <alignment vertical="top"/>
    </xf>
    <xf numFmtId="164" fontId="1" fillId="3" borderId="41" xfId="2" applyNumberFormat="1" applyFont="1" applyFill="1" applyBorder="1" applyAlignment="1" applyProtection="1">
      <alignment vertical="top"/>
    </xf>
    <xf numFmtId="164" fontId="1" fillId="3" borderId="39" xfId="2" applyNumberFormat="1" applyFont="1" applyFill="1" applyBorder="1" applyAlignment="1" applyProtection="1">
      <alignment vertical="top"/>
    </xf>
    <xf numFmtId="164" fontId="1" fillId="6"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vertical="top"/>
    </xf>
    <xf numFmtId="164" fontId="0" fillId="0" borderId="0" xfId="3" applyNumberFormat="1" applyFont="1" applyAlignment="1" applyProtection="1"/>
    <xf numFmtId="164" fontId="0" fillId="0" borderId="43" xfId="2" applyNumberFormat="1" applyFont="1" applyFill="1" applyBorder="1" applyAlignment="1" applyProtection="1">
      <alignment vertical="top"/>
    </xf>
    <xf numFmtId="164" fontId="0" fillId="0" borderId="41" xfId="2" applyNumberFormat="1" applyFont="1" applyBorder="1" applyAlignment="1" applyProtection="1">
      <alignment vertical="top"/>
    </xf>
    <xf numFmtId="164" fontId="0" fillId="0" borderId="39" xfId="2" applyNumberFormat="1" applyFont="1" applyBorder="1" applyAlignment="1" applyProtection="1">
      <alignment vertical="top"/>
    </xf>
    <xf numFmtId="0" fontId="0" fillId="0" borderId="41" xfId="0" applyFont="1" applyFill="1" applyBorder="1" applyAlignment="1" applyProtection="1">
      <alignment horizontal="left" vertical="top" wrapText="1" indent="1"/>
    </xf>
    <xf numFmtId="164" fontId="1" fillId="6" borderId="43" xfId="2" applyNumberFormat="1" applyFont="1" applyFill="1" applyBorder="1" applyAlignment="1" applyProtection="1">
      <alignment horizontal="center" vertical="top"/>
    </xf>
    <xf numFmtId="164" fontId="1" fillId="6" borderId="47" xfId="2" applyNumberFormat="1" applyFont="1" applyFill="1" applyBorder="1" applyAlignment="1" applyProtection="1">
      <alignment horizontal="center" vertical="top"/>
    </xf>
    <xf numFmtId="164" fontId="1" fillId="6" borderId="48" xfId="2" applyNumberFormat="1" applyFont="1" applyFill="1" applyBorder="1" applyAlignment="1" applyProtection="1">
      <alignment horizontal="center" vertical="top"/>
    </xf>
    <xf numFmtId="164" fontId="0" fillId="0" borderId="41" xfId="2" applyNumberFormat="1" applyFont="1" applyFill="1" applyBorder="1" applyAlignment="1" applyProtection="1">
      <alignment vertical="top"/>
    </xf>
    <xf numFmtId="164" fontId="0" fillId="0" borderId="39" xfId="2" applyNumberFormat="1" applyFont="1" applyFill="1" applyBorder="1" applyAlignment="1" applyProtection="1">
      <alignment vertical="top"/>
    </xf>
    <xf numFmtId="164" fontId="1" fillId="3" borderId="40" xfId="2" applyNumberFormat="1" applyFont="1" applyFill="1" applyBorder="1" applyAlignment="1" applyProtection="1">
      <alignment vertical="top"/>
    </xf>
    <xf numFmtId="0" fontId="0" fillId="0" borderId="49" xfId="0" applyFont="1" applyBorder="1" applyProtection="1"/>
    <xf numFmtId="49" fontId="0" fillId="5" borderId="39" xfId="0" applyNumberFormat="1" applyFont="1" applyFill="1" applyBorder="1" applyAlignment="1" applyProtection="1">
      <alignment horizontal="right" vertical="top"/>
    </xf>
    <xf numFmtId="0" fontId="0" fillId="5" borderId="20" xfId="0" applyFont="1" applyFill="1" applyBorder="1" applyAlignment="1" applyProtection="1">
      <alignment horizontal="left" vertical="top"/>
    </xf>
    <xf numFmtId="0" fontId="0" fillId="5" borderId="22" xfId="0" applyFont="1" applyFill="1" applyBorder="1" applyAlignment="1" applyProtection="1">
      <alignment vertical="top"/>
    </xf>
    <xf numFmtId="0" fontId="0" fillId="5" borderId="20" xfId="0" applyFont="1" applyFill="1" applyBorder="1" applyAlignment="1" applyProtection="1">
      <alignment vertical="top"/>
    </xf>
    <xf numFmtId="164" fontId="0" fillId="5" borderId="50" xfId="2" applyNumberFormat="1" applyFont="1" applyFill="1" applyBorder="1" applyAlignment="1" applyProtection="1">
      <alignment vertical="top"/>
    </xf>
    <xf numFmtId="164" fontId="0" fillId="5" borderId="51" xfId="2" applyNumberFormat="1" applyFont="1" applyFill="1" applyBorder="1" applyAlignment="1" applyProtection="1">
      <alignment vertical="top"/>
    </xf>
    <xf numFmtId="164" fontId="0" fillId="5" borderId="52" xfId="2" applyNumberFormat="1" applyFont="1" applyFill="1" applyBorder="1" applyAlignment="1" applyProtection="1">
      <alignment vertical="top"/>
    </xf>
    <xf numFmtId="164" fontId="0" fillId="5" borderId="21" xfId="2" applyNumberFormat="1" applyFont="1" applyFill="1" applyBorder="1" applyAlignment="1" applyProtection="1">
      <alignment vertical="top"/>
    </xf>
    <xf numFmtId="164" fontId="0" fillId="5" borderId="53" xfId="2" applyNumberFormat="1" applyFont="1" applyFill="1" applyBorder="1" applyAlignment="1" applyProtection="1">
      <alignment vertical="top"/>
    </xf>
    <xf numFmtId="164" fontId="0" fillId="5" borderId="22" xfId="2" applyNumberFormat="1" applyFont="1" applyFill="1" applyBorder="1" applyAlignment="1" applyProtection="1">
      <alignment vertical="top"/>
    </xf>
    <xf numFmtId="164" fontId="0" fillId="5" borderId="54" xfId="2" applyNumberFormat="1" applyFont="1" applyFill="1" applyBorder="1" applyAlignment="1" applyProtection="1">
      <alignment vertical="top"/>
    </xf>
    <xf numFmtId="164" fontId="0" fillId="5" borderId="23" xfId="2" applyNumberFormat="1" applyFont="1" applyFill="1" applyBorder="1" applyAlignment="1" applyProtection="1">
      <alignment vertical="top"/>
    </xf>
    <xf numFmtId="164" fontId="0" fillId="5" borderId="55" xfId="2" applyNumberFormat="1" applyFont="1" applyFill="1" applyBorder="1" applyAlignment="1" applyProtection="1">
      <alignment vertical="top"/>
    </xf>
    <xf numFmtId="0" fontId="0" fillId="0" borderId="41" xfId="0" applyFont="1" applyFill="1" applyBorder="1" applyAlignment="1" applyProtection="1">
      <alignment vertical="top"/>
    </xf>
    <xf numFmtId="0" fontId="0" fillId="5" borderId="40" xfId="0" applyFont="1" applyFill="1" applyBorder="1" applyAlignment="1" applyProtection="1">
      <alignment vertical="top"/>
    </xf>
    <xf numFmtId="164" fontId="0" fillId="5" borderId="44" xfId="2" applyNumberFormat="1" applyFont="1" applyFill="1" applyBorder="1" applyAlignment="1" applyProtection="1">
      <alignment vertical="top"/>
    </xf>
    <xf numFmtId="164" fontId="0" fillId="5" borderId="0" xfId="2" applyNumberFormat="1" applyFont="1" applyFill="1" applyBorder="1" applyAlignment="1" applyProtection="1">
      <alignment vertical="top"/>
    </xf>
    <xf numFmtId="164" fontId="0" fillId="5" borderId="45" xfId="2" applyNumberFormat="1" applyFont="1" applyFill="1" applyBorder="1" applyAlignment="1" applyProtection="1">
      <alignment vertical="top"/>
    </xf>
    <xf numFmtId="164" fontId="0" fillId="5" borderId="8" xfId="2" applyNumberFormat="1" applyFont="1" applyFill="1" applyBorder="1" applyAlignment="1" applyProtection="1">
      <alignment vertical="top"/>
    </xf>
    <xf numFmtId="0" fontId="0" fillId="0" borderId="40" xfId="0" applyFont="1" applyFill="1" applyBorder="1" applyAlignment="1" applyProtection="1">
      <alignment horizontal="right" vertical="top"/>
    </xf>
    <xf numFmtId="0" fontId="0" fillId="0" borderId="0" xfId="0" applyFont="1" applyFill="1" applyBorder="1" applyAlignment="1" applyProtection="1">
      <alignment horizontal="left" vertical="top" indent="1"/>
    </xf>
    <xf numFmtId="0" fontId="0" fillId="0" borderId="46" xfId="0" applyFont="1" applyFill="1" applyBorder="1" applyAlignment="1" applyProtection="1">
      <alignment vertical="top"/>
    </xf>
    <xf numFmtId="164" fontId="1" fillId="3" borderId="42" xfId="2" applyNumberFormat="1" applyFont="1" applyFill="1" applyBorder="1" applyAlignment="1" applyProtection="1">
      <alignment horizontal="center" vertical="top"/>
    </xf>
    <xf numFmtId="164" fontId="0" fillId="0" borderId="42" xfId="2" applyNumberFormat="1" applyFont="1" applyBorder="1" applyAlignment="1" applyProtection="1">
      <alignment vertical="top"/>
    </xf>
    <xf numFmtId="164" fontId="0" fillId="0" borderId="44" xfId="2" applyNumberFormat="1" applyFont="1" applyFill="1" applyBorder="1" applyAlignment="1" applyProtection="1">
      <alignment vertical="top"/>
    </xf>
    <xf numFmtId="164" fontId="0" fillId="0" borderId="0" xfId="2" applyNumberFormat="1" applyFont="1" applyFill="1" applyBorder="1" applyAlignment="1" applyProtection="1">
      <alignment vertical="top"/>
    </xf>
    <xf numFmtId="2" fontId="0" fillId="0" borderId="40" xfId="0" applyNumberFormat="1" applyFont="1" applyFill="1" applyBorder="1" applyAlignment="1" applyProtection="1">
      <alignment horizontal="right" vertical="top"/>
    </xf>
    <xf numFmtId="0" fontId="7" fillId="5" borderId="54" xfId="0" applyFont="1" applyFill="1" applyBorder="1" applyAlignment="1" applyProtection="1">
      <alignment vertical="top"/>
    </xf>
    <xf numFmtId="0" fontId="0" fillId="5" borderId="20" xfId="0" applyNumberFormat="1" applyFont="1" applyFill="1" applyBorder="1" applyAlignment="1" applyProtection="1">
      <alignment horizontal="left" vertical="top"/>
    </xf>
    <xf numFmtId="0" fontId="0" fillId="0" borderId="40" xfId="0" applyNumberFormat="1" applyFont="1" applyFill="1" applyBorder="1" applyAlignment="1" applyProtection="1">
      <alignment vertical="top"/>
    </xf>
    <xf numFmtId="164" fontId="0" fillId="0" borderId="43" xfId="2" applyNumberFormat="1" applyFont="1" applyBorder="1" applyAlignment="1" applyProtection="1">
      <alignment vertical="top"/>
    </xf>
    <xf numFmtId="164" fontId="0" fillId="0" borderId="46" xfId="2" applyNumberFormat="1" applyFont="1" applyBorder="1" applyAlignment="1" applyProtection="1">
      <alignment vertical="top"/>
    </xf>
    <xf numFmtId="164" fontId="0" fillId="5" borderId="8" xfId="2" applyNumberFormat="1" applyFont="1" applyFill="1" applyBorder="1" applyAlignment="1" applyProtection="1">
      <alignment horizontal="center" vertical="top"/>
    </xf>
    <xf numFmtId="0" fontId="0" fillId="0" borderId="9" xfId="0" applyFont="1" applyBorder="1" applyAlignment="1" applyProtection="1">
      <alignment horizontal="left" vertical="top" indent="1"/>
    </xf>
    <xf numFmtId="0" fontId="0" fillId="0" borderId="11" xfId="0" applyFont="1" applyBorder="1" applyAlignment="1" applyProtection="1">
      <alignment vertical="top"/>
    </xf>
    <xf numFmtId="164" fontId="0" fillId="5" borderId="40" xfId="2" applyNumberFormat="1" applyFont="1" applyFill="1" applyBorder="1" applyAlignment="1" applyProtection="1">
      <alignment vertical="top"/>
    </xf>
    <xf numFmtId="0" fontId="0" fillId="0" borderId="39" xfId="0" applyFont="1" applyBorder="1" applyAlignment="1" applyProtection="1">
      <alignment vertical="top"/>
    </xf>
    <xf numFmtId="164" fontId="1" fillId="3" borderId="46" xfId="2" applyNumberFormat="1" applyFont="1" applyFill="1" applyBorder="1" applyAlignment="1" applyProtection="1">
      <alignment vertical="top"/>
    </xf>
    <xf numFmtId="49" fontId="0" fillId="0" borderId="40" xfId="0" applyNumberFormat="1" applyFont="1" applyBorder="1" applyAlignment="1" applyProtection="1">
      <alignment horizontal="right" vertical="top"/>
    </xf>
    <xf numFmtId="164" fontId="0" fillId="0" borderId="46" xfId="2" applyNumberFormat="1" applyFont="1" applyFill="1" applyBorder="1" applyAlignment="1" applyProtection="1">
      <alignment vertical="top"/>
    </xf>
    <xf numFmtId="0" fontId="0" fillId="8" borderId="40" xfId="0" applyFont="1" applyFill="1" applyBorder="1" applyAlignment="1" applyProtection="1">
      <alignment vertical="top"/>
    </xf>
    <xf numFmtId="164" fontId="1" fillId="8" borderId="42" xfId="2" applyNumberFormat="1" applyFont="1" applyFill="1" applyBorder="1" applyAlignment="1" applyProtection="1">
      <alignment vertical="top"/>
    </xf>
    <xf numFmtId="164" fontId="1" fillId="8" borderId="44" xfId="2" applyNumberFormat="1" applyFont="1" applyFill="1" applyBorder="1" applyAlignment="1" applyProtection="1">
      <alignment vertical="top"/>
    </xf>
    <xf numFmtId="164" fontId="1" fillId="8" borderId="43" xfId="2" applyNumberFormat="1" applyFont="1" applyFill="1" applyBorder="1" applyAlignment="1" applyProtection="1">
      <alignment vertical="top"/>
    </xf>
    <xf numFmtId="164" fontId="1" fillId="8" borderId="0" xfId="2" applyNumberFormat="1" applyFont="1" applyFill="1" applyBorder="1" applyAlignment="1" applyProtection="1">
      <alignment vertical="top"/>
    </xf>
    <xf numFmtId="164" fontId="1" fillId="8" borderId="45" xfId="2" applyNumberFormat="1" applyFont="1" applyFill="1" applyBorder="1" applyAlignment="1" applyProtection="1">
      <alignment vertical="top"/>
    </xf>
    <xf numFmtId="164" fontId="1" fillId="8" borderId="41" xfId="2" applyNumberFormat="1" applyFont="1" applyFill="1" applyBorder="1" applyAlignment="1" applyProtection="1">
      <alignment vertical="top"/>
    </xf>
    <xf numFmtId="164" fontId="1" fillId="8" borderId="39" xfId="2" applyNumberFormat="1" applyFont="1" applyFill="1" applyBorder="1" applyAlignment="1" applyProtection="1">
      <alignment vertical="top"/>
    </xf>
    <xf numFmtId="164" fontId="1" fillId="8" borderId="46" xfId="2" applyNumberFormat="1" applyFont="1" applyFill="1" applyBorder="1" applyAlignment="1" applyProtection="1">
      <alignment vertical="top"/>
    </xf>
    <xf numFmtId="164" fontId="1" fillId="8" borderId="8" xfId="2" applyNumberFormat="1" applyFont="1" applyFill="1" applyBorder="1" applyAlignment="1" applyProtection="1">
      <alignment horizontal="center" vertical="top"/>
    </xf>
    <xf numFmtId="0" fontId="0" fillId="0" borderId="40" xfId="0" applyFont="1" applyBorder="1" applyProtection="1"/>
    <xf numFmtId="164" fontId="1" fillId="3" borderId="49" xfId="2" applyNumberFormat="1" applyFont="1" applyFill="1" applyBorder="1" applyAlignment="1" applyProtection="1">
      <alignment vertical="top"/>
    </xf>
    <xf numFmtId="164" fontId="1" fillId="3" borderId="43" xfId="2" applyNumberFormat="1" applyFont="1" applyFill="1" applyBorder="1" applyAlignment="1" applyProtection="1">
      <alignment horizontal="center" vertical="top"/>
    </xf>
    <xf numFmtId="0" fontId="0" fillId="5" borderId="20" xfId="0" applyNumberFormat="1" applyFont="1" applyFill="1" applyBorder="1" applyAlignment="1" applyProtection="1">
      <alignment vertical="top"/>
    </xf>
    <xf numFmtId="0" fontId="0" fillId="5" borderId="22" xfId="0" applyFont="1" applyFill="1" applyBorder="1" applyAlignment="1" applyProtection="1">
      <alignment horizontal="left" vertical="top" indent="1"/>
    </xf>
    <xf numFmtId="49" fontId="0" fillId="0" borderId="30" xfId="0" applyNumberFormat="1" applyFont="1" applyBorder="1" applyAlignment="1" applyProtection="1">
      <alignment horizontal="right" vertical="top"/>
    </xf>
    <xf numFmtId="0" fontId="0" fillId="0" borderId="27" xfId="0" applyFont="1" applyBorder="1" applyAlignment="1" applyProtection="1">
      <alignment horizontal="left" vertical="top" indent="1"/>
    </xf>
    <xf numFmtId="0" fontId="0" fillId="0" borderId="27" xfId="0" applyFont="1" applyBorder="1" applyAlignment="1" applyProtection="1">
      <alignment vertical="top"/>
    </xf>
    <xf numFmtId="0" fontId="0" fillId="3" borderId="56" xfId="0" applyFont="1" applyFill="1" applyBorder="1" applyAlignment="1" applyProtection="1">
      <alignment vertical="top"/>
    </xf>
    <xf numFmtId="164" fontId="1" fillId="3" borderId="24" xfId="2" applyNumberFormat="1" applyFont="1" applyFill="1" applyBorder="1" applyAlignment="1" applyProtection="1">
      <alignment vertical="top"/>
    </xf>
    <xf numFmtId="164" fontId="1" fillId="6" borderId="26" xfId="2" applyNumberFormat="1" applyFont="1" applyFill="1" applyBorder="1" applyAlignment="1" applyProtection="1">
      <alignment horizontal="center" vertical="top"/>
    </xf>
    <xf numFmtId="164" fontId="1" fillId="6" borderId="27" xfId="2" applyNumberFormat="1" applyFont="1" applyFill="1" applyBorder="1" applyAlignment="1" applyProtection="1">
      <alignment horizontal="center" vertical="top"/>
    </xf>
    <xf numFmtId="164" fontId="1" fillId="6" borderId="25" xfId="2" applyNumberFormat="1" applyFont="1" applyFill="1" applyBorder="1" applyAlignment="1" applyProtection="1">
      <alignment horizontal="center" vertical="top"/>
    </xf>
    <xf numFmtId="164" fontId="1" fillId="6" borderId="28" xfId="2" applyNumberFormat="1" applyFont="1" applyFill="1" applyBorder="1" applyAlignment="1" applyProtection="1">
      <alignment horizontal="center" vertical="top"/>
    </xf>
    <xf numFmtId="164" fontId="1" fillId="3" borderId="27" xfId="2" applyNumberFormat="1" applyFont="1" applyFill="1" applyBorder="1" applyAlignment="1" applyProtection="1">
      <alignment vertical="top"/>
    </xf>
    <xf numFmtId="164" fontId="1" fillId="3" borderId="56" xfId="2" applyNumberFormat="1" applyFont="1" applyFill="1" applyBorder="1" applyAlignment="1" applyProtection="1">
      <alignment vertical="top"/>
    </xf>
    <xf numFmtId="164" fontId="1" fillId="3" borderId="30" xfId="2" applyNumberFormat="1" applyFont="1" applyFill="1" applyBorder="1" applyAlignment="1" applyProtection="1">
      <alignment vertical="top"/>
    </xf>
    <xf numFmtId="164" fontId="1" fillId="6" borderId="31" xfId="2" applyNumberFormat="1" applyFont="1" applyFill="1" applyBorder="1" applyAlignment="1" applyProtection="1">
      <alignment horizontal="center" vertical="top"/>
    </xf>
    <xf numFmtId="164" fontId="1" fillId="3" borderId="57" xfId="2" applyNumberFormat="1" applyFont="1" applyFill="1" applyBorder="1" applyAlignment="1" applyProtection="1">
      <alignment vertical="top"/>
    </xf>
    <xf numFmtId="0" fontId="0" fillId="0" borderId="56" xfId="0" applyFont="1" applyBorder="1" applyAlignment="1" applyProtection="1">
      <alignment vertical="top"/>
    </xf>
    <xf numFmtId="164" fontId="1" fillId="6" borderId="24" xfId="2" applyNumberFormat="1" applyFont="1" applyFill="1" applyBorder="1" applyAlignment="1" applyProtection="1">
      <alignment horizontal="center" vertical="top"/>
    </xf>
    <xf numFmtId="164" fontId="1" fillId="6" borderId="56" xfId="2" applyNumberFormat="1" applyFont="1" applyFill="1" applyBorder="1" applyAlignment="1" applyProtection="1">
      <alignment horizontal="center" vertical="top"/>
    </xf>
    <xf numFmtId="164" fontId="0" fillId="0" borderId="31" xfId="2" applyNumberFormat="1" applyFont="1" applyBorder="1" applyAlignment="1" applyProtection="1">
      <alignment vertical="top"/>
    </xf>
    <xf numFmtId="164" fontId="1" fillId="3" borderId="58" xfId="2" applyNumberFormat="1" applyFont="1" applyFill="1" applyBorder="1" applyAlignment="1" applyProtection="1">
      <alignment horizontal="center" vertical="top"/>
    </xf>
    <xf numFmtId="164" fontId="0" fillId="0" borderId="58" xfId="2" applyNumberFormat="1" applyFont="1" applyFill="1" applyBorder="1" applyAlignment="1" applyProtection="1">
      <alignment horizontal="center" vertical="top"/>
    </xf>
    <xf numFmtId="164" fontId="1" fillId="6" borderId="29" xfId="2" applyNumberFormat="1" applyFont="1" applyFill="1" applyBorder="1" applyAlignment="1" applyProtection="1">
      <alignment horizontal="center" vertical="top"/>
    </xf>
    <xf numFmtId="164" fontId="1" fillId="6" borderId="30" xfId="2" applyNumberFormat="1" applyFont="1" applyFill="1" applyBorder="1" applyAlignment="1" applyProtection="1">
      <alignment horizontal="center" vertical="top"/>
    </xf>
    <xf numFmtId="165" fontId="0" fillId="0" borderId="42" xfId="1" applyNumberFormat="1" applyFont="1" applyBorder="1" applyAlignment="1" applyProtection="1">
      <alignment vertical="top"/>
    </xf>
    <xf numFmtId="165" fontId="1" fillId="3" borderId="43" xfId="1" applyNumberFormat="1" applyFont="1" applyFill="1" applyBorder="1" applyAlignment="1" applyProtection="1">
      <alignment vertical="top"/>
    </xf>
    <xf numFmtId="165" fontId="0" fillId="0" borderId="43" xfId="1" applyNumberFormat="1" applyFont="1" applyBorder="1" applyAlignment="1" applyProtection="1">
      <alignment vertical="top"/>
    </xf>
    <xf numFmtId="165" fontId="1" fillId="3" borderId="0" xfId="1" applyNumberFormat="1" applyFont="1" applyFill="1" applyBorder="1" applyAlignment="1" applyProtection="1">
      <alignment vertical="top"/>
    </xf>
    <xf numFmtId="165" fontId="0" fillId="0" borderId="42" xfId="1" applyNumberFormat="1" applyFont="1" applyFill="1" applyBorder="1" applyAlignment="1" applyProtection="1">
      <alignment vertical="top"/>
    </xf>
    <xf numFmtId="165" fontId="0" fillId="0" borderId="43" xfId="1" applyNumberFormat="1" applyFont="1" applyFill="1" applyBorder="1" applyAlignment="1" applyProtection="1">
      <alignment vertical="top"/>
    </xf>
    <xf numFmtId="165" fontId="1" fillId="3" borderId="47" xfId="1" applyNumberFormat="1" applyFont="1" applyFill="1" applyBorder="1" applyAlignment="1" applyProtection="1">
      <alignment vertical="top"/>
    </xf>
    <xf numFmtId="165" fontId="1" fillId="3" borderId="45" xfId="1" applyNumberFormat="1" applyFont="1" applyFill="1" applyBorder="1" applyAlignment="1" applyProtection="1">
      <alignment vertical="top"/>
    </xf>
    <xf numFmtId="165" fontId="0" fillId="0" borderId="41" xfId="1" applyNumberFormat="1" applyFont="1" applyBorder="1" applyAlignment="1" applyProtection="1">
      <alignment vertical="top"/>
    </xf>
    <xf numFmtId="165" fontId="0" fillId="0" borderId="39" xfId="1" applyNumberFormat="1" applyFont="1" applyBorder="1" applyAlignment="1" applyProtection="1">
      <alignment vertical="top"/>
    </xf>
    <xf numFmtId="165" fontId="0" fillId="0" borderId="46" xfId="1" applyNumberFormat="1" applyFont="1" applyBorder="1" applyAlignment="1" applyProtection="1">
      <alignment vertical="top"/>
    </xf>
    <xf numFmtId="165" fontId="1" fillId="3" borderId="8" xfId="1" applyNumberFormat="1" applyFont="1" applyFill="1" applyBorder="1" applyAlignment="1" applyProtection="1">
      <alignment vertical="top"/>
    </xf>
    <xf numFmtId="165" fontId="1" fillId="6" borderId="42" xfId="1" applyNumberFormat="1" applyFont="1" applyFill="1" applyBorder="1" applyAlignment="1" applyProtection="1">
      <alignment horizontal="center" vertical="top"/>
    </xf>
    <xf numFmtId="165" fontId="1" fillId="6" borderId="43" xfId="1" applyNumberFormat="1" applyFont="1" applyFill="1" applyBorder="1" applyAlignment="1" applyProtection="1">
      <alignment horizontal="center" vertical="top"/>
    </xf>
    <xf numFmtId="165" fontId="1" fillId="6" borderId="0" xfId="1" applyNumberFormat="1" applyFont="1" applyFill="1" applyBorder="1" applyAlignment="1" applyProtection="1">
      <alignment horizontal="center" vertical="top"/>
    </xf>
    <xf numFmtId="49" fontId="0" fillId="0" borderId="54" xfId="0" applyNumberFormat="1" applyFont="1" applyFill="1" applyBorder="1" applyAlignment="1" applyProtection="1">
      <alignment horizontal="right" vertical="top"/>
    </xf>
    <xf numFmtId="0" fontId="0" fillId="0" borderId="20" xfId="0" applyFont="1" applyFill="1" applyBorder="1" applyAlignment="1" applyProtection="1">
      <alignment vertical="top"/>
    </xf>
    <xf numFmtId="0" fontId="0" fillId="0" borderId="22" xfId="0" applyFont="1" applyFill="1" applyBorder="1" applyAlignment="1" applyProtection="1">
      <alignment horizontal="left" vertical="top" indent="1"/>
    </xf>
    <xf numFmtId="165" fontId="1" fillId="3" borderId="59" xfId="1" applyNumberFormat="1" applyFont="1" applyFill="1" applyBorder="1" applyAlignment="1" applyProtection="1">
      <alignment vertical="top"/>
    </xf>
    <xf numFmtId="165" fontId="1" fillId="3" borderId="60" xfId="1" applyNumberFormat="1" applyFont="1" applyFill="1" applyBorder="1" applyAlignment="1" applyProtection="1">
      <alignment vertical="top"/>
    </xf>
    <xf numFmtId="165" fontId="1" fillId="3" borderId="61" xfId="1" applyNumberFormat="1" applyFont="1" applyFill="1" applyBorder="1" applyAlignment="1" applyProtection="1">
      <alignment vertical="top"/>
    </xf>
    <xf numFmtId="165" fontId="1" fillId="3" borderId="62" xfId="1" applyNumberFormat="1" applyFont="1" applyFill="1" applyBorder="1" applyAlignment="1" applyProtection="1">
      <alignment vertical="top"/>
    </xf>
    <xf numFmtId="165" fontId="1" fillId="3" borderId="63" xfId="1" applyNumberFormat="1" applyFont="1" applyFill="1" applyBorder="1" applyAlignment="1" applyProtection="1">
      <alignment vertical="top"/>
    </xf>
    <xf numFmtId="165" fontId="1" fillId="3" borderId="64" xfId="1" applyNumberFormat="1" applyFont="1" applyFill="1" applyBorder="1" applyAlignment="1" applyProtection="1">
      <alignment vertical="top"/>
    </xf>
    <xf numFmtId="165" fontId="1" fillId="3" borderId="65" xfId="1" applyNumberFormat="1" applyFont="1" applyFill="1" applyBorder="1" applyAlignment="1" applyProtection="1">
      <alignment vertical="top"/>
    </xf>
    <xf numFmtId="165" fontId="1" fillId="3" borderId="66" xfId="1" applyNumberFormat="1" applyFont="1" applyFill="1" applyBorder="1" applyAlignment="1" applyProtection="1">
      <alignment vertical="top"/>
    </xf>
    <xf numFmtId="165" fontId="1" fillId="3" borderId="6" xfId="1" applyNumberFormat="1" applyFont="1" applyFill="1" applyBorder="1" applyAlignment="1" applyProtection="1">
      <alignment vertical="top"/>
    </xf>
    <xf numFmtId="164" fontId="0" fillId="0" borderId="0" xfId="2" applyNumberFormat="1" applyFont="1" applyBorder="1" applyProtection="1"/>
    <xf numFmtId="0" fontId="2" fillId="0" borderId="0" xfId="5" applyFont="1" applyAlignment="1" applyProtection="1"/>
    <xf numFmtId="0" fontId="2" fillId="0" borderId="0" xfId="5" applyFont="1" applyFill="1" applyBorder="1" applyAlignment="1" applyProtection="1">
      <alignment horizontal="left" vertical="top" wrapText="1"/>
    </xf>
    <xf numFmtId="0" fontId="0" fillId="4" borderId="67" xfId="0" applyFont="1" applyFill="1" applyBorder="1" applyAlignment="1" applyProtection="1">
      <alignment horizontal="center"/>
    </xf>
    <xf numFmtId="0" fontId="0" fillId="4" borderId="68" xfId="0" applyFont="1" applyFill="1" applyBorder="1" applyAlignment="1" applyProtection="1">
      <alignment horizontal="center"/>
    </xf>
    <xf numFmtId="0" fontId="0" fillId="4" borderId="69" xfId="0" applyFont="1" applyFill="1" applyBorder="1" applyAlignment="1" applyProtection="1">
      <alignment horizontal="center"/>
    </xf>
    <xf numFmtId="0" fontId="0" fillId="4" borderId="70" xfId="0" applyFont="1" applyFill="1" applyBorder="1" applyAlignment="1" applyProtection="1">
      <alignment horizontal="center"/>
    </xf>
    <xf numFmtId="49" fontId="0" fillId="0" borderId="71" xfId="0" applyNumberFormat="1" applyFont="1" applyBorder="1" applyAlignment="1" applyProtection="1">
      <alignment horizontal="center" vertical="top" wrapText="1"/>
    </xf>
    <xf numFmtId="49" fontId="0" fillId="0" borderId="5" xfId="0" applyNumberFormat="1" applyFont="1" applyBorder="1" applyAlignment="1" applyProtection="1">
      <alignment horizontal="center" vertical="top" wrapText="1"/>
    </xf>
    <xf numFmtId="49" fontId="0" fillId="0" borderId="72" xfId="0" applyNumberFormat="1" applyFont="1" applyBorder="1" applyAlignment="1" applyProtection="1">
      <alignment horizontal="center" vertical="top" wrapText="1"/>
    </xf>
    <xf numFmtId="49" fontId="0" fillId="0" borderId="73" xfId="0" applyNumberFormat="1" applyFont="1" applyBorder="1" applyAlignment="1" applyProtection="1">
      <alignment horizontal="center" vertical="top" wrapText="1"/>
    </xf>
    <xf numFmtId="0" fontId="0" fillId="0" borderId="74" xfId="0" applyFont="1" applyBorder="1" applyAlignment="1" applyProtection="1">
      <alignment horizontal="center" vertical="top" wrapText="1"/>
    </xf>
    <xf numFmtId="0" fontId="0" fillId="0" borderId="11" xfId="0" applyFont="1" applyBorder="1" applyAlignment="1" applyProtection="1">
      <alignment horizontal="left" vertical="top" indent="1"/>
    </xf>
    <xf numFmtId="0" fontId="0" fillId="5" borderId="34" xfId="0" applyFont="1" applyFill="1" applyBorder="1" applyAlignment="1" applyProtection="1">
      <alignment horizontal="center" vertical="top"/>
    </xf>
    <xf numFmtId="0" fontId="0" fillId="5" borderId="35" xfId="0" applyFont="1" applyFill="1" applyBorder="1" applyAlignment="1" applyProtection="1">
      <alignment horizontal="center" vertical="top"/>
    </xf>
    <xf numFmtId="0" fontId="0" fillId="5" borderId="36" xfId="0" applyFont="1" applyFill="1" applyBorder="1" applyAlignment="1" applyProtection="1">
      <alignment horizontal="center" vertical="top"/>
    </xf>
    <xf numFmtId="0" fontId="0" fillId="5" borderId="10" xfId="0" applyFont="1" applyFill="1" applyBorder="1" applyAlignment="1" applyProtection="1">
      <alignment horizontal="center" vertical="top"/>
    </xf>
    <xf numFmtId="0" fontId="0" fillId="5" borderId="37" xfId="0" applyFont="1" applyFill="1" applyBorder="1" applyAlignment="1" applyProtection="1">
      <alignment horizontal="center" vertical="top"/>
    </xf>
    <xf numFmtId="164" fontId="0" fillId="5" borderId="75" xfId="2" applyNumberFormat="1" applyFont="1" applyFill="1" applyBorder="1" applyAlignment="1" applyProtection="1">
      <alignment horizontal="center" vertical="top"/>
    </xf>
    <xf numFmtId="164" fontId="0" fillId="5" borderId="39" xfId="2" applyNumberFormat="1" applyFont="1" applyFill="1" applyBorder="1" applyAlignment="1" applyProtection="1">
      <alignment horizontal="center" vertical="top"/>
    </xf>
    <xf numFmtId="164" fontId="0" fillId="5"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horizontal="center" vertical="top"/>
    </xf>
    <xf numFmtId="164" fontId="1" fillId="3" borderId="44" xfId="2" applyNumberFormat="1" applyFont="1" applyFill="1" applyBorder="1" applyAlignment="1" applyProtection="1">
      <alignment horizontal="center" vertical="top"/>
    </xf>
    <xf numFmtId="164" fontId="0" fillId="0" borderId="43" xfId="2" applyNumberFormat="1" applyFont="1" applyFill="1" applyBorder="1" applyAlignment="1" applyProtection="1">
      <alignment horizontal="center" vertical="top"/>
    </xf>
    <xf numFmtId="164" fontId="1" fillId="3" borderId="0" xfId="2" applyNumberFormat="1" applyFont="1" applyFill="1" applyBorder="1" applyAlignment="1" applyProtection="1">
      <alignment horizontal="center" vertical="top"/>
    </xf>
    <xf numFmtId="164" fontId="1" fillId="3" borderId="45" xfId="2" applyNumberFormat="1" applyFont="1" applyFill="1" applyBorder="1" applyAlignment="1" applyProtection="1">
      <alignment horizontal="center" vertical="top"/>
    </xf>
    <xf numFmtId="164" fontId="0" fillId="0" borderId="75" xfId="2" applyNumberFormat="1" applyFont="1" applyBorder="1" applyAlignment="1" applyProtection="1">
      <alignment vertical="top"/>
    </xf>
    <xf numFmtId="164" fontId="1" fillId="3" borderId="75" xfId="2" applyNumberFormat="1" applyFont="1" applyFill="1" applyBorder="1" applyAlignment="1" applyProtection="1">
      <alignment vertical="top"/>
    </xf>
    <xf numFmtId="164" fontId="0" fillId="5" borderId="44" xfId="2" applyNumberFormat="1" applyFont="1" applyFill="1" applyBorder="1" applyAlignment="1" applyProtection="1">
      <alignment horizontal="center" vertical="top"/>
    </xf>
    <xf numFmtId="164" fontId="0" fillId="5" borderId="0" xfId="2" applyNumberFormat="1" applyFont="1" applyFill="1" applyBorder="1" applyAlignment="1" applyProtection="1">
      <alignment horizontal="center" vertical="top"/>
    </xf>
    <xf numFmtId="164" fontId="0" fillId="5" borderId="45" xfId="2" applyNumberFormat="1" applyFont="1" applyFill="1" applyBorder="1" applyAlignment="1" applyProtection="1">
      <alignment horizontal="center" vertical="top"/>
    </xf>
    <xf numFmtId="164" fontId="1" fillId="6" borderId="44" xfId="2" applyNumberFormat="1" applyFont="1" applyFill="1" applyBorder="1" applyAlignment="1" applyProtection="1">
      <alignment horizontal="center" vertical="top"/>
    </xf>
    <xf numFmtId="164" fontId="1" fillId="6" borderId="0" xfId="2" applyNumberFormat="1" applyFont="1" applyFill="1" applyBorder="1" applyAlignment="1" applyProtection="1">
      <alignment horizontal="center" vertical="top"/>
    </xf>
    <xf numFmtId="164" fontId="1" fillId="6" borderId="45" xfId="2" applyNumberFormat="1" applyFont="1" applyFill="1" applyBorder="1" applyAlignment="1" applyProtection="1">
      <alignment horizontal="center" vertical="top"/>
    </xf>
    <xf numFmtId="164" fontId="0" fillId="0" borderId="75" xfId="2" applyNumberFormat="1" applyFont="1" applyFill="1" applyBorder="1" applyAlignment="1" applyProtection="1">
      <alignment horizontal="center" vertical="top"/>
    </xf>
    <xf numFmtId="164" fontId="0" fillId="0" borderId="39" xfId="2" applyNumberFormat="1" applyFont="1" applyFill="1" applyBorder="1" applyAlignment="1" applyProtection="1">
      <alignment horizontal="center" vertical="top"/>
    </xf>
    <xf numFmtId="164" fontId="1" fillId="6" borderId="42" xfId="2" applyNumberFormat="1" applyFont="1" applyFill="1" applyBorder="1" applyAlignment="1" applyProtection="1">
      <alignment horizontal="center" vertical="top"/>
    </xf>
    <xf numFmtId="164" fontId="0" fillId="0" borderId="44" xfId="2" applyNumberFormat="1" applyFont="1" applyFill="1" applyBorder="1" applyAlignment="1" applyProtection="1">
      <alignment horizontal="center" vertical="top"/>
    </xf>
    <xf numFmtId="164" fontId="0" fillId="0" borderId="0" xfId="2" applyNumberFormat="1" applyFont="1" applyFill="1" applyBorder="1" applyAlignment="1" applyProtection="1">
      <alignment horizontal="center" vertical="top"/>
    </xf>
    <xf numFmtId="164" fontId="1" fillId="6" borderId="39" xfId="2" applyNumberFormat="1" applyFont="1" applyFill="1" applyBorder="1" applyAlignment="1" applyProtection="1">
      <alignment horizontal="center" vertical="top"/>
    </xf>
    <xf numFmtId="0" fontId="0" fillId="0" borderId="40" xfId="0" quotePrefix="1" applyFont="1" applyFill="1" applyBorder="1" applyAlignment="1" applyProtection="1">
      <alignment horizontal="right" vertical="top"/>
    </xf>
    <xf numFmtId="164" fontId="1" fillId="3" borderId="75" xfId="2" applyNumberFormat="1" applyFont="1" applyFill="1" applyBorder="1" applyAlignment="1" applyProtection="1">
      <alignment horizontal="center" vertical="top"/>
    </xf>
    <xf numFmtId="164" fontId="1" fillId="3" borderId="39" xfId="2" applyNumberFormat="1" applyFont="1" applyFill="1" applyBorder="1" applyAlignment="1" applyProtection="1">
      <alignment horizontal="center" vertical="top"/>
    </xf>
    <xf numFmtId="49" fontId="0" fillId="5" borderId="54" xfId="0" applyNumberFormat="1" applyFont="1" applyFill="1" applyBorder="1" applyAlignment="1" applyProtection="1">
      <alignment horizontal="right" vertical="top"/>
    </xf>
    <xf numFmtId="2" fontId="0" fillId="5" borderId="20" xfId="0" applyNumberFormat="1" applyFont="1" applyFill="1" applyBorder="1" applyAlignment="1" applyProtection="1">
      <alignment horizontal="right" vertical="top"/>
    </xf>
    <xf numFmtId="164" fontId="0" fillId="5" borderId="50" xfId="2" applyNumberFormat="1" applyFont="1" applyFill="1" applyBorder="1" applyAlignment="1" applyProtection="1">
      <alignment horizontal="center" vertical="top"/>
    </xf>
    <xf numFmtId="164" fontId="0" fillId="5" borderId="51" xfId="2" applyNumberFormat="1" applyFont="1" applyFill="1" applyBorder="1" applyAlignment="1" applyProtection="1">
      <alignment horizontal="center" vertical="top"/>
    </xf>
    <xf numFmtId="164" fontId="0" fillId="5" borderId="52" xfId="2" applyNumberFormat="1" applyFont="1" applyFill="1" applyBorder="1" applyAlignment="1" applyProtection="1">
      <alignment horizontal="center" vertical="top"/>
    </xf>
    <xf numFmtId="164" fontId="0" fillId="5" borderId="21" xfId="2" applyNumberFormat="1" applyFont="1" applyFill="1" applyBorder="1" applyAlignment="1" applyProtection="1">
      <alignment horizontal="center" vertical="top"/>
    </xf>
    <xf numFmtId="164" fontId="0" fillId="5" borderId="53" xfId="2" applyNumberFormat="1" applyFont="1" applyFill="1" applyBorder="1" applyAlignment="1" applyProtection="1">
      <alignment horizontal="center" vertical="top"/>
    </xf>
    <xf numFmtId="164" fontId="0" fillId="5" borderId="76" xfId="2" applyNumberFormat="1" applyFont="1" applyFill="1" applyBorder="1" applyAlignment="1" applyProtection="1">
      <alignment vertical="top"/>
    </xf>
    <xf numFmtId="0" fontId="0" fillId="0" borderId="40" xfId="0" applyFont="1" applyBorder="1" applyAlignment="1" applyProtection="1">
      <alignment horizontal="left" vertical="top" indent="1"/>
    </xf>
    <xf numFmtId="0" fontId="0" fillId="0" borderId="41" xfId="0" applyFont="1" applyBorder="1" applyAlignment="1" applyProtection="1">
      <alignment horizontal="left" vertical="top" indent="1"/>
    </xf>
    <xf numFmtId="164" fontId="0" fillId="5" borderId="75" xfId="2" applyNumberFormat="1" applyFont="1" applyFill="1" applyBorder="1" applyAlignment="1" applyProtection="1">
      <alignment vertical="top"/>
    </xf>
    <xf numFmtId="164" fontId="1" fillId="6" borderId="49" xfId="2" applyNumberFormat="1" applyFont="1" applyFill="1" applyBorder="1" applyAlignment="1" applyProtection="1">
      <alignment horizontal="center" vertical="top"/>
    </xf>
    <xf numFmtId="49" fontId="0" fillId="0" borderId="39" xfId="0" applyNumberFormat="1" applyFont="1" applyFill="1" applyBorder="1" applyAlignment="1" applyProtection="1">
      <alignment horizontal="right" vertical="top"/>
    </xf>
    <xf numFmtId="0" fontId="0" fillId="0" borderId="40" xfId="0" quotePrefix="1" applyNumberFormat="1" applyFont="1" applyFill="1" applyBorder="1" applyAlignment="1" applyProtection="1">
      <alignment vertical="top"/>
    </xf>
    <xf numFmtId="0" fontId="0" fillId="0" borderId="40" xfId="0" applyFont="1" applyFill="1" applyBorder="1" applyAlignment="1" applyProtection="1">
      <alignment vertical="top" wrapText="1"/>
    </xf>
    <xf numFmtId="164" fontId="0" fillId="0" borderId="46" xfId="2" applyNumberFormat="1" applyFont="1" applyFill="1" applyBorder="1" applyAlignment="1" applyProtection="1">
      <alignment horizontal="center" vertical="top"/>
    </xf>
    <xf numFmtId="164" fontId="1" fillId="3" borderId="47" xfId="2" applyNumberFormat="1" applyFont="1" applyFill="1" applyBorder="1" applyAlignment="1" applyProtection="1">
      <alignment horizontal="center" vertical="top"/>
    </xf>
    <xf numFmtId="164" fontId="1" fillId="3" borderId="48" xfId="2" applyNumberFormat="1" applyFont="1" applyFill="1" applyBorder="1" applyAlignment="1" applyProtection="1">
      <alignment horizontal="center" vertical="top"/>
    </xf>
    <xf numFmtId="0" fontId="0" fillId="5" borderId="22" xfId="0" applyFont="1" applyFill="1" applyBorder="1" applyAlignment="1" applyProtection="1">
      <alignment horizontal="left" vertical="top" wrapText="1" indent="1"/>
    </xf>
    <xf numFmtId="164" fontId="0" fillId="5" borderId="59" xfId="2" applyNumberFormat="1" applyFont="1" applyFill="1" applyBorder="1" applyAlignment="1" applyProtection="1">
      <alignment horizontal="center" vertical="top"/>
    </xf>
    <xf numFmtId="164" fontId="0" fillId="5" borderId="62" xfId="2" applyNumberFormat="1" applyFont="1" applyFill="1" applyBorder="1" applyAlignment="1" applyProtection="1">
      <alignment horizontal="center" vertical="top"/>
    </xf>
    <xf numFmtId="164" fontId="0" fillId="5" borderId="60" xfId="2" applyNumberFormat="1" applyFont="1" applyFill="1" applyBorder="1" applyAlignment="1" applyProtection="1">
      <alignment horizontal="center" vertical="top"/>
    </xf>
    <xf numFmtId="164" fontId="0" fillId="5" borderId="61" xfId="2" applyNumberFormat="1" applyFont="1" applyFill="1" applyBorder="1" applyAlignment="1" applyProtection="1">
      <alignment horizontal="center" vertical="top"/>
    </xf>
    <xf numFmtId="164" fontId="0" fillId="5" borderId="63" xfId="2" applyNumberFormat="1" applyFont="1" applyFill="1" applyBorder="1" applyAlignment="1" applyProtection="1">
      <alignment horizontal="center" vertical="top"/>
    </xf>
    <xf numFmtId="164" fontId="0" fillId="5" borderId="77" xfId="2" applyNumberFormat="1" applyFont="1" applyFill="1" applyBorder="1" applyAlignment="1" applyProtection="1">
      <alignment horizontal="center" vertical="top"/>
    </xf>
    <xf numFmtId="164" fontId="0" fillId="5" borderId="65" xfId="2" applyNumberFormat="1" applyFont="1" applyFill="1" applyBorder="1" applyAlignment="1" applyProtection="1">
      <alignment horizontal="center" vertical="top"/>
    </xf>
    <xf numFmtId="164" fontId="0" fillId="5" borderId="66" xfId="2" applyNumberFormat="1" applyFont="1" applyFill="1" applyBorder="1" applyAlignment="1" applyProtection="1">
      <alignment horizontal="center" vertical="top"/>
    </xf>
    <xf numFmtId="164" fontId="0" fillId="5" borderId="6" xfId="2" applyNumberFormat="1" applyFont="1" applyFill="1" applyBorder="1" applyAlignment="1" applyProtection="1">
      <alignment horizontal="center" vertical="top"/>
    </xf>
    <xf numFmtId="0" fontId="2" fillId="0" borderId="0" xfId="6" applyFont="1" applyAlignment="1" applyProtection="1"/>
    <xf numFmtId="0" fontId="8" fillId="0" borderId="0" xfId="0" applyFont="1" applyProtection="1"/>
    <xf numFmtId="22" fontId="9" fillId="0" borderId="0" xfId="0" applyNumberFormat="1" applyFont="1" applyAlignment="1" applyProtection="1">
      <alignment horizontal="right"/>
    </xf>
    <xf numFmtId="0" fontId="2" fillId="0" borderId="0" xfId="6" applyFont="1" applyFill="1" applyBorder="1" applyAlignment="1" applyProtection="1">
      <alignment horizontal="left" vertical="top" wrapText="1"/>
    </xf>
    <xf numFmtId="0" fontId="5" fillId="0" borderId="0" xfId="0" applyFont="1" applyProtection="1"/>
    <xf numFmtId="166" fontId="6" fillId="0" borderId="0" xfId="0" applyNumberFormat="1" applyFont="1" applyAlignment="1" applyProtection="1">
      <alignment horizontal="left"/>
    </xf>
    <xf numFmtId="0" fontId="6" fillId="3" borderId="1" xfId="0" applyFont="1" applyFill="1" applyBorder="1" applyAlignment="1" applyProtection="1">
      <alignment horizontal="center" wrapText="1"/>
    </xf>
    <xf numFmtId="0" fontId="6" fillId="3" borderId="2" xfId="0" applyFont="1" applyFill="1" applyBorder="1" applyAlignment="1" applyProtection="1">
      <alignment horizontal="center" wrapText="1"/>
    </xf>
    <xf numFmtId="0" fontId="6" fillId="3" borderId="1" xfId="0" applyFont="1" applyFill="1" applyBorder="1" applyAlignment="1" applyProtection="1">
      <alignment horizontal="center"/>
    </xf>
    <xf numFmtId="0" fontId="6" fillId="3" borderId="3" xfId="0" applyFont="1" applyFill="1" applyBorder="1" applyAlignment="1" applyProtection="1">
      <alignment horizontal="center"/>
    </xf>
    <xf numFmtId="166" fontId="6" fillId="0" borderId="9" xfId="0" applyNumberFormat="1" applyFont="1" applyBorder="1" applyAlignment="1" applyProtection="1">
      <alignment horizontal="center" vertical="center"/>
    </xf>
    <xf numFmtId="166" fontId="6" fillId="0" borderId="10" xfId="0" applyNumberFormat="1" applyFont="1" applyBorder="1" applyAlignment="1" applyProtection="1">
      <alignment horizontal="center" vertical="center"/>
    </xf>
    <xf numFmtId="166" fontId="6" fillId="0" borderId="37" xfId="0" applyNumberFormat="1" applyFont="1" applyBorder="1" applyAlignment="1" applyProtection="1">
      <alignment horizontal="center" vertical="center"/>
    </xf>
    <xf numFmtId="0" fontId="5" fillId="0" borderId="17" xfId="0" applyFont="1" applyBorder="1" applyAlignment="1" applyProtection="1">
      <alignment horizontal="center" wrapText="1"/>
    </xf>
    <xf numFmtId="0" fontId="5" fillId="0" borderId="78" xfId="0" applyFont="1" applyBorder="1" applyAlignment="1" applyProtection="1">
      <alignment horizontal="center" wrapText="1"/>
    </xf>
    <xf numFmtId="0" fontId="5" fillId="0" borderId="79" xfId="0" applyFont="1" applyBorder="1" applyAlignment="1" applyProtection="1">
      <alignment horizontal="center" wrapText="1"/>
    </xf>
    <xf numFmtId="0" fontId="2" fillId="3" borderId="8" xfId="0" applyFont="1" applyFill="1" applyBorder="1" applyAlignment="1" applyProtection="1">
      <alignment horizontal="center" wrapText="1"/>
    </xf>
    <xf numFmtId="0" fontId="5" fillId="0" borderId="0" xfId="0" applyFont="1" applyAlignment="1" applyProtection="1">
      <alignment horizontal="center" vertical="center"/>
    </xf>
    <xf numFmtId="166" fontId="6" fillId="0" borderId="20" xfId="0" applyNumberFormat="1" applyFont="1" applyBorder="1" applyAlignment="1" applyProtection="1">
      <alignment horizontal="center" vertical="center"/>
    </xf>
    <xf numFmtId="166" fontId="6" fillId="0" borderId="21" xfId="0" applyNumberFormat="1" applyFont="1" applyBorder="1" applyAlignment="1" applyProtection="1">
      <alignment horizontal="center" vertical="center"/>
    </xf>
    <xf numFmtId="166" fontId="6" fillId="0" borderId="53" xfId="0" applyNumberFormat="1" applyFont="1" applyBorder="1" applyAlignment="1" applyProtection="1">
      <alignment horizontal="center" vertical="center"/>
    </xf>
    <xf numFmtId="0" fontId="0" fillId="0" borderId="74" xfId="0" applyFont="1" applyBorder="1" applyAlignment="1" applyProtection="1">
      <alignment horizontal="center"/>
    </xf>
    <xf numFmtId="0" fontId="0" fillId="0" borderId="30" xfId="0" applyFont="1" applyBorder="1" applyAlignment="1" applyProtection="1">
      <alignment horizontal="center"/>
    </xf>
    <xf numFmtId="0" fontId="0" fillId="0" borderId="31" xfId="0" applyFont="1" applyBorder="1" applyAlignment="1" applyProtection="1">
      <alignment horizontal="center"/>
    </xf>
    <xf numFmtId="0" fontId="0" fillId="0" borderId="58" xfId="0" applyFont="1" applyBorder="1" applyAlignment="1" applyProtection="1">
      <alignment horizontal="center"/>
    </xf>
    <xf numFmtId="49" fontId="5" fillId="0" borderId="9" xfId="0" applyNumberFormat="1" applyFont="1" applyBorder="1" applyAlignment="1" applyProtection="1">
      <alignment horizontal="right" vertical="top"/>
    </xf>
    <xf numFmtId="0" fontId="5" fillId="0" borderId="9" xfId="0" applyNumberFormat="1" applyFont="1" applyBorder="1" applyAlignment="1" applyProtection="1">
      <alignment horizontal="left" vertical="top" indent="1"/>
    </xf>
    <xf numFmtId="0" fontId="5" fillId="0" borderId="10" xfId="0" applyNumberFormat="1" applyFont="1" applyBorder="1" applyAlignment="1" applyProtection="1">
      <alignment horizontal="left" vertical="top" indent="1"/>
    </xf>
    <xf numFmtId="0" fontId="5" fillId="0" borderId="37" xfId="0" applyNumberFormat="1" applyFont="1" applyBorder="1" applyAlignment="1" applyProtection="1">
      <alignment horizontal="left" vertical="top" indent="1"/>
    </xf>
    <xf numFmtId="164" fontId="5" fillId="5" borderId="80" xfId="2" applyNumberFormat="1" applyFont="1" applyFill="1" applyBorder="1" applyAlignment="1" applyProtection="1">
      <alignment vertical="top"/>
    </xf>
    <xf numFmtId="164" fontId="5" fillId="5" borderId="11" xfId="2" applyNumberFormat="1" applyFont="1" applyFill="1" applyBorder="1" applyAlignment="1" applyProtection="1">
      <alignment vertical="top"/>
    </xf>
    <xf numFmtId="164" fontId="5" fillId="5" borderId="37" xfId="2" applyNumberFormat="1" applyFont="1" applyFill="1" applyBorder="1" applyAlignment="1" applyProtection="1">
      <alignment vertical="top"/>
    </xf>
    <xf numFmtId="164" fontId="5" fillId="5" borderId="12" xfId="2" applyNumberFormat="1" applyFont="1" applyFill="1" applyBorder="1" applyAlignment="1" applyProtection="1">
      <alignment vertical="top"/>
    </xf>
    <xf numFmtId="164" fontId="5" fillId="5" borderId="38" xfId="2" applyNumberFormat="1" applyFont="1" applyFill="1" applyBorder="1" applyAlignment="1" applyProtection="1">
      <alignment vertical="top"/>
    </xf>
    <xf numFmtId="49" fontId="5" fillId="0" borderId="40" xfId="0" applyNumberFormat="1" applyFont="1" applyBorder="1" applyAlignment="1" applyProtection="1">
      <alignment horizontal="right" vertical="top"/>
    </xf>
    <xf numFmtId="0" fontId="5" fillId="0" borderId="40" xfId="0" applyNumberFormat="1" applyFont="1" applyBorder="1" applyAlignment="1" applyProtection="1">
      <alignment horizontal="righ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Border="1" applyAlignment="1" applyProtection="1">
      <alignment vertical="top"/>
    </xf>
    <xf numFmtId="164" fontId="5" fillId="0" borderId="41" xfId="2" applyNumberFormat="1" applyFont="1" applyBorder="1" applyAlignment="1" applyProtection="1">
      <alignment vertical="top"/>
    </xf>
    <xf numFmtId="164" fontId="5" fillId="0" borderId="45" xfId="2" applyNumberFormat="1" applyFont="1" applyBorder="1" applyAlignment="1" applyProtection="1">
      <alignment vertical="top"/>
    </xf>
    <xf numFmtId="164" fontId="5" fillId="0" borderId="46" xfId="2" applyNumberFormat="1" applyFont="1" applyBorder="1" applyAlignment="1" applyProtection="1">
      <alignment vertical="top"/>
    </xf>
    <xf numFmtId="164" fontId="5" fillId="0" borderId="8" xfId="2" applyNumberFormat="1" applyFont="1" applyBorder="1" applyAlignment="1" applyProtection="1">
      <alignment vertical="top"/>
    </xf>
    <xf numFmtId="164" fontId="5" fillId="3" borderId="8" xfId="2" applyNumberFormat="1" applyFont="1" applyFill="1" applyBorder="1" applyAlignment="1" applyProtection="1">
      <alignmen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Fill="1" applyBorder="1" applyAlignment="1" applyProtection="1">
      <alignment vertical="top"/>
    </xf>
    <xf numFmtId="164" fontId="5" fillId="0" borderId="41" xfId="2" applyNumberFormat="1" applyFont="1" applyFill="1" applyBorder="1" applyAlignment="1" applyProtection="1">
      <alignment vertical="top"/>
    </xf>
    <xf numFmtId="164" fontId="5" fillId="0" borderId="45" xfId="2" applyNumberFormat="1" applyFont="1" applyFill="1" applyBorder="1" applyAlignment="1" applyProtection="1">
      <alignment vertical="top"/>
    </xf>
    <xf numFmtId="164" fontId="5" fillId="0" borderId="46" xfId="2" applyNumberFormat="1" applyFont="1" applyFill="1" applyBorder="1" applyAlignment="1" applyProtection="1">
      <alignment vertical="top"/>
    </xf>
    <xf numFmtId="164" fontId="5" fillId="0" borderId="8" xfId="2" applyNumberFormat="1" applyFont="1" applyFill="1" applyBorder="1" applyAlignment="1" applyProtection="1">
      <alignment vertical="top"/>
    </xf>
    <xf numFmtId="164" fontId="5" fillId="3" borderId="75" xfId="2" applyNumberFormat="1" applyFont="1" applyFill="1" applyBorder="1" applyAlignment="1" applyProtection="1">
      <alignment vertical="top"/>
    </xf>
    <xf numFmtId="164" fontId="5" fillId="3" borderId="39" xfId="2" applyNumberFormat="1" applyFont="1" applyFill="1" applyBorder="1" applyAlignment="1" applyProtection="1">
      <alignment vertical="top"/>
    </xf>
    <xf numFmtId="164" fontId="5" fillId="3" borderId="41" xfId="2" applyNumberFormat="1" applyFont="1" applyFill="1" applyBorder="1" applyAlignment="1" applyProtection="1">
      <alignment vertical="top"/>
    </xf>
    <xf numFmtId="0" fontId="5" fillId="0" borderId="40" xfId="0" applyNumberFormat="1" applyFont="1" applyBorder="1" applyAlignment="1" applyProtection="1">
      <alignment vertical="top"/>
    </xf>
    <xf numFmtId="0" fontId="5" fillId="5" borderId="0" xfId="1" applyNumberFormat="1" applyFont="1" applyFill="1" applyBorder="1" applyAlignment="1" applyProtection="1">
      <alignment horizontal="left" vertical="top" indent="1"/>
    </xf>
    <xf numFmtId="0" fontId="5" fillId="5" borderId="45" xfId="1" applyNumberFormat="1" applyFont="1" applyFill="1" applyBorder="1" applyAlignment="1" applyProtection="1">
      <alignment horizontal="left" vertical="top" indent="1"/>
    </xf>
    <xf numFmtId="164" fontId="5" fillId="5" borderId="75" xfId="2" applyNumberFormat="1" applyFont="1" applyFill="1" applyBorder="1" applyAlignment="1" applyProtection="1">
      <alignment vertical="top"/>
    </xf>
    <xf numFmtId="164" fontId="5" fillId="5" borderId="41" xfId="2" applyNumberFormat="1" applyFont="1" applyFill="1" applyBorder="1" applyAlignment="1" applyProtection="1">
      <alignment vertical="top"/>
    </xf>
    <xf numFmtId="164" fontId="5" fillId="5" borderId="45" xfId="2" applyNumberFormat="1" applyFont="1" applyFill="1" applyBorder="1" applyAlignment="1" applyProtection="1">
      <alignment vertical="top"/>
    </xf>
    <xf numFmtId="164" fontId="5" fillId="5" borderId="8" xfId="2" applyNumberFormat="1" applyFont="1" applyFill="1" applyBorder="1" applyAlignment="1" applyProtection="1">
      <alignment vertical="top"/>
    </xf>
    <xf numFmtId="164" fontId="5" fillId="5" borderId="39" xfId="2" applyNumberFormat="1" applyFont="1" applyFill="1" applyBorder="1" applyAlignment="1" applyProtection="1">
      <alignment vertical="top"/>
    </xf>
    <xf numFmtId="164" fontId="5" fillId="0" borderId="39" xfId="2" applyNumberFormat="1" applyFont="1" applyFill="1" applyBorder="1" applyAlignment="1" applyProtection="1">
      <alignment vertical="top"/>
    </xf>
    <xf numFmtId="49" fontId="5" fillId="0" borderId="20" xfId="0" applyNumberFormat="1" applyFont="1" applyBorder="1" applyAlignment="1" applyProtection="1">
      <alignment horizontal="right" vertical="top"/>
    </xf>
    <xf numFmtId="0" fontId="5" fillId="0" borderId="20" xfId="0" applyNumberFormat="1" applyFont="1" applyBorder="1" applyAlignment="1" applyProtection="1">
      <alignment vertical="top"/>
    </xf>
    <xf numFmtId="0" fontId="5" fillId="5" borderId="21" xfId="1" applyNumberFormat="1" applyFont="1" applyFill="1" applyBorder="1" applyAlignment="1" applyProtection="1">
      <alignment horizontal="left" vertical="top" indent="1"/>
    </xf>
    <xf numFmtId="0" fontId="5" fillId="5" borderId="53" xfId="1" applyNumberFormat="1" applyFont="1" applyFill="1" applyBorder="1" applyAlignment="1" applyProtection="1">
      <alignment horizontal="left" vertical="top" indent="1"/>
    </xf>
    <xf numFmtId="164" fontId="5" fillId="5" borderId="76" xfId="2" applyNumberFormat="1" applyFont="1" applyFill="1" applyBorder="1" applyAlignment="1" applyProtection="1">
      <alignment vertical="top"/>
    </xf>
    <xf numFmtId="164" fontId="5" fillId="5" borderId="54" xfId="2" applyNumberFormat="1" applyFont="1" applyFill="1" applyBorder="1" applyAlignment="1" applyProtection="1">
      <alignment vertical="top"/>
    </xf>
    <xf numFmtId="164" fontId="5" fillId="5" borderId="53" xfId="2" applyNumberFormat="1" applyFont="1" applyFill="1" applyBorder="1" applyAlignment="1" applyProtection="1">
      <alignment vertical="top"/>
    </xf>
    <xf numFmtId="164" fontId="5" fillId="5" borderId="55" xfId="2" applyNumberFormat="1" applyFont="1" applyFill="1" applyBorder="1" applyAlignment="1" applyProtection="1">
      <alignment vertical="top"/>
    </xf>
    <xf numFmtId="164" fontId="5" fillId="0" borderId="39" xfId="2" applyNumberFormat="1" applyFont="1" applyBorder="1" applyAlignment="1" applyProtection="1">
      <alignment vertical="top"/>
    </xf>
    <xf numFmtId="49" fontId="5" fillId="0" borderId="33" xfId="0" applyNumberFormat="1" applyFont="1" applyBorder="1" applyAlignment="1" applyProtection="1">
      <alignment horizontal="right" vertical="top"/>
    </xf>
    <xf numFmtId="0" fontId="5" fillId="0" borderId="9" xfId="0" applyNumberFormat="1" applyFont="1" applyFill="1" applyBorder="1" applyAlignment="1" applyProtection="1">
      <alignment horizontal="left" vertical="top" indent="1"/>
    </xf>
    <xf numFmtId="0" fontId="5" fillId="0" borderId="10" xfId="0" applyNumberFormat="1" applyFont="1" applyFill="1" applyBorder="1" applyAlignment="1" applyProtection="1">
      <alignment horizontal="left" vertical="top" indent="1"/>
    </xf>
    <xf numFmtId="0" fontId="5" fillId="0" borderId="37" xfId="0" applyNumberFormat="1" applyFont="1" applyFill="1" applyBorder="1" applyAlignment="1" applyProtection="1">
      <alignment horizontal="left" vertical="top" indent="1"/>
    </xf>
    <xf numFmtId="49" fontId="5" fillId="0" borderId="54" xfId="0" applyNumberFormat="1" applyFont="1" applyBorder="1" applyAlignment="1" applyProtection="1">
      <alignment horizontal="right" vertical="top"/>
    </xf>
    <xf numFmtId="0" fontId="5" fillId="0" borderId="20" xfId="0" applyNumberFormat="1" applyFont="1" applyFill="1" applyBorder="1" applyAlignment="1" applyProtection="1">
      <alignment horizontal="left" vertical="top" indent="1"/>
    </xf>
    <xf numFmtId="0" fontId="5" fillId="0" borderId="21" xfId="0" applyNumberFormat="1" applyFont="1" applyFill="1" applyBorder="1" applyAlignment="1" applyProtection="1">
      <alignment horizontal="left" vertical="top" indent="1"/>
    </xf>
    <xf numFmtId="0" fontId="5" fillId="0" borderId="53" xfId="0" applyNumberFormat="1" applyFont="1" applyFill="1" applyBorder="1" applyAlignment="1" applyProtection="1">
      <alignment horizontal="left" vertical="top" indent="1"/>
    </xf>
    <xf numFmtId="164" fontId="5" fillId="3" borderId="77" xfId="2" applyNumberFormat="1" applyFont="1" applyFill="1" applyBorder="1" applyAlignment="1" applyProtection="1">
      <alignment vertical="top"/>
    </xf>
    <xf numFmtId="164" fontId="5" fillId="3" borderId="65" xfId="2" applyNumberFormat="1" applyFont="1" applyFill="1" applyBorder="1" applyAlignment="1" applyProtection="1">
      <alignment vertical="top"/>
    </xf>
    <xf numFmtId="164" fontId="5" fillId="3" borderId="64" xfId="2" applyNumberFormat="1" applyFont="1" applyFill="1" applyBorder="1" applyAlignment="1" applyProtection="1">
      <alignment vertical="top"/>
    </xf>
    <xf numFmtId="164" fontId="5" fillId="3" borderId="63" xfId="2" applyNumberFormat="1" applyFont="1" applyFill="1" applyBorder="1" applyAlignment="1" applyProtection="1">
      <alignment vertical="top"/>
    </xf>
    <xf numFmtId="164" fontId="5" fillId="3" borderId="66" xfId="2" applyNumberFormat="1" applyFont="1" applyFill="1" applyBorder="1" applyAlignment="1" applyProtection="1">
      <alignment vertical="top"/>
    </xf>
    <xf numFmtId="164" fontId="5" fillId="3" borderId="6" xfId="2" applyNumberFormat="1" applyFont="1" applyFill="1" applyBorder="1" applyAlignment="1" applyProtection="1">
      <alignment vertical="top"/>
    </xf>
    <xf numFmtId="0" fontId="2" fillId="0" borderId="0" xfId="7" applyFont="1" applyAlignment="1" applyProtection="1"/>
    <xf numFmtId="0" fontId="2" fillId="0" borderId="0" xfId="7" applyFont="1" applyFill="1" applyBorder="1" applyAlignment="1" applyProtection="1">
      <alignment horizontal="left" vertical="top" wrapText="1"/>
    </xf>
    <xf numFmtId="0" fontId="2" fillId="3" borderId="81" xfId="0" applyFont="1" applyFill="1" applyBorder="1" applyAlignment="1" applyProtection="1">
      <alignment horizontal="center"/>
    </xf>
    <xf numFmtId="0" fontId="2" fillId="3" borderId="1" xfId="0" applyFont="1" applyFill="1" applyBorder="1" applyAlignment="1" applyProtection="1">
      <alignment horizontal="center"/>
    </xf>
    <xf numFmtId="0" fontId="2" fillId="3" borderId="67" xfId="0" applyFont="1" applyFill="1" applyBorder="1" applyAlignment="1" applyProtection="1">
      <alignment horizontal="center"/>
    </xf>
    <xf numFmtId="0" fontId="2" fillId="3" borderId="68" xfId="0" applyFont="1" applyFill="1" applyBorder="1" applyAlignment="1" applyProtection="1">
      <alignment horizontal="center"/>
    </xf>
    <xf numFmtId="0" fontId="2" fillId="3" borderId="70" xfId="0" applyFont="1" applyFill="1" applyBorder="1" applyAlignment="1" applyProtection="1">
      <alignment horizontal="center"/>
    </xf>
    <xf numFmtId="0" fontId="0" fillId="0" borderId="0" xfId="0" applyFont="1" applyBorder="1" applyAlignment="1" applyProtection="1"/>
    <xf numFmtId="0" fontId="0" fillId="0" borderId="81" xfId="0" applyFont="1" applyBorder="1" applyAlignment="1" applyProtection="1">
      <alignment horizontal="center"/>
    </xf>
    <xf numFmtId="0" fontId="0" fillId="0" borderId="1" xfId="0" applyFont="1" applyBorder="1" applyAlignment="1" applyProtection="1">
      <alignment horizontal="center"/>
    </xf>
    <xf numFmtId="0" fontId="0" fillId="0" borderId="67" xfId="0" applyFont="1" applyBorder="1" applyAlignment="1" applyProtection="1">
      <alignment horizontal="center"/>
    </xf>
    <xf numFmtId="0" fontId="0" fillId="0" borderId="68" xfId="0" applyFont="1" applyBorder="1" applyAlignment="1" applyProtection="1">
      <alignment horizontal="center"/>
    </xf>
    <xf numFmtId="0" fontId="0" fillId="0" borderId="70" xfId="0" applyFont="1" applyBorder="1" applyAlignment="1" applyProtection="1">
      <alignment horizontal="center"/>
    </xf>
    <xf numFmtId="0" fontId="0" fillId="0" borderId="0" xfId="0" applyFont="1" applyAlignment="1" applyProtection="1">
      <alignment horizontal="center"/>
    </xf>
    <xf numFmtId="0" fontId="2" fillId="3" borderId="73" xfId="0" applyFont="1" applyFill="1" applyBorder="1" applyAlignment="1" applyProtection="1">
      <alignment horizontal="left" indent="1"/>
    </xf>
    <xf numFmtId="0" fontId="2" fillId="3" borderId="82" xfId="0" applyFont="1" applyFill="1" applyBorder="1" applyAlignment="1" applyProtection="1">
      <alignment horizontal="left" indent="1"/>
    </xf>
    <xf numFmtId="0" fontId="0" fillId="3" borderId="83" xfId="0" applyFont="1" applyFill="1" applyBorder="1" applyAlignment="1" applyProtection="1">
      <alignment horizontal="center"/>
    </xf>
    <xf numFmtId="0" fontId="0" fillId="3" borderId="82" xfId="0" applyFont="1" applyFill="1" applyBorder="1" applyAlignment="1" applyProtection="1">
      <alignment horizontal="center"/>
    </xf>
    <xf numFmtId="0" fontId="0" fillId="3" borderId="84" xfId="0" applyFont="1" applyFill="1" applyBorder="1" applyAlignment="1" applyProtection="1">
      <alignment horizontal="center"/>
    </xf>
    <xf numFmtId="0" fontId="0" fillId="0" borderId="85" xfId="0" applyFont="1" applyBorder="1" applyAlignment="1" applyProtection="1">
      <alignment horizontal="left" wrapText="1" indent="3"/>
    </xf>
    <xf numFmtId="0" fontId="0" fillId="3" borderId="86" xfId="0" applyFont="1" applyFill="1" applyBorder="1" applyAlignment="1" applyProtection="1">
      <alignment horizontal="left" indent="2"/>
    </xf>
    <xf numFmtId="0" fontId="0" fillId="0" borderId="87" xfId="0" applyFont="1" applyBorder="1" applyAlignment="1" applyProtection="1">
      <alignment horizontal="left" wrapText="1"/>
    </xf>
    <xf numFmtId="0" fontId="0" fillId="0" borderId="88" xfId="0" applyBorder="1" applyAlignment="1" applyProtection="1">
      <alignment horizontal="left" wrapText="1"/>
    </xf>
    <xf numFmtId="0" fontId="0" fillId="0" borderId="89" xfId="0" applyBorder="1" applyAlignment="1" applyProtection="1">
      <alignment horizontal="left" wrapText="1"/>
    </xf>
    <xf numFmtId="0" fontId="1" fillId="0" borderId="85" xfId="0" applyFont="1" applyBorder="1" applyAlignment="1" applyProtection="1">
      <alignment horizontal="left" wrapText="1" indent="3"/>
    </xf>
    <xf numFmtId="0" fontId="0" fillId="0" borderId="90" xfId="0" applyFont="1" applyBorder="1" applyAlignment="1" applyProtection="1">
      <alignment horizontal="left" wrapText="1"/>
    </xf>
    <xf numFmtId="0" fontId="0" fillId="0" borderId="91" xfId="0" applyBorder="1" applyAlignment="1" applyProtection="1">
      <alignment horizontal="left" wrapText="1"/>
    </xf>
    <xf numFmtId="0" fontId="0" fillId="0" borderId="92" xfId="0" applyBorder="1" applyAlignment="1" applyProtection="1">
      <alignment horizontal="left" wrapText="1"/>
    </xf>
    <xf numFmtId="0" fontId="0" fillId="0" borderId="85" xfId="0" applyNumberFormat="1" applyFont="1" applyBorder="1" applyAlignment="1" applyProtection="1">
      <alignment horizontal="left" wrapText="1" indent="3"/>
    </xf>
    <xf numFmtId="0" fontId="1" fillId="0" borderId="90" xfId="0" applyFont="1" applyBorder="1" applyAlignment="1" applyProtection="1">
      <alignment horizontal="left" wrapText="1"/>
    </xf>
    <xf numFmtId="0" fontId="0" fillId="0" borderId="93" xfId="0" applyFont="1" applyBorder="1" applyAlignment="1" applyProtection="1">
      <alignment horizontal="left" wrapText="1"/>
    </xf>
    <xf numFmtId="0" fontId="0" fillId="0" borderId="94" xfId="0" applyFont="1" applyBorder="1" applyAlignment="1" applyProtection="1">
      <alignment horizontal="left" wrapText="1"/>
    </xf>
    <xf numFmtId="0" fontId="0" fillId="0" borderId="95" xfId="0" applyFont="1" applyBorder="1" applyAlignment="1" applyProtection="1">
      <alignment horizontal="left" wrapText="1"/>
    </xf>
    <xf numFmtId="0" fontId="0" fillId="0" borderId="85" xfId="0" applyFont="1" applyBorder="1" applyAlignment="1" applyProtection="1">
      <alignment horizontal="left" indent="2"/>
    </xf>
    <xf numFmtId="0" fontId="0" fillId="3" borderId="87" xfId="0" applyFont="1" applyFill="1" applyBorder="1" applyAlignment="1" applyProtection="1">
      <alignment horizontal="center"/>
    </xf>
    <xf numFmtId="0" fontId="0" fillId="3" borderId="88" xfId="0" applyFont="1" applyFill="1" applyBorder="1" applyAlignment="1" applyProtection="1">
      <alignment horizontal="center"/>
    </xf>
    <xf numFmtId="0" fontId="0" fillId="3" borderId="89" xfId="0" applyFont="1" applyFill="1" applyBorder="1" applyAlignment="1" applyProtection="1">
      <alignment horizontal="center"/>
    </xf>
    <xf numFmtId="0" fontId="0" fillId="3" borderId="91" xfId="0" applyFont="1" applyFill="1" applyBorder="1" applyAlignment="1" applyProtection="1">
      <alignment horizontal="left" indent="2"/>
    </xf>
    <xf numFmtId="0" fontId="0" fillId="0" borderId="96" xfId="0" applyFont="1" applyBorder="1" applyAlignment="1" applyProtection="1">
      <alignment horizontal="left" wrapText="1" indent="3"/>
    </xf>
    <xf numFmtId="0" fontId="0" fillId="0" borderId="91" xfId="0" applyFont="1" applyBorder="1" applyAlignment="1" applyProtection="1">
      <alignment horizontal="left" wrapText="1"/>
    </xf>
    <xf numFmtId="0" fontId="0" fillId="0" borderId="92" xfId="0" applyFont="1" applyBorder="1" applyAlignment="1" applyProtection="1">
      <alignment horizontal="left" wrapText="1"/>
    </xf>
    <xf numFmtId="0" fontId="0" fillId="0" borderId="96" xfId="0" applyFont="1" applyBorder="1" applyAlignment="1" applyProtection="1">
      <alignment horizontal="left" indent="2"/>
    </xf>
    <xf numFmtId="0" fontId="0" fillId="3" borderId="90" xfId="0" applyFont="1" applyFill="1" applyBorder="1" applyAlignment="1" applyProtection="1">
      <alignment horizontal="center"/>
    </xf>
    <xf numFmtId="0" fontId="0" fillId="3" borderId="91" xfId="0" applyFont="1" applyFill="1" applyBorder="1" applyAlignment="1" applyProtection="1">
      <alignment horizontal="center"/>
    </xf>
    <xf numFmtId="0" fontId="0" fillId="3" borderId="92" xfId="0" applyFont="1" applyFill="1" applyBorder="1" applyAlignment="1" applyProtection="1">
      <alignment horizontal="center"/>
    </xf>
    <xf numFmtId="0" fontId="0" fillId="0" borderId="97" xfId="3" applyFont="1" applyFill="1" applyBorder="1" applyAlignment="1" applyProtection="1"/>
    <xf numFmtId="0" fontId="0" fillId="9" borderId="90" xfId="0" applyFont="1" applyFill="1" applyBorder="1" applyAlignment="1" applyProtection="1">
      <alignment horizontal="left" wrapText="1"/>
    </xf>
    <xf numFmtId="0" fontId="1" fillId="0" borderId="96" xfId="0" applyFont="1" applyBorder="1" applyAlignment="1" applyProtection="1">
      <alignment horizontal="left" wrapText="1" indent="3"/>
    </xf>
    <xf numFmtId="0" fontId="0" fillId="9" borderId="91" xfId="0" applyFont="1" applyFill="1" applyBorder="1" applyAlignment="1" applyProtection="1">
      <alignment horizontal="left" wrapText="1"/>
    </xf>
    <xf numFmtId="0" fontId="0" fillId="9" borderId="92" xfId="0" applyFont="1" applyFill="1" applyBorder="1" applyAlignment="1" applyProtection="1">
      <alignment horizontal="left" wrapText="1"/>
    </xf>
    <xf numFmtId="0" fontId="1" fillId="9" borderId="90" xfId="0" applyFont="1" applyFill="1" applyBorder="1" applyAlignment="1" applyProtection="1">
      <alignment horizontal="left" wrapText="1"/>
    </xf>
    <xf numFmtId="0" fontId="0" fillId="0" borderId="96" xfId="0" applyFont="1" applyFill="1" applyBorder="1" applyAlignment="1" applyProtection="1">
      <alignment horizontal="left" indent="2"/>
    </xf>
    <xf numFmtId="0" fontId="0" fillId="3" borderId="91" xfId="0" applyFont="1" applyFill="1" applyBorder="1" applyAlignment="1" applyProtection="1">
      <alignment horizontal="left" indent="3"/>
    </xf>
    <xf numFmtId="0" fontId="0" fillId="0" borderId="0" xfId="0" applyFont="1" applyAlignment="1" applyProtection="1"/>
    <xf numFmtId="0" fontId="0" fillId="0" borderId="76" xfId="0" applyFont="1" applyBorder="1" applyAlignment="1" applyProtection="1">
      <alignment horizontal="left" wrapText="1" indent="3"/>
    </xf>
    <xf numFmtId="0" fontId="0" fillId="3" borderId="21" xfId="0" applyFont="1" applyFill="1" applyBorder="1" applyAlignment="1" applyProtection="1">
      <alignment horizontal="left" indent="2"/>
    </xf>
    <xf numFmtId="0" fontId="0" fillId="9" borderId="98" xfId="0" applyFont="1" applyFill="1" applyBorder="1" applyAlignment="1" applyProtection="1">
      <alignment horizontal="left" wrapText="1"/>
    </xf>
    <xf numFmtId="0" fontId="0" fillId="9" borderId="99" xfId="0" applyFont="1" applyFill="1" applyBorder="1" applyAlignment="1" applyProtection="1">
      <alignment horizontal="left" wrapText="1"/>
    </xf>
    <xf numFmtId="0" fontId="0" fillId="9" borderId="100" xfId="0" applyFont="1" applyFill="1" applyBorder="1" applyAlignment="1" applyProtection="1">
      <alignment horizontal="left" wrapText="1"/>
    </xf>
    <xf numFmtId="0" fontId="1" fillId="0" borderId="96" xfId="0" applyNumberFormat="1" applyFont="1" applyBorder="1" applyAlignment="1" applyProtection="1">
      <alignment horizontal="left" wrapText="1" indent="3"/>
    </xf>
    <xf numFmtId="0" fontId="0" fillId="0" borderId="101" xfId="0" applyFont="1" applyBorder="1" applyAlignment="1" applyProtection="1">
      <alignment horizontal="left" wrapText="1" indent="3"/>
    </xf>
    <xf numFmtId="0" fontId="0" fillId="3" borderId="102" xfId="0" applyFont="1" applyFill="1" applyBorder="1" applyAlignment="1" applyProtection="1">
      <alignment horizontal="left" indent="2"/>
    </xf>
    <xf numFmtId="0" fontId="0" fillId="3" borderId="103" xfId="0" applyFont="1" applyFill="1" applyBorder="1" applyAlignment="1" applyProtection="1">
      <alignment horizontal="left" indent="2"/>
    </xf>
    <xf numFmtId="0" fontId="0" fillId="3" borderId="104" xfId="0" applyFont="1" applyFill="1" applyBorder="1" applyAlignment="1" applyProtection="1">
      <alignment horizontal="left" indent="2"/>
    </xf>
    <xf numFmtId="0" fontId="0" fillId="0" borderId="91" xfId="0" applyBorder="1" applyAlignment="1" applyProtection="1">
      <alignment horizontal="center"/>
    </xf>
    <xf numFmtId="0" fontId="0" fillId="0" borderId="92" xfId="0" applyBorder="1" applyAlignment="1" applyProtection="1">
      <alignment horizontal="center"/>
    </xf>
    <xf numFmtId="0" fontId="0" fillId="0" borderId="96" xfId="0" applyNumberFormat="1" applyFont="1" applyBorder="1" applyAlignment="1" applyProtection="1">
      <alignment horizontal="left" wrapText="1" indent="3"/>
    </xf>
    <xf numFmtId="0" fontId="0" fillId="0" borderId="77" xfId="0" applyFont="1" applyBorder="1" applyAlignment="1" applyProtection="1">
      <alignment horizontal="left" wrapText="1" indent="3"/>
    </xf>
    <xf numFmtId="0" fontId="0" fillId="3" borderId="105" xfId="0" applyFont="1" applyFill="1" applyBorder="1" applyAlignment="1" applyProtection="1">
      <alignment horizontal="left" indent="3"/>
    </xf>
    <xf numFmtId="0" fontId="0" fillId="9" borderId="93" xfId="0" applyFont="1" applyFill="1" applyBorder="1" applyAlignment="1" applyProtection="1">
      <alignment horizontal="left" wrapText="1"/>
    </xf>
    <xf numFmtId="0" fontId="0" fillId="0" borderId="94" xfId="0" applyBorder="1" applyAlignment="1" applyProtection="1">
      <alignment horizontal="left" wrapText="1"/>
    </xf>
    <xf numFmtId="0" fontId="0" fillId="0" borderId="95" xfId="0" applyBorder="1" applyAlignment="1" applyProtection="1">
      <alignment horizontal="left" wrapText="1"/>
    </xf>
    <xf numFmtId="0" fontId="2" fillId="0" borderId="0" xfId="8" applyFont="1" applyAlignment="1" applyProtection="1"/>
    <xf numFmtId="0" fontId="2" fillId="0" borderId="0" xfId="8" applyFont="1" applyFill="1" applyBorder="1" applyAlignment="1" applyProtection="1">
      <alignment horizontal="left" vertical="top" wrapText="1"/>
    </xf>
    <xf numFmtId="0" fontId="2" fillId="3" borderId="1" xfId="3" applyFont="1" applyFill="1" applyBorder="1" applyAlignment="1" applyProtection="1">
      <alignment horizontal="center"/>
    </xf>
    <xf numFmtId="0" fontId="2" fillId="3" borderId="2" xfId="3" applyFont="1" applyFill="1" applyBorder="1" applyAlignment="1" applyProtection="1">
      <alignment horizontal="center"/>
    </xf>
    <xf numFmtId="0" fontId="2" fillId="3" borderId="3" xfId="3" applyFont="1" applyFill="1" applyBorder="1" applyAlignment="1" applyProtection="1">
      <alignment horizontal="center"/>
    </xf>
    <xf numFmtId="0" fontId="2" fillId="3" borderId="67" xfId="3" applyFont="1" applyFill="1" applyBorder="1" applyAlignment="1" applyProtection="1">
      <alignment horizontal="center"/>
    </xf>
    <xf numFmtId="0" fontId="1" fillId="3" borderId="68" xfId="3" applyFont="1" applyFill="1" applyBorder="1" applyAlignment="1" applyProtection="1">
      <alignment horizontal="center"/>
    </xf>
    <xf numFmtId="0" fontId="1" fillId="3" borderId="70" xfId="3" applyFont="1" applyFill="1" applyBorder="1" applyAlignment="1" applyProtection="1">
      <alignment horizontal="center"/>
    </xf>
    <xf numFmtId="0" fontId="1" fillId="4" borderId="1" xfId="3" applyFont="1" applyFill="1" applyBorder="1" applyAlignment="1" applyProtection="1">
      <alignment horizontal="center"/>
    </xf>
    <xf numFmtId="0" fontId="1" fillId="4" borderId="2" xfId="3" applyFont="1" applyFill="1" applyBorder="1" applyAlignment="1" applyProtection="1">
      <alignment horizontal="center"/>
    </xf>
    <xf numFmtId="0" fontId="1" fillId="4" borderId="3" xfId="3" applyFont="1" applyFill="1" applyBorder="1" applyAlignment="1" applyProtection="1">
      <alignment horizontal="center"/>
    </xf>
    <xf numFmtId="0" fontId="1" fillId="4" borderId="67" xfId="3" applyFont="1" applyFill="1" applyBorder="1" applyAlignment="1" applyProtection="1">
      <alignment horizontal="center"/>
    </xf>
    <xf numFmtId="0" fontId="1" fillId="4" borderId="68" xfId="3" applyFont="1" applyFill="1" applyBorder="1" applyAlignment="1" applyProtection="1">
      <alignment horizontal="center"/>
    </xf>
    <xf numFmtId="0" fontId="1" fillId="4" borderId="70" xfId="3" applyFont="1" applyFill="1" applyBorder="1" applyAlignment="1" applyProtection="1">
      <alignment horizontal="center"/>
    </xf>
    <xf numFmtId="0" fontId="0" fillId="0" borderId="106" xfId="3" applyFont="1" applyBorder="1" applyAlignment="1" applyProtection="1">
      <alignment horizontal="center"/>
    </xf>
    <xf numFmtId="0" fontId="0" fillId="0" borderId="15" xfId="3" applyFont="1" applyBorder="1" applyAlignment="1" applyProtection="1">
      <alignment horizontal="center"/>
    </xf>
    <xf numFmtId="0" fontId="0" fillId="0" borderId="13" xfId="3" applyFont="1" applyFill="1" applyBorder="1" applyAlignment="1" applyProtection="1">
      <alignment horizontal="center"/>
    </xf>
    <xf numFmtId="0" fontId="0" fillId="0" borderId="107" xfId="3" applyFont="1" applyBorder="1" applyAlignment="1" applyProtection="1">
      <alignment horizontal="center"/>
    </xf>
    <xf numFmtId="0" fontId="0" fillId="0" borderId="18" xfId="3" applyFont="1" applyFill="1" applyBorder="1" applyAlignment="1" applyProtection="1">
      <alignment horizontal="center"/>
    </xf>
    <xf numFmtId="0" fontId="0" fillId="0" borderId="108" xfId="3" applyFont="1" applyFill="1" applyBorder="1" applyAlignment="1" applyProtection="1">
      <alignment horizontal="center"/>
    </xf>
    <xf numFmtId="0" fontId="0" fillId="0" borderId="15" xfId="3" applyFont="1" applyFill="1" applyBorder="1" applyAlignment="1" applyProtection="1">
      <alignment horizontal="center"/>
    </xf>
    <xf numFmtId="0" fontId="0" fillId="0" borderId="109" xfId="3" applyFont="1" applyFill="1" applyBorder="1" applyAlignment="1" applyProtection="1">
      <alignment horizontal="center"/>
    </xf>
    <xf numFmtId="0" fontId="0" fillId="0" borderId="0" xfId="3" applyFont="1" applyBorder="1" applyAlignment="1" applyProtection="1">
      <alignment horizontal="center"/>
    </xf>
    <xf numFmtId="0" fontId="0" fillId="0" borderId="24" xfId="3" applyFont="1" applyBorder="1" applyAlignment="1" applyProtection="1">
      <alignment horizontal="center"/>
    </xf>
    <xf numFmtId="0" fontId="0" fillId="0" borderId="26" xfId="3" applyFont="1" applyBorder="1" applyAlignment="1" applyProtection="1">
      <alignment horizontal="center"/>
    </xf>
    <xf numFmtId="0" fontId="0" fillId="0" borderId="29" xfId="3" applyFont="1" applyFill="1" applyBorder="1" applyAlignment="1" applyProtection="1">
      <alignment horizontal="center"/>
    </xf>
    <xf numFmtId="0" fontId="0" fillId="0" borderId="110" xfId="3" applyFont="1" applyBorder="1" applyAlignment="1" applyProtection="1">
      <alignment horizontal="center"/>
    </xf>
    <xf numFmtId="0" fontId="0" fillId="0" borderId="28" xfId="3" applyFont="1" applyFill="1" applyBorder="1" applyAlignment="1" applyProtection="1">
      <alignment horizontal="center"/>
    </xf>
    <xf numFmtId="0" fontId="0" fillId="0" borderId="24" xfId="3" applyFont="1" applyFill="1" applyBorder="1" applyAlignment="1" applyProtection="1">
      <alignment horizontal="center"/>
    </xf>
    <xf numFmtId="0" fontId="0" fillId="0" borderId="26" xfId="3" applyFont="1" applyFill="1" applyBorder="1" applyAlignment="1" applyProtection="1">
      <alignment horizontal="center"/>
    </xf>
    <xf numFmtId="0" fontId="0" fillId="0" borderId="110" xfId="3" applyFont="1" applyFill="1" applyBorder="1" applyAlignment="1" applyProtection="1">
      <alignment horizontal="center"/>
    </xf>
    <xf numFmtId="49" fontId="0" fillId="0" borderId="33" xfId="3" applyNumberFormat="1" applyFont="1" applyBorder="1" applyAlignment="1" applyProtection="1">
      <alignment horizontal="right"/>
    </xf>
    <xf numFmtId="49" fontId="0" fillId="0" borderId="9" xfId="3" applyNumberFormat="1" applyFont="1" applyBorder="1" applyAlignment="1" applyProtection="1">
      <alignment horizontal="left" vertical="top" indent="1"/>
    </xf>
    <xf numFmtId="0" fontId="0" fillId="0" borderId="10" xfId="3" applyFont="1" applyBorder="1" applyAlignment="1" applyProtection="1"/>
    <xf numFmtId="164" fontId="1" fillId="8" borderId="34" xfId="9" applyNumberFormat="1" applyFont="1" applyFill="1" applyBorder="1" applyAlignment="1" applyProtection="1">
      <alignment vertical="top"/>
    </xf>
    <xf numFmtId="164" fontId="1" fillId="8" borderId="36" xfId="9" applyNumberFormat="1" applyFont="1" applyFill="1" applyBorder="1" applyAlignment="1" applyProtection="1">
      <alignment vertical="top"/>
    </xf>
    <xf numFmtId="164" fontId="1" fillId="8" borderId="11" xfId="9" applyNumberFormat="1" applyFont="1" applyFill="1" applyBorder="1" applyAlignment="1" applyProtection="1">
      <alignment vertical="top"/>
    </xf>
    <xf numFmtId="164" fontId="1" fillId="8" borderId="111" xfId="9" applyNumberFormat="1" applyFont="1" applyFill="1" applyBorder="1" applyAlignment="1" applyProtection="1">
      <alignment vertical="top"/>
    </xf>
    <xf numFmtId="164" fontId="1" fillId="8" borderId="37" xfId="9" applyNumberFormat="1" applyFont="1" applyFill="1" applyBorder="1" applyAlignment="1" applyProtection="1">
      <alignment vertical="top"/>
    </xf>
    <xf numFmtId="49" fontId="0" fillId="0" borderId="39" xfId="3" applyNumberFormat="1" applyFont="1" applyBorder="1" applyAlignment="1" applyProtection="1">
      <alignment horizontal="right"/>
    </xf>
    <xf numFmtId="0" fontId="0" fillId="0" borderId="0" xfId="3" applyFont="1" applyFill="1" applyBorder="1" applyAlignment="1" applyProtection="1">
      <alignment horizontal="left" vertical="top" indent="1"/>
    </xf>
    <xf numFmtId="0" fontId="0" fillId="0" borderId="0" xfId="3" applyFont="1" applyFill="1" applyBorder="1" applyAlignment="1" applyProtection="1">
      <alignment horizontal="left" vertical="top" wrapText="1" indent="1"/>
    </xf>
    <xf numFmtId="164" fontId="1" fillId="10" borderId="41" xfId="2" applyNumberFormat="1" applyFont="1" applyFill="1" applyBorder="1" applyAlignment="1" applyProtection="1">
      <alignment vertical="top"/>
    </xf>
    <xf numFmtId="43" fontId="1" fillId="6" borderId="42" xfId="1" applyFont="1" applyFill="1" applyBorder="1" applyAlignment="1" applyProtection="1">
      <alignment horizontal="center" vertical="top"/>
    </xf>
    <xf numFmtId="43" fontId="1" fillId="6" borderId="112" xfId="1" applyFont="1" applyFill="1" applyBorder="1" applyAlignment="1" applyProtection="1">
      <alignment horizontal="center" vertical="top"/>
    </xf>
    <xf numFmtId="164" fontId="1" fillId="3" borderId="112" xfId="2" applyNumberFormat="1" applyFont="1" applyFill="1" applyBorder="1" applyAlignment="1" applyProtection="1">
      <alignment vertical="top"/>
    </xf>
    <xf numFmtId="43" fontId="1" fillId="6" borderId="43" xfId="1" applyFont="1" applyFill="1" applyBorder="1" applyAlignment="1" applyProtection="1">
      <alignment horizontal="center" vertical="top"/>
    </xf>
    <xf numFmtId="43" fontId="1" fillId="6" borderId="41" xfId="1" applyFont="1" applyFill="1" applyBorder="1" applyAlignment="1" applyProtection="1">
      <alignment horizontal="center" vertical="top"/>
    </xf>
    <xf numFmtId="43" fontId="1" fillId="6" borderId="45" xfId="1" applyFont="1" applyFill="1" applyBorder="1" applyAlignment="1" applyProtection="1">
      <alignment horizontal="center" vertical="top"/>
    </xf>
    <xf numFmtId="49" fontId="1" fillId="8" borderId="39" xfId="3" applyNumberFormat="1" applyFont="1" applyFill="1" applyBorder="1" applyAlignment="1" applyProtection="1">
      <alignment horizontal="right"/>
    </xf>
    <xf numFmtId="0" fontId="1" fillId="8" borderId="0" xfId="3" applyFont="1" applyFill="1" applyBorder="1" applyAlignment="1" applyProtection="1">
      <alignment horizontal="left" vertical="top" indent="1"/>
    </xf>
    <xf numFmtId="164" fontId="1" fillId="8" borderId="112" xfId="2" applyNumberFormat="1" applyFont="1" applyFill="1" applyBorder="1" applyAlignment="1" applyProtection="1">
      <alignment vertical="top"/>
    </xf>
    <xf numFmtId="0" fontId="0" fillId="0" borderId="10" xfId="3" applyFont="1" applyFill="1" applyBorder="1" applyAlignment="1" applyProtection="1">
      <alignment horizontal="left" vertical="top" indent="1"/>
    </xf>
    <xf numFmtId="49" fontId="1" fillId="8" borderId="54" xfId="3" applyNumberFormat="1" applyFont="1" applyFill="1" applyBorder="1" applyAlignment="1" applyProtection="1">
      <alignment horizontal="right"/>
    </xf>
    <xf numFmtId="0" fontId="0" fillId="8" borderId="20" xfId="0" applyFont="1" applyFill="1" applyBorder="1" applyAlignment="1" applyProtection="1">
      <alignment vertical="top"/>
    </xf>
    <xf numFmtId="0" fontId="1" fillId="8" borderId="21" xfId="3" applyFont="1" applyFill="1" applyBorder="1" applyAlignment="1" applyProtection="1">
      <alignment horizontal="left" vertical="top" indent="1"/>
    </xf>
    <xf numFmtId="164" fontId="1" fillId="8" borderId="50" xfId="2" applyNumberFormat="1" applyFont="1" applyFill="1" applyBorder="1" applyAlignment="1" applyProtection="1">
      <alignment vertical="top"/>
    </xf>
    <xf numFmtId="164" fontId="1" fillId="8" borderId="52" xfId="2" applyNumberFormat="1" applyFont="1" applyFill="1" applyBorder="1" applyAlignment="1" applyProtection="1">
      <alignment vertical="top"/>
    </xf>
    <xf numFmtId="164" fontId="1" fillId="8" borderId="22" xfId="2" applyNumberFormat="1" applyFont="1" applyFill="1" applyBorder="1" applyAlignment="1" applyProtection="1">
      <alignment vertical="top"/>
    </xf>
    <xf numFmtId="164" fontId="1" fillId="8" borderId="113" xfId="2" applyNumberFormat="1" applyFont="1" applyFill="1" applyBorder="1" applyAlignment="1" applyProtection="1">
      <alignment vertical="top"/>
    </xf>
    <xf numFmtId="164" fontId="1" fillId="8" borderId="53" xfId="2" applyNumberFormat="1" applyFont="1" applyFill="1" applyBorder="1" applyAlignment="1" applyProtection="1">
      <alignment vertical="top"/>
    </xf>
    <xf numFmtId="0" fontId="0" fillId="0" borderId="9" xfId="3" applyFont="1" applyFill="1" applyBorder="1" applyAlignment="1" applyProtection="1">
      <alignment horizontal="left" vertical="top" indent="1"/>
    </xf>
    <xf numFmtId="0" fontId="0" fillId="0" borderId="9" xfId="3" applyFont="1" applyFill="1" applyBorder="1" applyAlignment="1" applyProtection="1"/>
    <xf numFmtId="165" fontId="1" fillId="3" borderId="41" xfId="1" applyNumberFormat="1" applyFont="1" applyFill="1" applyBorder="1" applyAlignment="1" applyProtection="1">
      <alignment vertical="top"/>
    </xf>
    <xf numFmtId="167" fontId="1" fillId="3" borderId="45" xfId="10" applyNumberFormat="1" applyFont="1" applyFill="1" applyBorder="1" applyAlignment="1" applyProtection="1">
      <alignment vertical="top"/>
    </xf>
    <xf numFmtId="164" fontId="0" fillId="0" borderId="41" xfId="9" applyNumberFormat="1" applyFont="1" applyFill="1" applyBorder="1" applyAlignment="1" applyProtection="1">
      <alignment vertical="top"/>
    </xf>
    <xf numFmtId="164" fontId="0" fillId="0" borderId="45" xfId="9" applyNumberFormat="1" applyFont="1" applyFill="1" applyBorder="1" applyAlignment="1" applyProtection="1">
      <alignment vertical="top"/>
    </xf>
    <xf numFmtId="168" fontId="1" fillId="3" borderId="41" xfId="3" applyNumberFormat="1" applyFont="1" applyFill="1" applyBorder="1" applyAlignment="1" applyProtection="1">
      <alignment vertical="top"/>
    </xf>
    <xf numFmtId="168" fontId="1" fillId="3" borderId="45" xfId="3" applyNumberFormat="1" applyFont="1" applyFill="1" applyBorder="1" applyAlignment="1" applyProtection="1">
      <alignment vertical="top"/>
    </xf>
    <xf numFmtId="169" fontId="0" fillId="0" borderId="0" xfId="3" applyNumberFormat="1" applyFont="1" applyAlignment="1" applyProtection="1"/>
    <xf numFmtId="167" fontId="1" fillId="3" borderId="41" xfId="10" applyNumberFormat="1" applyFont="1" applyFill="1" applyBorder="1" applyAlignment="1" applyProtection="1">
      <alignment horizontal="right" vertical="top"/>
    </xf>
    <xf numFmtId="167" fontId="1" fillId="3" borderId="45" xfId="10" applyNumberFormat="1" applyFont="1" applyFill="1" applyBorder="1" applyAlignment="1" applyProtection="1">
      <alignment horizontal="right" vertical="top"/>
    </xf>
    <xf numFmtId="49" fontId="1" fillId="8" borderId="20" xfId="3" applyNumberFormat="1" applyFont="1" applyFill="1" applyBorder="1" applyAlignment="1" applyProtection="1">
      <alignment vertical="top"/>
    </xf>
    <xf numFmtId="0" fontId="1" fillId="8" borderId="50" xfId="3" applyFont="1" applyFill="1" applyBorder="1" applyAlignment="1" applyProtection="1">
      <alignment vertical="top"/>
    </xf>
    <xf numFmtId="0" fontId="1" fillId="8" borderId="52" xfId="3" applyFont="1" applyFill="1" applyBorder="1" applyAlignment="1" applyProtection="1">
      <alignment vertical="top"/>
    </xf>
    <xf numFmtId="0" fontId="1" fillId="8" borderId="22" xfId="3" applyFont="1" applyFill="1" applyBorder="1" applyAlignment="1" applyProtection="1">
      <alignment vertical="top"/>
    </xf>
    <xf numFmtId="0" fontId="1" fillId="8" borderId="113" xfId="3" applyFont="1" applyFill="1" applyBorder="1" applyAlignment="1" applyProtection="1">
      <alignment vertical="top"/>
    </xf>
    <xf numFmtId="0" fontId="1" fillId="8" borderId="53" xfId="3" applyFont="1" applyFill="1" applyBorder="1" applyAlignment="1" applyProtection="1">
      <alignment vertical="top"/>
    </xf>
    <xf numFmtId="0" fontId="0" fillId="0" borderId="10" xfId="3" applyFont="1" applyFill="1" applyBorder="1" applyAlignment="1" applyProtection="1">
      <alignment vertical="top"/>
    </xf>
    <xf numFmtId="164" fontId="1" fillId="3" borderId="41" xfId="9" applyNumberFormat="1" applyFont="1" applyFill="1" applyBorder="1" applyAlignment="1" applyProtection="1">
      <alignment horizontal="right" vertical="top"/>
    </xf>
    <xf numFmtId="164" fontId="1" fillId="3" borderId="45" xfId="9" applyNumberFormat="1" applyFont="1" applyFill="1" applyBorder="1" applyAlignment="1" applyProtection="1">
      <alignment horizontal="right" vertical="top"/>
    </xf>
    <xf numFmtId="167" fontId="1" fillId="3" borderId="48" xfId="10" applyNumberFormat="1" applyFont="1" applyFill="1" applyBorder="1" applyAlignment="1" applyProtection="1">
      <alignment horizontal="right" vertical="top"/>
    </xf>
    <xf numFmtId="43" fontId="1" fillId="6" borderId="44" xfId="1" applyFont="1" applyFill="1" applyBorder="1" applyAlignment="1" applyProtection="1">
      <alignment horizontal="center" vertical="top"/>
    </xf>
    <xf numFmtId="0" fontId="2" fillId="0" borderId="40" xfId="0" applyNumberFormat="1" applyFont="1" applyFill="1" applyBorder="1" applyAlignment="1" applyProtection="1">
      <alignment vertical="top"/>
    </xf>
    <xf numFmtId="0" fontId="2" fillId="0" borderId="0" xfId="3" applyFont="1" applyFill="1" applyBorder="1" applyAlignment="1" applyProtection="1">
      <alignment horizontal="left" vertical="top" indent="1"/>
    </xf>
    <xf numFmtId="167" fontId="2" fillId="3" borderId="41" xfId="10" applyNumberFormat="1" applyFont="1" applyFill="1" applyBorder="1" applyAlignment="1" applyProtection="1">
      <alignment vertical="top"/>
    </xf>
    <xf numFmtId="167" fontId="2" fillId="3" borderId="48" xfId="10" applyNumberFormat="1" applyFont="1" applyFill="1" applyBorder="1" applyAlignment="1" applyProtection="1">
      <alignment vertical="top"/>
    </xf>
    <xf numFmtId="167" fontId="2" fillId="3" borderId="45" xfId="10" applyNumberFormat="1" applyFont="1" applyFill="1" applyBorder="1" applyAlignment="1" applyProtection="1">
      <alignment vertical="top"/>
    </xf>
    <xf numFmtId="0" fontId="0" fillId="8" borderId="20" xfId="0" applyNumberFormat="1" applyFont="1" applyFill="1" applyBorder="1" applyAlignment="1" applyProtection="1">
      <alignment vertical="top"/>
    </xf>
    <xf numFmtId="43" fontId="1" fillId="8" borderId="50" xfId="1" applyFont="1" applyFill="1" applyBorder="1" applyAlignment="1" applyProtection="1">
      <alignment horizontal="center" vertical="top"/>
    </xf>
    <xf numFmtId="43" fontId="1" fillId="8" borderId="52" xfId="1" applyFont="1" applyFill="1" applyBorder="1" applyAlignment="1" applyProtection="1">
      <alignment horizontal="center" vertical="top"/>
    </xf>
    <xf numFmtId="9" fontId="1" fillId="8" borderId="22" xfId="10" applyFont="1" applyFill="1" applyBorder="1" applyAlignment="1" applyProtection="1">
      <alignment vertical="top"/>
    </xf>
    <xf numFmtId="43" fontId="1" fillId="8" borderId="113" xfId="1" applyFont="1" applyFill="1" applyBorder="1" applyAlignment="1" applyProtection="1">
      <alignment horizontal="center" vertical="top"/>
    </xf>
    <xf numFmtId="9" fontId="1" fillId="8" borderId="53" xfId="10" applyFont="1" applyFill="1" applyBorder="1" applyAlignment="1" applyProtection="1">
      <alignment vertical="top"/>
    </xf>
    <xf numFmtId="49" fontId="0" fillId="0" borderId="39" xfId="3" applyNumberFormat="1" applyFont="1" applyFill="1" applyBorder="1" applyAlignment="1" applyProtection="1">
      <alignment horizontal="right"/>
    </xf>
    <xf numFmtId="0" fontId="0" fillId="0" borderId="40" xfId="0" applyNumberFormat="1" applyFont="1" applyFill="1" applyBorder="1" applyAlignment="1" applyProtection="1">
      <alignment horizontal="left" vertical="top" indent="1"/>
    </xf>
    <xf numFmtId="43" fontId="1" fillId="8" borderId="42" xfId="1" applyFont="1" applyFill="1" applyBorder="1" applyAlignment="1" applyProtection="1">
      <alignment horizontal="center" vertical="top"/>
    </xf>
    <xf numFmtId="43" fontId="1" fillId="8" borderId="43" xfId="1" applyFont="1" applyFill="1" applyBorder="1" applyAlignment="1" applyProtection="1">
      <alignment horizontal="center" vertical="top"/>
    </xf>
    <xf numFmtId="9" fontId="1" fillId="8" borderId="41" xfId="10" applyFont="1" applyFill="1" applyBorder="1" applyAlignment="1" applyProtection="1">
      <alignment vertical="top"/>
    </xf>
    <xf numFmtId="43" fontId="1" fillId="8" borderId="112" xfId="1" applyFont="1" applyFill="1" applyBorder="1" applyAlignment="1" applyProtection="1">
      <alignment horizontal="center" vertical="top"/>
    </xf>
    <xf numFmtId="9" fontId="1" fillId="8" borderId="45" xfId="10" applyFont="1" applyFill="1" applyBorder="1" applyAlignment="1" applyProtection="1">
      <alignment vertical="top"/>
    </xf>
    <xf numFmtId="167" fontId="1" fillId="3" borderId="48" xfId="10" applyNumberFormat="1" applyFont="1" applyFill="1" applyBorder="1" applyAlignment="1" applyProtection="1">
      <alignment vertical="top"/>
    </xf>
    <xf numFmtId="0" fontId="0" fillId="0" borderId="0" xfId="3" applyFont="1" applyBorder="1" applyAlignment="1" applyProtection="1">
      <alignment horizontal="left" vertical="top" wrapText="1" indent="1"/>
    </xf>
    <xf numFmtId="164" fontId="1" fillId="3" borderId="48" xfId="2" applyNumberFormat="1" applyFont="1" applyFill="1" applyBorder="1" applyAlignment="1" applyProtection="1">
      <alignment vertical="top"/>
    </xf>
    <xf numFmtId="0" fontId="2" fillId="0" borderId="0" xfId="3" applyFont="1" applyFill="1" applyBorder="1" applyAlignment="1" applyProtection="1">
      <alignment horizontal="left" vertical="top" wrapText="1" indent="1"/>
    </xf>
    <xf numFmtId="164" fontId="2" fillId="0" borderId="41" xfId="2" applyNumberFormat="1" applyFont="1" applyFill="1" applyBorder="1" applyAlignment="1" applyProtection="1">
      <alignment vertical="top"/>
    </xf>
    <xf numFmtId="164" fontId="2" fillId="0" borderId="45" xfId="2" applyNumberFormat="1" applyFont="1" applyFill="1" applyBorder="1" applyAlignment="1" applyProtection="1">
      <alignment vertical="top"/>
    </xf>
    <xf numFmtId="164" fontId="2" fillId="3" borderId="41" xfId="2" applyNumberFormat="1" applyFont="1" applyFill="1" applyBorder="1" applyAlignment="1" applyProtection="1">
      <alignment vertical="top"/>
    </xf>
    <xf numFmtId="164" fontId="2" fillId="3" borderId="45" xfId="2" applyNumberFormat="1" applyFont="1" applyFill="1" applyBorder="1" applyAlignment="1" applyProtection="1">
      <alignment vertical="top"/>
    </xf>
    <xf numFmtId="165" fontId="1" fillId="8" borderId="59" xfId="4" applyNumberFormat="1" applyFont="1" applyFill="1" applyBorder="1" applyAlignment="1" applyProtection="1">
      <alignment horizontal="center" vertical="top"/>
    </xf>
    <xf numFmtId="165" fontId="1" fillId="8" borderId="60" xfId="4" applyNumberFormat="1" applyFont="1" applyFill="1" applyBorder="1" applyAlignment="1" applyProtection="1">
      <alignment horizontal="center" vertical="top"/>
    </xf>
    <xf numFmtId="43" fontId="1" fillId="8" borderId="64" xfId="1" applyFont="1" applyFill="1" applyBorder="1" applyAlignment="1" applyProtection="1">
      <alignment vertical="top"/>
    </xf>
    <xf numFmtId="165" fontId="1" fillId="8" borderId="114" xfId="4" applyNumberFormat="1" applyFont="1" applyFill="1" applyBorder="1" applyAlignment="1" applyProtection="1">
      <alignment horizontal="center" vertical="top"/>
    </xf>
    <xf numFmtId="43" fontId="1" fillId="8" borderId="63" xfId="1" applyFont="1" applyFill="1" applyBorder="1" applyAlignment="1" applyProtection="1">
      <alignment vertical="top"/>
    </xf>
    <xf numFmtId="164" fontId="0" fillId="0" borderId="0" xfId="9" applyNumberFormat="1" applyFont="1" applyBorder="1" applyAlignment="1" applyProtection="1"/>
    <xf numFmtId="0" fontId="2" fillId="0" borderId="0" xfId="11" applyFont="1" applyAlignment="1" applyProtection="1"/>
    <xf numFmtId="0" fontId="2" fillId="0" borderId="0" xfId="11" applyFont="1" applyFill="1" applyBorder="1" applyAlignment="1" applyProtection="1">
      <alignment horizontal="left" vertical="top" wrapText="1"/>
    </xf>
    <xf numFmtId="0" fontId="2" fillId="3" borderId="5" xfId="3" applyFont="1" applyFill="1" applyBorder="1" applyAlignment="1" applyProtection="1">
      <alignment horizontal="center"/>
    </xf>
    <xf numFmtId="0" fontId="2" fillId="3" borderId="16" xfId="3" applyFont="1" applyFill="1" applyBorder="1" applyAlignment="1" applyProtection="1">
      <alignment horizontal="center"/>
    </xf>
    <xf numFmtId="0" fontId="2" fillId="3" borderId="18" xfId="3" applyFont="1" applyFill="1" applyBorder="1" applyAlignment="1" applyProtection="1">
      <alignment horizontal="center"/>
    </xf>
    <xf numFmtId="0" fontId="1" fillId="4" borderId="73" xfId="3" applyFont="1" applyFill="1" applyBorder="1" applyAlignment="1" applyProtection="1">
      <alignment horizontal="center"/>
    </xf>
    <xf numFmtId="0" fontId="1" fillId="4" borderId="115" xfId="3" applyFont="1" applyFill="1" applyBorder="1" applyAlignment="1" applyProtection="1">
      <alignment horizontal="center"/>
    </xf>
    <xf numFmtId="0" fontId="1" fillId="4" borderId="116" xfId="3" applyFont="1" applyFill="1" applyBorder="1" applyAlignment="1" applyProtection="1">
      <alignment horizontal="center"/>
    </xf>
    <xf numFmtId="0" fontId="0" fillId="0" borderId="80" xfId="3" applyFont="1" applyFill="1" applyBorder="1" applyAlignment="1" applyProtection="1">
      <alignment horizontal="center"/>
    </xf>
    <xf numFmtId="0" fontId="0" fillId="0" borderId="33" xfId="3" applyFont="1" applyFill="1" applyBorder="1" applyAlignment="1" applyProtection="1">
      <alignment horizontal="center"/>
    </xf>
    <xf numFmtId="0" fontId="0" fillId="0" borderId="12" xfId="3" applyFont="1" applyFill="1" applyBorder="1" applyAlignment="1" applyProtection="1">
      <alignment horizontal="center"/>
    </xf>
    <xf numFmtId="165" fontId="1" fillId="3" borderId="80" xfId="1" applyNumberFormat="1" applyFont="1" applyFill="1" applyBorder="1" applyAlignment="1" applyProtection="1">
      <alignment horizontal="center" vertical="top"/>
    </xf>
    <xf numFmtId="165" fontId="1" fillId="3" borderId="33" xfId="1" applyNumberFormat="1" applyFont="1" applyFill="1" applyBorder="1" applyAlignment="1" applyProtection="1">
      <alignment horizontal="center" vertical="top"/>
    </xf>
    <xf numFmtId="165" fontId="1" fillId="3" borderId="12" xfId="1" applyNumberFormat="1" applyFont="1" applyFill="1" applyBorder="1" applyAlignment="1" applyProtection="1">
      <alignment horizontal="center" vertical="top"/>
    </xf>
    <xf numFmtId="49" fontId="0" fillId="8" borderId="54" xfId="0" applyNumberFormat="1" applyFont="1" applyFill="1" applyBorder="1" applyAlignment="1" applyProtection="1">
      <alignment horizontal="right" vertical="top"/>
    </xf>
    <xf numFmtId="0" fontId="0" fillId="8" borderId="20" xfId="0" applyFont="1" applyFill="1" applyBorder="1" applyAlignment="1" applyProtection="1">
      <alignment horizontal="left" vertical="top" indent="1"/>
    </xf>
    <xf numFmtId="165" fontId="1" fillId="8" borderId="76" xfId="1" applyNumberFormat="1" applyFont="1" applyFill="1" applyBorder="1" applyAlignment="1" applyProtection="1">
      <alignment vertical="top"/>
    </xf>
    <xf numFmtId="165" fontId="1" fillId="8" borderId="22" xfId="1" applyNumberFormat="1" applyFont="1" applyFill="1" applyBorder="1" applyAlignment="1" applyProtection="1">
      <alignment vertical="top"/>
    </xf>
    <xf numFmtId="0" fontId="1" fillId="8" borderId="23" xfId="3" applyFont="1" applyFill="1" applyBorder="1" applyAlignment="1" applyProtection="1"/>
    <xf numFmtId="0" fontId="0" fillId="8" borderId="76" xfId="0" applyFont="1" applyFill="1" applyBorder="1" applyProtection="1"/>
    <xf numFmtId="0" fontId="0" fillId="8" borderId="54" xfId="0" applyFont="1" applyFill="1" applyBorder="1" applyProtection="1"/>
    <xf numFmtId="0" fontId="0" fillId="8" borderId="23" xfId="0" applyFont="1" applyFill="1" applyBorder="1" applyProtection="1"/>
    <xf numFmtId="165" fontId="1" fillId="3" borderId="75" xfId="1" applyNumberFormat="1" applyFont="1" applyFill="1" applyBorder="1" applyAlignment="1" applyProtection="1">
      <alignment vertical="top"/>
    </xf>
    <xf numFmtId="165" fontId="1" fillId="3" borderId="46" xfId="1" applyNumberFormat="1" applyFont="1" applyFill="1" applyBorder="1" applyAlignment="1" applyProtection="1"/>
    <xf numFmtId="165" fontId="1" fillId="3" borderId="75" xfId="1" applyNumberFormat="1" applyFont="1" applyFill="1" applyBorder="1" applyProtection="1"/>
    <xf numFmtId="165" fontId="1" fillId="3" borderId="39" xfId="1" applyNumberFormat="1" applyFont="1" applyFill="1" applyBorder="1" applyProtection="1"/>
    <xf numFmtId="165" fontId="1" fillId="3" borderId="46" xfId="1" applyNumberFormat="1" applyFont="1" applyFill="1" applyBorder="1" applyProtection="1"/>
    <xf numFmtId="43" fontId="1" fillId="8" borderId="76" xfId="1" applyFont="1" applyFill="1" applyBorder="1" applyAlignment="1" applyProtection="1">
      <alignment vertical="top"/>
    </xf>
    <xf numFmtId="43" fontId="1" fillId="8" borderId="22" xfId="1" applyFont="1" applyFill="1" applyBorder="1" applyAlignment="1" applyProtection="1">
      <alignment vertical="top"/>
    </xf>
    <xf numFmtId="43" fontId="1" fillId="8" borderId="23" xfId="1" applyFont="1" applyFill="1" applyBorder="1" applyAlignment="1" applyProtection="1"/>
    <xf numFmtId="43" fontId="1" fillId="8" borderId="76" xfId="1" applyFont="1" applyFill="1" applyBorder="1" applyProtection="1"/>
    <xf numFmtId="43" fontId="1" fillId="8" borderId="54" xfId="1" applyFont="1" applyFill="1" applyBorder="1" applyProtection="1"/>
    <xf numFmtId="43" fontId="1" fillId="8" borderId="23" xfId="1" applyFont="1" applyFill="1" applyBorder="1" applyProtection="1"/>
    <xf numFmtId="0" fontId="0" fillId="0" borderId="40" xfId="0" applyFont="1" applyFill="1" applyBorder="1" applyAlignment="1" applyProtection="1">
      <alignment horizontal="left" vertical="top" indent="1"/>
    </xf>
    <xf numFmtId="43" fontId="1" fillId="3" borderId="75" xfId="1" applyFont="1" applyFill="1" applyBorder="1" applyAlignment="1" applyProtection="1">
      <alignment vertical="top"/>
    </xf>
    <xf numFmtId="43" fontId="1" fillId="3" borderId="41" xfId="1" applyFont="1" applyFill="1" applyBorder="1" applyAlignment="1" applyProtection="1">
      <alignment vertical="top"/>
    </xf>
    <xf numFmtId="43" fontId="1" fillId="3" borderId="46" xfId="1" applyFont="1" applyFill="1" applyBorder="1" applyAlignment="1" applyProtection="1"/>
    <xf numFmtId="43" fontId="1" fillId="3" borderId="75" xfId="1" applyFont="1" applyFill="1" applyBorder="1" applyProtection="1"/>
    <xf numFmtId="43" fontId="1" fillId="3" borderId="39" xfId="1" applyFont="1" applyFill="1" applyBorder="1" applyProtection="1"/>
    <xf numFmtId="43" fontId="1" fillId="3" borderId="46" xfId="1" applyFont="1" applyFill="1" applyBorder="1" applyProtection="1"/>
    <xf numFmtId="0" fontId="0" fillId="0" borderId="40" xfId="0" applyFont="1" applyFill="1" applyBorder="1" applyAlignment="1" applyProtection="1">
      <alignment horizontal="left" vertical="top" indent="2"/>
    </xf>
    <xf numFmtId="0" fontId="0" fillId="6" borderId="75" xfId="0" applyFont="1" applyFill="1" applyBorder="1" applyAlignment="1" applyProtection="1">
      <alignment horizontal="center"/>
    </xf>
    <xf numFmtId="165" fontId="0" fillId="0" borderId="39" xfId="0" applyNumberFormat="1" applyFont="1" applyBorder="1" applyAlignment="1" applyProtection="1">
      <alignment horizontal="right" vertical="top"/>
    </xf>
    <xf numFmtId="165" fontId="0" fillId="0" borderId="39" xfId="0" applyNumberFormat="1" applyFont="1" applyBorder="1" applyAlignment="1" applyProtection="1">
      <alignment vertical="top"/>
    </xf>
    <xf numFmtId="165" fontId="0" fillId="0" borderId="39" xfId="0" applyNumberFormat="1" applyFont="1" applyBorder="1" applyProtection="1"/>
    <xf numFmtId="165" fontId="0" fillId="0" borderId="75" xfId="0" applyNumberFormat="1" applyFont="1" applyFill="1" applyBorder="1" applyProtection="1"/>
    <xf numFmtId="165" fontId="0" fillId="0" borderId="40" xfId="0" applyNumberFormat="1" applyFont="1" applyFill="1" applyBorder="1" applyProtection="1"/>
    <xf numFmtId="0" fontId="0" fillId="0" borderId="40" xfId="0" applyFont="1" applyFill="1" applyBorder="1" applyAlignment="1" applyProtection="1">
      <alignment horizontal="left" vertical="top" wrapText="1" indent="2"/>
    </xf>
    <xf numFmtId="165" fontId="0" fillId="0" borderId="75" xfId="1" applyNumberFormat="1" applyFont="1" applyFill="1" applyBorder="1" applyAlignment="1" applyProtection="1">
      <alignment horizontal="center" vertical="top"/>
    </xf>
    <xf numFmtId="165" fontId="0" fillId="0" borderId="41" xfId="1" applyNumberFormat="1" applyFont="1" applyBorder="1" applyAlignment="1" applyProtection="1">
      <alignment horizontal="right" vertical="top"/>
    </xf>
    <xf numFmtId="165" fontId="0" fillId="0" borderId="0" xfId="1" applyNumberFormat="1" applyFont="1" applyFill="1" applyBorder="1" applyAlignment="1" applyProtection="1">
      <alignment vertical="top"/>
    </xf>
    <xf numFmtId="165" fontId="0" fillId="0" borderId="39" xfId="1" applyNumberFormat="1" applyFont="1" applyBorder="1" applyProtection="1"/>
    <xf numFmtId="165" fontId="0" fillId="0" borderId="0" xfId="1" applyNumberFormat="1" applyFont="1" applyBorder="1" applyProtection="1"/>
    <xf numFmtId="165" fontId="0" fillId="0" borderId="75" xfId="1" applyNumberFormat="1" applyFont="1" applyFill="1" applyBorder="1" applyProtection="1"/>
    <xf numFmtId="165" fontId="0" fillId="0" borderId="0" xfId="1" applyNumberFormat="1" applyFont="1" applyFill="1" applyBorder="1" applyProtection="1"/>
    <xf numFmtId="167" fontId="1" fillId="8" borderId="76" xfId="10" applyNumberFormat="1" applyFont="1" applyFill="1" applyBorder="1" applyAlignment="1" applyProtection="1">
      <alignment vertical="top"/>
    </xf>
    <xf numFmtId="167" fontId="1" fillId="8" borderId="22" xfId="10" applyNumberFormat="1" applyFont="1" applyFill="1" applyBorder="1" applyAlignment="1" applyProtection="1">
      <alignment vertical="top"/>
    </xf>
    <xf numFmtId="164" fontId="1" fillId="3" borderId="80" xfId="2" applyNumberFormat="1" applyFont="1" applyFill="1" applyBorder="1" applyAlignment="1" applyProtection="1">
      <alignment vertical="top"/>
    </xf>
    <xf numFmtId="164" fontId="1" fillId="3" borderId="11" xfId="2" applyNumberFormat="1" applyFont="1" applyFill="1" applyBorder="1" applyAlignment="1" applyProtection="1">
      <alignment vertical="top"/>
    </xf>
    <xf numFmtId="164" fontId="1" fillId="3" borderId="12" xfId="2" applyNumberFormat="1" applyFont="1" applyFill="1" applyBorder="1" applyAlignment="1" applyProtection="1"/>
    <xf numFmtId="164" fontId="1" fillId="3" borderId="80" xfId="2" applyNumberFormat="1" applyFont="1" applyFill="1" applyBorder="1" applyProtection="1"/>
    <xf numFmtId="164" fontId="1" fillId="3" borderId="33" xfId="2" applyNumberFormat="1" applyFont="1" applyFill="1" applyBorder="1" applyProtection="1"/>
    <xf numFmtId="164" fontId="1" fillId="3" borderId="12" xfId="2" applyNumberFormat="1" applyFont="1" applyFill="1" applyBorder="1" applyProtection="1"/>
    <xf numFmtId="164" fontId="1" fillId="3" borderId="40" xfId="2" applyNumberFormat="1" applyFont="1" applyFill="1" applyBorder="1" applyAlignment="1" applyProtection="1"/>
    <xf numFmtId="164" fontId="1" fillId="3" borderId="75" xfId="2" applyNumberFormat="1" applyFont="1" applyFill="1" applyBorder="1" applyProtection="1"/>
    <xf numFmtId="164" fontId="1" fillId="3" borderId="39" xfId="2" applyNumberFormat="1" applyFont="1" applyFill="1" applyBorder="1" applyProtection="1"/>
    <xf numFmtId="164" fontId="1" fillId="3" borderId="40" xfId="2" applyNumberFormat="1" applyFont="1" applyFill="1" applyBorder="1" applyProtection="1"/>
    <xf numFmtId="164" fontId="0" fillId="0" borderId="46" xfId="2" applyNumberFormat="1" applyFont="1" applyFill="1" applyBorder="1" applyAlignment="1" applyProtection="1"/>
    <xf numFmtId="164" fontId="0" fillId="0" borderId="75" xfId="2" applyNumberFormat="1" applyFont="1" applyBorder="1" applyProtection="1"/>
    <xf numFmtId="164" fontId="0" fillId="0" borderId="39" xfId="2" applyNumberFormat="1" applyFont="1" applyBorder="1" applyProtection="1"/>
    <xf numFmtId="164" fontId="0" fillId="0" borderId="46" xfId="2" applyNumberFormat="1" applyFont="1" applyBorder="1" applyProtection="1"/>
    <xf numFmtId="164" fontId="0" fillId="0" borderId="75" xfId="2" applyNumberFormat="1" applyFont="1" applyFill="1" applyBorder="1" applyProtection="1"/>
    <xf numFmtId="164" fontId="0" fillId="0" borderId="46" xfId="2" applyNumberFormat="1" applyFont="1" applyFill="1" applyBorder="1" applyProtection="1"/>
    <xf numFmtId="49" fontId="0" fillId="8" borderId="54" xfId="0" applyNumberFormat="1" applyFont="1" applyFill="1" applyBorder="1" applyAlignment="1" applyProtection="1">
      <alignment vertical="top"/>
    </xf>
    <xf numFmtId="165" fontId="1" fillId="8" borderId="77" xfId="1" applyNumberFormat="1" applyFont="1" applyFill="1" applyBorder="1" applyAlignment="1" applyProtection="1">
      <alignment vertical="top"/>
    </xf>
    <xf numFmtId="165" fontId="1" fillId="8" borderId="64" xfId="1" applyNumberFormat="1" applyFont="1" applyFill="1" applyBorder="1" applyAlignment="1" applyProtection="1">
      <alignment vertical="top"/>
    </xf>
    <xf numFmtId="0" fontId="1" fillId="8" borderId="66" xfId="3" applyFont="1" applyFill="1" applyBorder="1" applyAlignment="1" applyProtection="1"/>
    <xf numFmtId="0" fontId="0" fillId="8" borderId="77" xfId="0" applyFont="1" applyFill="1" applyBorder="1" applyProtection="1"/>
    <xf numFmtId="0" fontId="0" fillId="8" borderId="65" xfId="0" applyFont="1" applyFill="1" applyBorder="1" applyProtection="1"/>
    <xf numFmtId="0" fontId="0" fillId="8" borderId="66" xfId="0" applyFont="1" applyFill="1" applyBorder="1" applyProtection="1"/>
    <xf numFmtId="0" fontId="0" fillId="3" borderId="56" xfId="0" applyFont="1" applyFill="1" applyBorder="1" applyAlignment="1" applyProtection="1">
      <alignment horizontal="left" indent="1"/>
    </xf>
    <xf numFmtId="0" fontId="0" fillId="3" borderId="27" xfId="0" applyFont="1" applyFill="1" applyBorder="1" applyAlignment="1" applyProtection="1">
      <alignment horizontal="left" indent="1"/>
    </xf>
    <xf numFmtId="0" fontId="0" fillId="3" borderId="29" xfId="0" applyFont="1" applyFill="1" applyBorder="1" applyAlignment="1" applyProtection="1">
      <alignment horizontal="left" indent="1"/>
    </xf>
    <xf numFmtId="0" fontId="2" fillId="0" borderId="0" xfId="12" applyFont="1" applyAlignment="1" applyProtection="1"/>
    <xf numFmtId="0" fontId="2" fillId="0" borderId="0" xfId="12" applyFont="1" applyFill="1" applyBorder="1" applyAlignment="1" applyProtection="1">
      <alignment horizontal="left" vertical="top" wrapText="1"/>
    </xf>
    <xf numFmtId="0" fontId="3" fillId="0" borderId="33" xfId="16" applyBorder="1" applyAlignment="1" applyProtection="1">
      <alignment horizontal="right"/>
    </xf>
    <xf numFmtId="0" fontId="3" fillId="0" borderId="39" xfId="16" applyBorder="1" applyAlignment="1" applyProtection="1">
      <alignment horizontal="right"/>
    </xf>
    <xf numFmtId="0" fontId="3" fillId="0" borderId="54" xfId="16" applyBorder="1" applyAlignment="1" applyProtection="1">
      <alignment horizontal="right"/>
    </xf>
  </cellXfs>
  <cellStyles count="160">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alculation 3" xfId="43"/>
    <cellStyle name="Calculation 4" xfId="44"/>
    <cellStyle name="Calculation 5" xfId="45"/>
    <cellStyle name="Calculation 6" xfId="46"/>
    <cellStyle name="Calculation 7" xfId="47"/>
    <cellStyle name="Calculation 8" xfId="48"/>
    <cellStyle name="Calculation 9" xfId="49"/>
    <cellStyle name="Check Cell 2" xfId="50"/>
    <cellStyle name="Comma" xfId="1" builtinId="3"/>
    <cellStyle name="Comma 2" xfId="51"/>
    <cellStyle name="Comma 2 2" xfId="14"/>
    <cellStyle name="Comma 2 2 2" xfId="52"/>
    <cellStyle name="Comma 2 2 3" xfId="53"/>
    <cellStyle name="Comma 2 2 4" xfId="54"/>
    <cellStyle name="Comma 2 2 5" xfId="55"/>
    <cellStyle name="Comma 2 2 6" xfId="56"/>
    <cellStyle name="Comma 2 2 7" xfId="57"/>
    <cellStyle name="Comma 2 2 8" xfId="58"/>
    <cellStyle name="Comma 3" xfId="59"/>
    <cellStyle name="Comma 3 2" xfId="60"/>
    <cellStyle name="Comma 3 3" xfId="61"/>
    <cellStyle name="Comma 3 4" xfId="62"/>
    <cellStyle name="Comma 3 5" xfId="63"/>
    <cellStyle name="Comma 3 6" xfId="64"/>
    <cellStyle name="Comma 3 7" xfId="65"/>
    <cellStyle name="Comma 3 8" xfId="66"/>
    <cellStyle name="Comma 4" xfId="67"/>
    <cellStyle name="Currency" xfId="2" builtinId="4"/>
    <cellStyle name="Currency 2" xfId="68"/>
    <cellStyle name="Currency 2 2" xfId="69"/>
    <cellStyle name="Currency 2 2 2" xfId="70"/>
    <cellStyle name="Currency 2 2 3" xfId="71"/>
    <cellStyle name="Currency 2 2 4" xfId="72"/>
    <cellStyle name="Currency 2 2 5" xfId="73"/>
    <cellStyle name="Currency 2 2 6" xfId="74"/>
    <cellStyle name="Currency 2 2 7" xfId="75"/>
    <cellStyle name="Currency 2 2 8" xfId="76"/>
    <cellStyle name="Currency 3" xfId="9"/>
    <cellStyle name="Currency 3 2" xfId="77"/>
    <cellStyle name="Currency 3 3" xfId="78"/>
    <cellStyle name="Currency 3 4" xfId="79"/>
    <cellStyle name="Currency 3 5" xfId="80"/>
    <cellStyle name="Currency 3 6" xfId="81"/>
    <cellStyle name="Currency 3 7" xfId="82"/>
    <cellStyle name="Currency 3 8" xfId="83"/>
    <cellStyle name="Currency 4" xfId="84"/>
    <cellStyle name="Explanatory Text 2" xfId="85"/>
    <cellStyle name="Good 2" xfId="86"/>
    <cellStyle name="Heading 1 2" xfId="87"/>
    <cellStyle name="Heading 2 2" xfId="88"/>
    <cellStyle name="Heading 3 2" xfId="89"/>
    <cellStyle name="Heading 4 2" xfId="90"/>
    <cellStyle name="Input 2" xfId="91"/>
    <cellStyle name="Input 3" xfId="92"/>
    <cellStyle name="Input 4" xfId="93"/>
    <cellStyle name="Input 5" xfId="94"/>
    <cellStyle name="Input 6" xfId="95"/>
    <cellStyle name="Input 7" xfId="96"/>
    <cellStyle name="Input 8" xfId="97"/>
    <cellStyle name="Input 9" xfId="98"/>
    <cellStyle name="Linked Cell 2" xfId="99"/>
    <cellStyle name="Neutral 2" xfId="100"/>
    <cellStyle name="Normal" xfId="0" builtinId="0"/>
    <cellStyle name="Normal 2" xfId="3"/>
    <cellStyle name="Normal 2 2" xfId="4"/>
    <cellStyle name="Normal 2 3" xfId="5"/>
    <cellStyle name="Normal 2 4" xfId="6"/>
    <cellStyle name="Normal 2 5" xfId="7"/>
    <cellStyle name="Normal 2 6" xfId="8"/>
    <cellStyle name="Normal 2 7" xfId="11"/>
    <cellStyle name="Normal 2 8" xfId="12"/>
    <cellStyle name="Normal 3" xfId="16"/>
    <cellStyle name="Normal 3 2" xfId="101"/>
    <cellStyle name="Normal 3 2 2" xfId="102"/>
    <cellStyle name="Normal 3 2 3" xfId="103"/>
    <cellStyle name="Normal 3 2 4" xfId="104"/>
    <cellStyle name="Normal 3 2 5" xfId="105"/>
    <cellStyle name="Normal 3 2 6" xfId="106"/>
    <cellStyle name="Normal 3 2 7" xfId="107"/>
    <cellStyle name="Normal 3 2 8" xfId="108"/>
    <cellStyle name="Normal 3 3" xfId="109"/>
    <cellStyle name="Normal 3 4" xfId="110"/>
    <cellStyle name="Normal 3 5" xfId="111"/>
    <cellStyle name="Normal 3 6" xfId="112"/>
    <cellStyle name="Normal 3 7" xfId="113"/>
    <cellStyle name="Normal 3 8" xfId="114"/>
    <cellStyle name="Normal 3 9" xfId="115"/>
    <cellStyle name="Normal 4" xfId="116"/>
    <cellStyle name="Normal 5" xfId="117"/>
    <cellStyle name="Normal_Tables" xfId="13"/>
    <cellStyle name="Note 2" xfId="118"/>
    <cellStyle name="Note 3" xfId="119"/>
    <cellStyle name="Note 4" xfId="120"/>
    <cellStyle name="Note 5" xfId="121"/>
    <cellStyle name="Note 6" xfId="122"/>
    <cellStyle name="Note 7" xfId="123"/>
    <cellStyle name="Note 8" xfId="124"/>
    <cellStyle name="Note 9" xfId="125"/>
    <cellStyle name="Output 2" xfId="126"/>
    <cellStyle name="Output 3" xfId="127"/>
    <cellStyle name="Output 4" xfId="128"/>
    <cellStyle name="Output 5" xfId="129"/>
    <cellStyle name="Output 6" xfId="130"/>
    <cellStyle name="Output 7" xfId="131"/>
    <cellStyle name="Output 8" xfId="132"/>
    <cellStyle name="Output 9" xfId="133"/>
    <cellStyle name="Percent 2" xfId="134"/>
    <cellStyle name="Percent 2 2" xfId="15"/>
    <cellStyle name="Percent 2 2 2" xfId="135"/>
    <cellStyle name="Percent 2 2 3" xfId="136"/>
    <cellStyle name="Percent 2 2 4" xfId="137"/>
    <cellStyle name="Percent 2 2 5" xfId="138"/>
    <cellStyle name="Percent 2 2 6" xfId="139"/>
    <cellStyle name="Percent 2 2 7" xfId="140"/>
    <cellStyle name="Percent 2 2 8" xfId="141"/>
    <cellStyle name="Percent 3" xfId="10"/>
    <cellStyle name="Percent 3 2" xfId="142"/>
    <cellStyle name="Percent 3 3" xfId="143"/>
    <cellStyle name="Percent 3 4" xfId="144"/>
    <cellStyle name="Percent 3 5" xfId="145"/>
    <cellStyle name="Percent 3 6" xfId="146"/>
    <cellStyle name="Percent 3 7" xfId="147"/>
    <cellStyle name="Percent 3 8" xfId="148"/>
    <cellStyle name="Percent 4" xfId="149"/>
    <cellStyle name="Title 2" xfId="150"/>
    <cellStyle name="Total 2" xfId="151"/>
    <cellStyle name="Total 3" xfId="152"/>
    <cellStyle name="Total 4" xfId="153"/>
    <cellStyle name="Total 5" xfId="154"/>
    <cellStyle name="Total 6" xfId="155"/>
    <cellStyle name="Total 7" xfId="156"/>
    <cellStyle name="Total 8" xfId="157"/>
    <cellStyle name="Total 9" xfId="158"/>
    <cellStyle name="Warning Text 2" xfId="159"/>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Grand_Tot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and 2"/>
      <sheetName val="Pt 3"/>
      <sheetName val="Pt 4 Allocation"/>
      <sheetName val="Pt 5 Rebate Calculation"/>
      <sheetName val="Pt 6 Rebate Report"/>
      <sheetName val="Attestation"/>
      <sheetName val="Tables"/>
      <sheetName val="Splash_Screen"/>
    </sheetNames>
    <definedNames>
      <definedName name="ValidateAndFinalize"/>
    </defined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4"/>
    <pageSetUpPr fitToPage="1"/>
  </sheetPr>
  <dimension ref="A1:AP160"/>
  <sheetViews>
    <sheetView tabSelected="1" zoomScale="85" zoomScaleNormal="85" workbookViewId="0">
      <pane xSplit="5" topLeftCell="H1" activePane="topRight" state="frozen"/>
      <selection pane="topRight" activeCell="F1" sqref="F1"/>
    </sheetView>
  </sheetViews>
  <sheetFormatPr defaultRowHeight="12.75" x14ac:dyDescent="0.2"/>
  <cols>
    <col min="1" max="1" width="3.140625" style="29" customWidth="1"/>
    <col min="2" max="2" width="3.5703125" style="29" customWidth="1"/>
    <col min="3" max="3" width="5.42578125" style="29" customWidth="1"/>
    <col min="4" max="4" width="79" style="29" customWidth="1"/>
    <col min="5" max="5" width="18" style="29" customWidth="1"/>
    <col min="6" max="6" width="19.5703125" style="29" customWidth="1"/>
    <col min="7" max="41" width="19.42578125" style="29" customWidth="1"/>
    <col min="42" max="16384" width="9.140625" style="29"/>
  </cols>
  <sheetData>
    <row r="1" spans="1:41" x14ac:dyDescent="0.2">
      <c r="B1" s="28" t="s">
        <v>0</v>
      </c>
    </row>
    <row r="2" spans="1:41" ht="15" x14ac:dyDescent="0.25">
      <c r="B2" s="28" t="s">
        <v>1</v>
      </c>
      <c r="E2" s="142"/>
      <c r="O2" s="143"/>
      <c r="U2" s="28"/>
      <c r="W2" s="28"/>
    </row>
    <row r="3" spans="1:41" x14ac:dyDescent="0.2">
      <c r="A3" s="144" t="s">
        <v>2</v>
      </c>
      <c r="B3" s="28" t="s">
        <v>3</v>
      </c>
      <c r="U3" s="28"/>
      <c r="W3" s="28"/>
    </row>
    <row r="4" spans="1:41" x14ac:dyDescent="0.2">
      <c r="A4" s="144" t="s">
        <v>4</v>
      </c>
      <c r="U4" s="28"/>
      <c r="W4" s="28"/>
    </row>
    <row r="5" spans="1:41" s="8" customFormat="1" x14ac:dyDescent="0.2">
      <c r="B5" s="35" t="s">
        <v>5</v>
      </c>
      <c r="E5" s="35"/>
      <c r="F5" s="29" t="s">
        <v>6</v>
      </c>
      <c r="G5" s="29"/>
      <c r="H5" s="28"/>
      <c r="I5" s="29"/>
      <c r="J5" s="28"/>
      <c r="K5" s="29"/>
      <c r="M5" s="29"/>
      <c r="P5" s="29"/>
      <c r="Q5" s="29"/>
      <c r="R5" s="29"/>
    </row>
    <row r="6" spans="1:41" s="8" customFormat="1" x14ac:dyDescent="0.2">
      <c r="B6" s="145"/>
      <c r="C6" s="145"/>
      <c r="D6" s="1" t="s">
        <v>7</v>
      </c>
      <c r="F6" s="2" t="s">
        <v>8</v>
      </c>
      <c r="G6" s="146"/>
      <c r="H6" s="31"/>
      <c r="I6" s="147"/>
      <c r="J6" s="147"/>
      <c r="K6" s="29"/>
      <c r="L6" s="80"/>
      <c r="M6" s="80"/>
      <c r="N6" s="3"/>
    </row>
    <row r="7" spans="1:41" s="8" customFormat="1" x14ac:dyDescent="0.2">
      <c r="B7" s="35" t="s">
        <v>9</v>
      </c>
      <c r="F7" s="29" t="s">
        <v>10</v>
      </c>
      <c r="G7" s="29"/>
      <c r="H7" s="32"/>
      <c r="I7" s="29" t="s">
        <v>11</v>
      </c>
      <c r="J7" s="29"/>
      <c r="K7" s="29"/>
      <c r="L7" s="32" t="s">
        <v>12</v>
      </c>
      <c r="M7" s="32"/>
    </row>
    <row r="8" spans="1:41" s="8" customFormat="1" x14ac:dyDescent="0.2">
      <c r="B8" s="4" t="s">
        <v>13</v>
      </c>
      <c r="C8" s="145"/>
      <c r="D8" s="1" t="s">
        <v>14</v>
      </c>
      <c r="F8" s="2" t="s">
        <v>15</v>
      </c>
      <c r="G8" s="146"/>
      <c r="H8" s="32"/>
      <c r="I8" s="2"/>
      <c r="J8" s="146"/>
      <c r="K8" s="29"/>
      <c r="L8" s="148" t="s">
        <v>16</v>
      </c>
      <c r="M8" s="149"/>
      <c r="P8" s="29"/>
      <c r="Q8" s="29"/>
      <c r="R8" s="29"/>
    </row>
    <row r="9" spans="1:41" s="8" customFormat="1" x14ac:dyDescent="0.2">
      <c r="B9" s="8" t="s">
        <v>17</v>
      </c>
      <c r="D9" s="43"/>
      <c r="F9" s="37" t="s">
        <v>18</v>
      </c>
      <c r="G9" s="37"/>
      <c r="H9" s="145"/>
      <c r="I9" s="8" t="s">
        <v>19</v>
      </c>
      <c r="J9" s="29"/>
      <c r="L9" s="8" t="s">
        <v>20</v>
      </c>
      <c r="N9" s="150"/>
      <c r="O9" s="150"/>
      <c r="P9" s="29"/>
      <c r="Q9" s="29"/>
      <c r="R9" s="29"/>
    </row>
    <row r="10" spans="1:41" s="8" customFormat="1" x14ac:dyDescent="0.2">
      <c r="D10" s="5" t="s">
        <v>14</v>
      </c>
      <c r="F10" s="2" t="s">
        <v>21</v>
      </c>
      <c r="G10" s="146"/>
      <c r="H10" s="39"/>
      <c r="I10" s="6" t="s">
        <v>22</v>
      </c>
      <c r="J10" s="151"/>
      <c r="L10" s="7" t="s">
        <v>16</v>
      </c>
      <c r="M10" s="152"/>
      <c r="N10" s="150"/>
      <c r="P10" s="29"/>
      <c r="Q10" s="29"/>
      <c r="R10" s="29"/>
    </row>
    <row r="11" spans="1:41" s="8" customFormat="1" x14ac:dyDescent="0.2">
      <c r="B11" s="8" t="s">
        <v>23</v>
      </c>
      <c r="D11" s="43"/>
      <c r="F11" s="37" t="s">
        <v>24</v>
      </c>
      <c r="G11" s="37"/>
      <c r="H11" s="39"/>
      <c r="I11" s="8" t="s">
        <v>25</v>
      </c>
      <c r="J11" s="37"/>
      <c r="L11" s="41" t="s">
        <v>26</v>
      </c>
      <c r="M11" s="29"/>
      <c r="N11" s="150"/>
      <c r="O11" s="9"/>
      <c r="P11" s="29"/>
      <c r="Q11" s="29"/>
      <c r="R11" s="29"/>
    </row>
    <row r="12" spans="1:41" s="8" customFormat="1" x14ac:dyDescent="0.2">
      <c r="D12" s="10" t="s">
        <v>27</v>
      </c>
      <c r="F12" s="2" t="s">
        <v>28</v>
      </c>
      <c r="G12" s="146"/>
      <c r="H12" s="39"/>
      <c r="I12" s="6" t="s">
        <v>29</v>
      </c>
      <c r="J12" s="151"/>
      <c r="L12" s="11" t="s">
        <v>30</v>
      </c>
      <c r="M12" s="153"/>
      <c r="N12" s="150"/>
      <c r="O12" s="150"/>
      <c r="P12" s="29"/>
      <c r="Q12" s="29"/>
      <c r="R12" s="29"/>
    </row>
    <row r="13" spans="1:41" s="8" customFormat="1" x14ac:dyDescent="0.2">
      <c r="B13" s="29"/>
      <c r="C13" s="29"/>
      <c r="D13" s="32"/>
      <c r="K13" s="59"/>
      <c r="L13" s="59"/>
      <c r="M13" s="41"/>
      <c r="P13" s="29"/>
      <c r="Q13" s="29"/>
      <c r="R13" s="29"/>
    </row>
    <row r="14" spans="1:41" s="8" customFormat="1" ht="13.5" thickBot="1" x14ac:dyDescent="0.25">
      <c r="B14" s="29"/>
      <c r="C14" s="29"/>
      <c r="D14" s="32"/>
      <c r="K14" s="59"/>
      <c r="L14" s="59"/>
      <c r="M14" s="41"/>
      <c r="P14" s="29"/>
      <c r="Q14" s="29"/>
      <c r="R14" s="29"/>
      <c r="Z14" s="29"/>
      <c r="AA14" s="29"/>
      <c r="AB14" s="29"/>
      <c r="AC14" s="29"/>
      <c r="AD14" s="29"/>
      <c r="AE14" s="29"/>
      <c r="AF14" s="29"/>
      <c r="AG14" s="29"/>
      <c r="AH14" s="29"/>
      <c r="AI14" s="29"/>
      <c r="AJ14" s="29"/>
    </row>
    <row r="15" spans="1:41" ht="13.5" thickBot="1" x14ac:dyDescent="0.25">
      <c r="D15" s="32"/>
      <c r="F15" s="154" t="s">
        <v>31</v>
      </c>
      <c r="G15" s="155"/>
      <c r="H15" s="155"/>
      <c r="I15" s="155"/>
      <c r="J15" s="155"/>
      <c r="K15" s="155"/>
      <c r="L15" s="155"/>
      <c r="M15" s="155"/>
      <c r="N15" s="155"/>
      <c r="O15" s="155"/>
      <c r="P15" s="155"/>
      <c r="Q15" s="155"/>
      <c r="R15" s="155"/>
      <c r="S15" s="155"/>
      <c r="T15" s="156"/>
      <c r="U15" s="154" t="s">
        <v>32</v>
      </c>
      <c r="V15" s="155"/>
      <c r="W15" s="155"/>
      <c r="X15" s="155"/>
      <c r="Y15" s="155"/>
      <c r="Z15" s="156"/>
      <c r="AA15" s="154" t="s">
        <v>33</v>
      </c>
      <c r="AB15" s="155"/>
      <c r="AC15" s="155"/>
      <c r="AD15" s="155"/>
      <c r="AE15" s="155"/>
      <c r="AF15" s="155"/>
      <c r="AG15" s="155"/>
      <c r="AH15" s="155"/>
      <c r="AI15" s="155"/>
      <c r="AJ15" s="156"/>
      <c r="AK15" s="157" t="s">
        <v>34</v>
      </c>
      <c r="AL15" s="157" t="s">
        <v>35</v>
      </c>
      <c r="AM15" s="158" t="s">
        <v>36</v>
      </c>
      <c r="AN15" s="158" t="s">
        <v>37</v>
      </c>
      <c r="AO15" s="159" t="s">
        <v>38</v>
      </c>
    </row>
    <row r="16" spans="1:41" ht="13.5" thickBot="1" x14ac:dyDescent="0.25">
      <c r="D16" s="160"/>
      <c r="F16" s="161" t="s">
        <v>39</v>
      </c>
      <c r="G16" s="162"/>
      <c r="H16" s="162"/>
      <c r="I16" s="162"/>
      <c r="J16" s="163"/>
      <c r="K16" s="161" t="s">
        <v>40</v>
      </c>
      <c r="L16" s="162"/>
      <c r="M16" s="162"/>
      <c r="N16" s="162"/>
      <c r="O16" s="163"/>
      <c r="P16" s="161" t="s">
        <v>41</v>
      </c>
      <c r="Q16" s="162"/>
      <c r="R16" s="162"/>
      <c r="S16" s="162"/>
      <c r="T16" s="163"/>
      <c r="U16" s="161" t="s">
        <v>39</v>
      </c>
      <c r="V16" s="163"/>
      <c r="W16" s="161" t="s">
        <v>40</v>
      </c>
      <c r="X16" s="163"/>
      <c r="Y16" s="161" t="s">
        <v>41</v>
      </c>
      <c r="Z16" s="163"/>
      <c r="AA16" s="161" t="s">
        <v>40</v>
      </c>
      <c r="AB16" s="162"/>
      <c r="AC16" s="162"/>
      <c r="AD16" s="162"/>
      <c r="AE16" s="163"/>
      <c r="AF16" s="161" t="s">
        <v>41</v>
      </c>
      <c r="AG16" s="162"/>
      <c r="AH16" s="162"/>
      <c r="AI16" s="162"/>
      <c r="AJ16" s="162"/>
      <c r="AK16" s="164"/>
      <c r="AL16" s="164"/>
      <c r="AM16" s="165"/>
      <c r="AN16" s="165"/>
      <c r="AO16" s="166"/>
    </row>
    <row r="17" spans="2:42" ht="26.25" thickBot="1" x14ac:dyDescent="0.25">
      <c r="B17" s="167" t="s">
        <v>42</v>
      </c>
      <c r="C17" s="168"/>
      <c r="D17" s="169"/>
      <c r="E17" s="170" t="s">
        <v>43</v>
      </c>
      <c r="F17" s="171" t="s">
        <v>44</v>
      </c>
      <c r="G17" s="172" t="s">
        <v>45</v>
      </c>
      <c r="H17" s="173" t="s">
        <v>46</v>
      </c>
      <c r="I17" s="173" t="s">
        <v>47</v>
      </c>
      <c r="J17" s="174" t="s">
        <v>48</v>
      </c>
      <c r="K17" s="175" t="s">
        <v>44</v>
      </c>
      <c r="L17" s="172" t="s">
        <v>45</v>
      </c>
      <c r="M17" s="173" t="s">
        <v>46</v>
      </c>
      <c r="N17" s="173" t="s">
        <v>47</v>
      </c>
      <c r="O17" s="174" t="s">
        <v>48</v>
      </c>
      <c r="P17" s="175" t="s">
        <v>44</v>
      </c>
      <c r="Q17" s="172" t="s">
        <v>45</v>
      </c>
      <c r="R17" s="173" t="s">
        <v>46</v>
      </c>
      <c r="S17" s="173" t="s">
        <v>47</v>
      </c>
      <c r="T17" s="174" t="s">
        <v>48</v>
      </c>
      <c r="U17" s="175" t="s">
        <v>44</v>
      </c>
      <c r="V17" s="174" t="s">
        <v>48</v>
      </c>
      <c r="W17" s="175" t="s">
        <v>44</v>
      </c>
      <c r="X17" s="174" t="s">
        <v>48</v>
      </c>
      <c r="Y17" s="175" t="s">
        <v>44</v>
      </c>
      <c r="Z17" s="174" t="s">
        <v>48</v>
      </c>
      <c r="AA17" s="175" t="s">
        <v>44</v>
      </c>
      <c r="AB17" s="172" t="s">
        <v>45</v>
      </c>
      <c r="AC17" s="173" t="s">
        <v>46</v>
      </c>
      <c r="AD17" s="173" t="s">
        <v>47</v>
      </c>
      <c r="AE17" s="174" t="s">
        <v>48</v>
      </c>
      <c r="AF17" s="175" t="s">
        <v>44</v>
      </c>
      <c r="AG17" s="172" t="s">
        <v>45</v>
      </c>
      <c r="AH17" s="173" t="s">
        <v>46</v>
      </c>
      <c r="AI17" s="173" t="s">
        <v>47</v>
      </c>
      <c r="AJ17" s="176" t="s">
        <v>48</v>
      </c>
      <c r="AK17" s="177" t="s">
        <v>44</v>
      </c>
      <c r="AL17" s="171" t="s">
        <v>44</v>
      </c>
      <c r="AM17" s="171" t="s">
        <v>44</v>
      </c>
      <c r="AN17" s="174" t="s">
        <v>44</v>
      </c>
      <c r="AO17" s="178"/>
    </row>
    <row r="18" spans="2:42" x14ac:dyDescent="0.2">
      <c r="B18" s="179"/>
      <c r="C18" s="180"/>
      <c r="D18" s="181"/>
      <c r="E18" s="182"/>
      <c r="F18" s="183">
        <v>1</v>
      </c>
      <c r="G18" s="184">
        <v>2</v>
      </c>
      <c r="H18" s="185">
        <v>3</v>
      </c>
      <c r="I18" s="185">
        <v>4</v>
      </c>
      <c r="J18" s="186">
        <v>5</v>
      </c>
      <c r="K18" s="183">
        <v>6</v>
      </c>
      <c r="L18" s="184">
        <v>7</v>
      </c>
      <c r="M18" s="185">
        <v>8</v>
      </c>
      <c r="N18" s="185">
        <v>9</v>
      </c>
      <c r="O18" s="186">
        <v>10</v>
      </c>
      <c r="P18" s="183">
        <v>11</v>
      </c>
      <c r="Q18" s="184">
        <v>12</v>
      </c>
      <c r="R18" s="185">
        <v>13</v>
      </c>
      <c r="S18" s="185">
        <v>14</v>
      </c>
      <c r="T18" s="186">
        <v>15</v>
      </c>
      <c r="U18" s="183">
        <v>16</v>
      </c>
      <c r="V18" s="186">
        <v>17</v>
      </c>
      <c r="W18" s="183">
        <v>18</v>
      </c>
      <c r="X18" s="186">
        <v>19</v>
      </c>
      <c r="Y18" s="183">
        <v>20</v>
      </c>
      <c r="Z18" s="186">
        <v>21</v>
      </c>
      <c r="AA18" s="183">
        <v>22</v>
      </c>
      <c r="AB18" s="184">
        <v>23</v>
      </c>
      <c r="AC18" s="185">
        <v>24</v>
      </c>
      <c r="AD18" s="185">
        <v>25</v>
      </c>
      <c r="AE18" s="186">
        <v>26</v>
      </c>
      <c r="AF18" s="183">
        <v>27</v>
      </c>
      <c r="AG18" s="184">
        <v>28</v>
      </c>
      <c r="AH18" s="185">
        <v>29</v>
      </c>
      <c r="AI18" s="185">
        <v>30</v>
      </c>
      <c r="AJ18" s="187">
        <v>31</v>
      </c>
      <c r="AK18" s="188">
        <v>32</v>
      </c>
      <c r="AL18" s="189">
        <v>33</v>
      </c>
      <c r="AM18" s="189">
        <v>34</v>
      </c>
      <c r="AN18" s="190">
        <v>35</v>
      </c>
      <c r="AO18" s="191">
        <v>36</v>
      </c>
    </row>
    <row r="19" spans="2:42" x14ac:dyDescent="0.2">
      <c r="B19" s="192" t="s">
        <v>49</v>
      </c>
      <c r="C19" s="193" t="s">
        <v>50</v>
      </c>
      <c r="D19" s="194"/>
      <c r="E19" s="195"/>
      <c r="F19" s="196"/>
      <c r="G19" s="197"/>
      <c r="H19" s="198"/>
      <c r="I19" s="198"/>
      <c r="J19" s="199"/>
      <c r="K19" s="196"/>
      <c r="L19" s="197"/>
      <c r="M19" s="198"/>
      <c r="N19" s="198"/>
      <c r="O19" s="199"/>
      <c r="P19" s="196"/>
      <c r="Q19" s="197"/>
      <c r="R19" s="198"/>
      <c r="S19" s="198"/>
      <c r="T19" s="199"/>
      <c r="U19" s="196"/>
      <c r="V19" s="199"/>
      <c r="W19" s="196"/>
      <c r="X19" s="199"/>
      <c r="Y19" s="196"/>
      <c r="Z19" s="199"/>
      <c r="AA19" s="196"/>
      <c r="AB19" s="197"/>
      <c r="AC19" s="198"/>
      <c r="AD19" s="198"/>
      <c r="AE19" s="199"/>
      <c r="AF19" s="196"/>
      <c r="AG19" s="197"/>
      <c r="AH19" s="198"/>
      <c r="AI19" s="198"/>
      <c r="AJ19" s="200"/>
      <c r="AK19" s="201"/>
      <c r="AL19" s="202"/>
      <c r="AM19" s="202"/>
      <c r="AN19" s="203"/>
      <c r="AO19" s="204"/>
    </row>
    <row r="20" spans="2:42" x14ac:dyDescent="0.2">
      <c r="B20" s="205"/>
      <c r="C20" s="206">
        <v>1.1000000000000001</v>
      </c>
      <c r="D20" s="207" t="str">
        <f>"Total direct premium earned (from Part 2, Line "&amp;$C$120&amp;" respectively)"</f>
        <v>Total direct premium earned (from Part 2, Line 1.11 respectively)</v>
      </c>
      <c r="E20" s="208" t="s">
        <v>51</v>
      </c>
      <c r="F20" s="209">
        <f>F$120</f>
        <v>121881131.3</v>
      </c>
      <c r="G20" s="210">
        <f>G$120</f>
        <v>121881131.3</v>
      </c>
      <c r="H20" s="210">
        <f>H$120</f>
        <v>0</v>
      </c>
      <c r="I20" s="210">
        <f>I$120</f>
        <v>0</v>
      </c>
      <c r="J20" s="18">
        <f>G20+H20-I20</f>
        <v>121881131.3</v>
      </c>
      <c r="K20" s="209">
        <f>K$120</f>
        <v>6205001412.4699993</v>
      </c>
      <c r="L20" s="15">
        <f>L$120</f>
        <v>6205001412.4699993</v>
      </c>
      <c r="M20" s="210">
        <f>M$120</f>
        <v>0</v>
      </c>
      <c r="N20" s="210">
        <f>N$120</f>
        <v>0</v>
      </c>
      <c r="O20" s="18">
        <f>L20+M20-N20</f>
        <v>6205001412.4699993</v>
      </c>
      <c r="P20" s="209">
        <f>P$120</f>
        <v>9802566112.75</v>
      </c>
      <c r="Q20" s="15">
        <f>Q$120</f>
        <v>9802566112.75</v>
      </c>
      <c r="R20" s="210">
        <f>R$120</f>
        <v>0</v>
      </c>
      <c r="S20" s="210">
        <f>S$120</f>
        <v>0</v>
      </c>
      <c r="T20" s="18">
        <f>Q20+R20-S20</f>
        <v>9802566112.75</v>
      </c>
      <c r="U20" s="209">
        <f t="shared" ref="U20:AD20" si="0">U$120</f>
        <v>3629.19</v>
      </c>
      <c r="V20" s="18">
        <f t="shared" si="0"/>
        <v>3629.19</v>
      </c>
      <c r="W20" s="209">
        <f t="shared" si="0"/>
        <v>0</v>
      </c>
      <c r="X20" s="18">
        <f t="shared" si="0"/>
        <v>0</v>
      </c>
      <c r="Y20" s="209">
        <f t="shared" si="0"/>
        <v>0</v>
      </c>
      <c r="Z20" s="18">
        <f t="shared" si="0"/>
        <v>0</v>
      </c>
      <c r="AA20" s="209">
        <f t="shared" si="0"/>
        <v>0</v>
      </c>
      <c r="AB20" s="15">
        <f t="shared" si="0"/>
        <v>0</v>
      </c>
      <c r="AC20" s="210">
        <f t="shared" si="0"/>
        <v>0</v>
      </c>
      <c r="AD20" s="210">
        <f t="shared" si="0"/>
        <v>0</v>
      </c>
      <c r="AE20" s="18">
        <f>AB20+AC20-AD20</f>
        <v>0</v>
      </c>
      <c r="AF20" s="209">
        <f>AF$120</f>
        <v>207308.56</v>
      </c>
      <c r="AG20" s="15">
        <f>AG$120</f>
        <v>207308.56</v>
      </c>
      <c r="AH20" s="210">
        <f>AH$120</f>
        <v>0</v>
      </c>
      <c r="AI20" s="210">
        <f>AI$120</f>
        <v>0</v>
      </c>
      <c r="AJ20" s="19">
        <f>AG20+AH20-AI20</f>
        <v>207308.56</v>
      </c>
      <c r="AK20" s="211">
        <f>AK$120</f>
        <v>12685735954.4</v>
      </c>
      <c r="AL20" s="212">
        <f>AL$120</f>
        <v>8538287435.6300001</v>
      </c>
      <c r="AM20" s="212">
        <f>AM$120</f>
        <v>0</v>
      </c>
      <c r="AN20" s="213" t="s">
        <v>52</v>
      </c>
      <c r="AO20" s="23">
        <f>SUM($F20,$K20,$P20,$U20,$W20,$Y20,$AA20,$AF20,$AK20,$AL20,$AM20,$AN20)</f>
        <v>37353682984.299995</v>
      </c>
    </row>
    <row r="21" spans="2:42" x14ac:dyDescent="0.2">
      <c r="B21" s="205"/>
      <c r="C21" s="206">
        <v>1.2</v>
      </c>
      <c r="D21" s="207" t="s">
        <v>53</v>
      </c>
      <c r="E21" s="208" t="s">
        <v>54</v>
      </c>
      <c r="F21" s="214">
        <v>0</v>
      </c>
      <c r="G21" s="15">
        <f>F21</f>
        <v>0</v>
      </c>
      <c r="H21" s="12"/>
      <c r="I21" s="215">
        <v>0</v>
      </c>
      <c r="J21" s="18">
        <f>G21+H21-I21</f>
        <v>0</v>
      </c>
      <c r="K21" s="214">
        <v>0</v>
      </c>
      <c r="L21" s="15">
        <f>K21</f>
        <v>0</v>
      </c>
      <c r="M21" s="13"/>
      <c r="N21" s="216">
        <v>0</v>
      </c>
      <c r="O21" s="18">
        <f>L21+M21-N21</f>
        <v>0</v>
      </c>
      <c r="P21" s="214">
        <v>0</v>
      </c>
      <c r="Q21" s="15">
        <f>P21</f>
        <v>0</v>
      </c>
      <c r="R21" s="13"/>
      <c r="S21" s="216">
        <v>0</v>
      </c>
      <c r="T21" s="18">
        <f>Q21+R21-S21</f>
        <v>0</v>
      </c>
      <c r="U21" s="214">
        <v>0</v>
      </c>
      <c r="V21" s="18">
        <f>U21</f>
        <v>0</v>
      </c>
      <c r="W21" s="214">
        <v>0</v>
      </c>
      <c r="X21" s="18">
        <f>W21</f>
        <v>0</v>
      </c>
      <c r="Y21" s="214">
        <v>0</v>
      </c>
      <c r="Z21" s="18">
        <f>Y21</f>
        <v>0</v>
      </c>
      <c r="AA21" s="214">
        <v>0</v>
      </c>
      <c r="AB21" s="15">
        <f>AA21</f>
        <v>0</v>
      </c>
      <c r="AC21" s="13"/>
      <c r="AD21" s="216">
        <v>0</v>
      </c>
      <c r="AE21" s="18">
        <f>AB21+AC21-AD21</f>
        <v>0</v>
      </c>
      <c r="AF21" s="214">
        <v>0</v>
      </c>
      <c r="AG21" s="15">
        <f>AF21</f>
        <v>0</v>
      </c>
      <c r="AH21" s="13"/>
      <c r="AI21" s="216">
        <v>0</v>
      </c>
      <c r="AJ21" s="19">
        <f>AG21+AH21-AI21</f>
        <v>0</v>
      </c>
      <c r="AK21" s="217">
        <v>0</v>
      </c>
      <c r="AL21" s="218">
        <v>0</v>
      </c>
      <c r="AM21" s="218">
        <v>0</v>
      </c>
      <c r="AN21" s="213" t="s">
        <v>52</v>
      </c>
      <c r="AO21" s="23">
        <f t="shared" ref="AO21:AO27" si="1">SUM($F21,$K21,$P21,$U21,$W21,$Y21,$AA21,$AF21,$AK21,$AL21,$AM21,$AN21)</f>
        <v>0</v>
      </c>
    </row>
    <row r="22" spans="2:42" x14ac:dyDescent="0.2">
      <c r="B22" s="205"/>
      <c r="C22" s="206">
        <v>1.3</v>
      </c>
      <c r="D22" s="207" t="s">
        <v>55</v>
      </c>
      <c r="E22" s="208" t="s">
        <v>56</v>
      </c>
      <c r="F22" s="214">
        <v>-176142.01</v>
      </c>
      <c r="G22" s="15">
        <f>F22</f>
        <v>-176142.01</v>
      </c>
      <c r="H22" s="13"/>
      <c r="I22" s="216">
        <v>0</v>
      </c>
      <c r="J22" s="18">
        <f>G22+H22-I22</f>
        <v>-176142.01</v>
      </c>
      <c r="K22" s="214">
        <v>-14432887.5</v>
      </c>
      <c r="L22" s="15">
        <f>K22</f>
        <v>-14432887.5</v>
      </c>
      <c r="M22" s="13"/>
      <c r="N22" s="216">
        <v>0</v>
      </c>
      <c r="O22" s="18">
        <f>L22+M22-N22</f>
        <v>-14432887.5</v>
      </c>
      <c r="P22" s="214">
        <v>-31621393.670000002</v>
      </c>
      <c r="Q22" s="15">
        <f>P22</f>
        <v>-31621393.670000002</v>
      </c>
      <c r="R22" s="13"/>
      <c r="S22" s="216">
        <v>0</v>
      </c>
      <c r="T22" s="18">
        <f>Q22+R22-S22</f>
        <v>-31621393.670000002</v>
      </c>
      <c r="U22" s="214">
        <v>0</v>
      </c>
      <c r="V22" s="18">
        <f>U22</f>
        <v>0</v>
      </c>
      <c r="W22" s="214">
        <v>0</v>
      </c>
      <c r="X22" s="18">
        <f>W22</f>
        <v>0</v>
      </c>
      <c r="Y22" s="214">
        <v>0</v>
      </c>
      <c r="Z22" s="18">
        <f>Y22</f>
        <v>0</v>
      </c>
      <c r="AA22" s="214">
        <v>0</v>
      </c>
      <c r="AB22" s="15">
        <f>AA22</f>
        <v>0</v>
      </c>
      <c r="AC22" s="13"/>
      <c r="AD22" s="216">
        <v>0</v>
      </c>
      <c r="AE22" s="18">
        <f>AB22+AC22-AD22</f>
        <v>0</v>
      </c>
      <c r="AF22" s="214">
        <v>0</v>
      </c>
      <c r="AG22" s="15">
        <f>AF22</f>
        <v>0</v>
      </c>
      <c r="AH22" s="13"/>
      <c r="AI22" s="216">
        <v>0</v>
      </c>
      <c r="AJ22" s="19">
        <f>AG22+AH22-AI22</f>
        <v>0</v>
      </c>
      <c r="AK22" s="217">
        <v>-1374.43</v>
      </c>
      <c r="AL22" s="218">
        <v>-7001766.8300000001</v>
      </c>
      <c r="AM22" s="218">
        <v>0</v>
      </c>
      <c r="AN22" s="213" t="s">
        <v>52</v>
      </c>
      <c r="AO22" s="23">
        <f t="shared" si="1"/>
        <v>-53233564.439999998</v>
      </c>
    </row>
    <row r="23" spans="2:42" x14ac:dyDescent="0.2">
      <c r="B23" s="205"/>
      <c r="C23" s="206">
        <v>1.4</v>
      </c>
      <c r="D23" s="219" t="str">
        <f>"Premium earned including federal and state high risk programs (Lines "&amp;$C$108&amp;" + "&amp;$C$109&amp;" + "&amp;$C$110&amp;")"</f>
        <v>Premium earned including federal and state high risk programs (Lines 1.1 + 1.2 + 1.3)</v>
      </c>
      <c r="E23" s="208" t="s">
        <v>57</v>
      </c>
      <c r="F23" s="209">
        <f t="shared" ref="F23:AM23" si="2">SUM(F20:F22)</f>
        <v>121704989.28999999</v>
      </c>
      <c r="G23" s="15">
        <f t="shared" si="2"/>
        <v>121704989.28999999</v>
      </c>
      <c r="H23" s="210">
        <f t="shared" si="2"/>
        <v>0</v>
      </c>
      <c r="I23" s="210">
        <f t="shared" si="2"/>
        <v>0</v>
      </c>
      <c r="J23" s="18">
        <f t="shared" si="2"/>
        <v>121704989.28999999</v>
      </c>
      <c r="K23" s="209">
        <f t="shared" si="2"/>
        <v>6190568524.9699993</v>
      </c>
      <c r="L23" s="15">
        <f t="shared" si="2"/>
        <v>6190568524.9699993</v>
      </c>
      <c r="M23" s="210">
        <f t="shared" si="2"/>
        <v>0</v>
      </c>
      <c r="N23" s="210">
        <f t="shared" si="2"/>
        <v>0</v>
      </c>
      <c r="O23" s="18">
        <f t="shared" si="2"/>
        <v>6190568524.9699993</v>
      </c>
      <c r="P23" s="209">
        <f t="shared" si="2"/>
        <v>9770944719.0799999</v>
      </c>
      <c r="Q23" s="15">
        <f t="shared" si="2"/>
        <v>9770944719.0799999</v>
      </c>
      <c r="R23" s="210">
        <f t="shared" si="2"/>
        <v>0</v>
      </c>
      <c r="S23" s="210">
        <f t="shared" si="2"/>
        <v>0</v>
      </c>
      <c r="T23" s="18">
        <f t="shared" si="2"/>
        <v>9770944719.0799999</v>
      </c>
      <c r="U23" s="209">
        <f t="shared" si="2"/>
        <v>3629.19</v>
      </c>
      <c r="V23" s="18">
        <f t="shared" si="2"/>
        <v>3629.19</v>
      </c>
      <c r="W23" s="209">
        <f t="shared" si="2"/>
        <v>0</v>
      </c>
      <c r="X23" s="18">
        <f t="shared" si="2"/>
        <v>0</v>
      </c>
      <c r="Y23" s="209">
        <f t="shared" si="2"/>
        <v>0</v>
      </c>
      <c r="Z23" s="18">
        <f t="shared" si="2"/>
        <v>0</v>
      </c>
      <c r="AA23" s="209">
        <f t="shared" si="2"/>
        <v>0</v>
      </c>
      <c r="AB23" s="15">
        <f t="shared" si="2"/>
        <v>0</v>
      </c>
      <c r="AC23" s="210">
        <f t="shared" si="2"/>
        <v>0</v>
      </c>
      <c r="AD23" s="210">
        <f t="shared" si="2"/>
        <v>0</v>
      </c>
      <c r="AE23" s="18">
        <f t="shared" si="2"/>
        <v>0</v>
      </c>
      <c r="AF23" s="209">
        <f t="shared" si="2"/>
        <v>207308.56</v>
      </c>
      <c r="AG23" s="15">
        <f t="shared" si="2"/>
        <v>207308.56</v>
      </c>
      <c r="AH23" s="210">
        <f t="shared" si="2"/>
        <v>0</v>
      </c>
      <c r="AI23" s="210">
        <f t="shared" si="2"/>
        <v>0</v>
      </c>
      <c r="AJ23" s="19">
        <f t="shared" si="2"/>
        <v>207308.56</v>
      </c>
      <c r="AK23" s="211">
        <f t="shared" si="2"/>
        <v>12685734579.969999</v>
      </c>
      <c r="AL23" s="212">
        <f t="shared" si="2"/>
        <v>8531285668.8000002</v>
      </c>
      <c r="AM23" s="212">
        <f t="shared" si="2"/>
        <v>0</v>
      </c>
      <c r="AN23" s="213" t="s">
        <v>52</v>
      </c>
      <c r="AO23" s="23">
        <f t="shared" si="1"/>
        <v>37300449419.860001</v>
      </c>
    </row>
    <row r="24" spans="2:42" ht="25.5" x14ac:dyDescent="0.2">
      <c r="B24" s="205"/>
      <c r="C24" s="206">
        <v>1.5</v>
      </c>
      <c r="D24" s="219" t="s">
        <v>58</v>
      </c>
      <c r="E24" s="208" t="s">
        <v>59</v>
      </c>
      <c r="F24" s="214">
        <v>93965230.540000007</v>
      </c>
      <c r="G24" s="220" t="s">
        <v>52</v>
      </c>
      <c r="H24" s="220" t="s">
        <v>52</v>
      </c>
      <c r="I24" s="220" t="s">
        <v>52</v>
      </c>
      <c r="J24" s="221" t="s">
        <v>52</v>
      </c>
      <c r="K24" s="214">
        <v>1207372451.4200001</v>
      </c>
      <c r="L24" s="220" t="s">
        <v>52</v>
      </c>
      <c r="M24" s="220" t="s">
        <v>52</v>
      </c>
      <c r="N24" s="220" t="s">
        <v>52</v>
      </c>
      <c r="O24" s="221" t="s">
        <v>52</v>
      </c>
      <c r="P24" s="214">
        <v>2600516460.2199998</v>
      </c>
      <c r="Q24" s="220" t="s">
        <v>52</v>
      </c>
      <c r="R24" s="220" t="s">
        <v>52</v>
      </c>
      <c r="S24" s="220" t="s">
        <v>52</v>
      </c>
      <c r="T24" s="221" t="s">
        <v>52</v>
      </c>
      <c r="U24" s="214">
        <v>0</v>
      </c>
      <c r="V24" s="221" t="s">
        <v>52</v>
      </c>
      <c r="W24" s="214">
        <v>0</v>
      </c>
      <c r="X24" s="221" t="s">
        <v>52</v>
      </c>
      <c r="Y24" s="214">
        <v>0</v>
      </c>
      <c r="Z24" s="221" t="s">
        <v>52</v>
      </c>
      <c r="AA24" s="214">
        <v>0</v>
      </c>
      <c r="AB24" s="220" t="s">
        <v>52</v>
      </c>
      <c r="AC24" s="220" t="s">
        <v>52</v>
      </c>
      <c r="AD24" s="220" t="s">
        <v>52</v>
      </c>
      <c r="AE24" s="221" t="s">
        <v>52</v>
      </c>
      <c r="AF24" s="214">
        <v>0</v>
      </c>
      <c r="AG24" s="220" t="s">
        <v>52</v>
      </c>
      <c r="AH24" s="220" t="s">
        <v>52</v>
      </c>
      <c r="AI24" s="220" t="s">
        <v>52</v>
      </c>
      <c r="AJ24" s="222" t="s">
        <v>52</v>
      </c>
      <c r="AK24" s="223">
        <v>356682021.79000002</v>
      </c>
      <c r="AL24" s="224">
        <v>469549417.66000003</v>
      </c>
      <c r="AM24" s="224">
        <v>0</v>
      </c>
      <c r="AN24" s="213" t="s">
        <v>52</v>
      </c>
      <c r="AO24" s="23">
        <f t="shared" si="1"/>
        <v>4728085581.6300001</v>
      </c>
    </row>
    <row r="25" spans="2:42" x14ac:dyDescent="0.2">
      <c r="B25" s="205"/>
      <c r="C25" s="206">
        <v>1.6</v>
      </c>
      <c r="D25" s="219" t="s">
        <v>60</v>
      </c>
      <c r="E25" s="208" t="s">
        <v>61</v>
      </c>
      <c r="F25" s="214">
        <v>0</v>
      </c>
      <c r="G25" s="220" t="s">
        <v>52</v>
      </c>
      <c r="H25" s="220" t="s">
        <v>52</v>
      </c>
      <c r="I25" s="220" t="s">
        <v>52</v>
      </c>
      <c r="J25" s="221" t="s">
        <v>52</v>
      </c>
      <c r="K25" s="214">
        <v>4864062.88</v>
      </c>
      <c r="L25" s="220" t="s">
        <v>52</v>
      </c>
      <c r="M25" s="220" t="s">
        <v>52</v>
      </c>
      <c r="N25" s="220" t="s">
        <v>52</v>
      </c>
      <c r="O25" s="221" t="s">
        <v>52</v>
      </c>
      <c r="P25" s="214">
        <v>5452838.7300000004</v>
      </c>
      <c r="Q25" s="220" t="s">
        <v>52</v>
      </c>
      <c r="R25" s="220" t="s">
        <v>52</v>
      </c>
      <c r="S25" s="220" t="s">
        <v>52</v>
      </c>
      <c r="T25" s="221" t="s">
        <v>52</v>
      </c>
      <c r="U25" s="214">
        <v>0</v>
      </c>
      <c r="V25" s="221" t="s">
        <v>52</v>
      </c>
      <c r="W25" s="214">
        <v>0</v>
      </c>
      <c r="X25" s="221" t="s">
        <v>52</v>
      </c>
      <c r="Y25" s="214">
        <v>0</v>
      </c>
      <c r="Z25" s="221" t="s">
        <v>52</v>
      </c>
      <c r="AA25" s="214">
        <v>0</v>
      </c>
      <c r="AB25" s="220" t="s">
        <v>52</v>
      </c>
      <c r="AC25" s="220" t="s">
        <v>52</v>
      </c>
      <c r="AD25" s="220" t="s">
        <v>52</v>
      </c>
      <c r="AE25" s="221" t="s">
        <v>52</v>
      </c>
      <c r="AF25" s="214">
        <v>0</v>
      </c>
      <c r="AG25" s="220" t="s">
        <v>52</v>
      </c>
      <c r="AH25" s="220" t="s">
        <v>52</v>
      </c>
      <c r="AI25" s="220" t="s">
        <v>52</v>
      </c>
      <c r="AJ25" s="222" t="s">
        <v>52</v>
      </c>
      <c r="AK25" s="223">
        <v>93578387.269999996</v>
      </c>
      <c r="AL25" s="224">
        <v>571532.93999999994</v>
      </c>
      <c r="AM25" s="224">
        <v>0</v>
      </c>
      <c r="AN25" s="213" t="s">
        <v>52</v>
      </c>
      <c r="AO25" s="23">
        <f t="shared" si="1"/>
        <v>104466821.81999999</v>
      </c>
    </row>
    <row r="26" spans="2:42" x14ac:dyDescent="0.2">
      <c r="B26" s="205"/>
      <c r="C26" s="206">
        <v>1.7</v>
      </c>
      <c r="D26" s="219" t="s">
        <v>62</v>
      </c>
      <c r="E26" s="208" t="s">
        <v>63</v>
      </c>
      <c r="F26" s="214">
        <v>0</v>
      </c>
      <c r="G26" s="220" t="s">
        <v>52</v>
      </c>
      <c r="H26" s="220" t="s">
        <v>52</v>
      </c>
      <c r="I26" s="220" t="s">
        <v>52</v>
      </c>
      <c r="J26" s="221" t="s">
        <v>52</v>
      </c>
      <c r="K26" s="214">
        <v>0</v>
      </c>
      <c r="L26" s="220" t="s">
        <v>52</v>
      </c>
      <c r="M26" s="220" t="s">
        <v>52</v>
      </c>
      <c r="N26" s="220" t="s">
        <v>52</v>
      </c>
      <c r="O26" s="221" t="s">
        <v>52</v>
      </c>
      <c r="P26" s="214">
        <v>0</v>
      </c>
      <c r="Q26" s="220" t="s">
        <v>52</v>
      </c>
      <c r="R26" s="220" t="s">
        <v>52</v>
      </c>
      <c r="S26" s="220" t="s">
        <v>52</v>
      </c>
      <c r="T26" s="221" t="s">
        <v>52</v>
      </c>
      <c r="U26" s="214">
        <v>0</v>
      </c>
      <c r="V26" s="221" t="s">
        <v>52</v>
      </c>
      <c r="W26" s="214">
        <v>0</v>
      </c>
      <c r="X26" s="221" t="s">
        <v>52</v>
      </c>
      <c r="Y26" s="214">
        <v>0</v>
      </c>
      <c r="Z26" s="221" t="s">
        <v>52</v>
      </c>
      <c r="AA26" s="214">
        <v>0</v>
      </c>
      <c r="AB26" s="220" t="s">
        <v>52</v>
      </c>
      <c r="AC26" s="220" t="s">
        <v>52</v>
      </c>
      <c r="AD26" s="220" t="s">
        <v>52</v>
      </c>
      <c r="AE26" s="221" t="s">
        <v>52</v>
      </c>
      <c r="AF26" s="214">
        <v>0</v>
      </c>
      <c r="AG26" s="220" t="s">
        <v>52</v>
      </c>
      <c r="AH26" s="220" t="s">
        <v>52</v>
      </c>
      <c r="AI26" s="220" t="s">
        <v>52</v>
      </c>
      <c r="AJ26" s="222" t="s">
        <v>52</v>
      </c>
      <c r="AK26" s="223">
        <v>0</v>
      </c>
      <c r="AL26" s="224">
        <v>0</v>
      </c>
      <c r="AM26" s="224">
        <v>0</v>
      </c>
      <c r="AN26" s="213" t="s">
        <v>52</v>
      </c>
      <c r="AO26" s="23">
        <f t="shared" si="1"/>
        <v>0</v>
      </c>
    </row>
    <row r="27" spans="2:42" ht="25.5" x14ac:dyDescent="0.2">
      <c r="B27" s="205"/>
      <c r="C27" s="206">
        <v>1.8</v>
      </c>
      <c r="D27" s="219" t="s">
        <v>64</v>
      </c>
      <c r="E27" s="208"/>
      <c r="F27" s="209">
        <f>SUM(F23:F26)</f>
        <v>215670219.82999998</v>
      </c>
      <c r="G27" s="220" t="s">
        <v>52</v>
      </c>
      <c r="H27" s="220" t="s">
        <v>52</v>
      </c>
      <c r="I27" s="220" t="s">
        <v>52</v>
      </c>
      <c r="J27" s="221" t="s">
        <v>52</v>
      </c>
      <c r="K27" s="209">
        <f>SUM(K23:K26)</f>
        <v>7402805039.2699995</v>
      </c>
      <c r="L27" s="220" t="s">
        <v>52</v>
      </c>
      <c r="M27" s="220" t="s">
        <v>52</v>
      </c>
      <c r="N27" s="220" t="s">
        <v>52</v>
      </c>
      <c r="O27" s="221" t="s">
        <v>52</v>
      </c>
      <c r="P27" s="209">
        <f>SUM(P23:P26)</f>
        <v>12376914018.029999</v>
      </c>
      <c r="Q27" s="220" t="s">
        <v>52</v>
      </c>
      <c r="R27" s="220" t="s">
        <v>52</v>
      </c>
      <c r="S27" s="220" t="s">
        <v>52</v>
      </c>
      <c r="T27" s="221" t="s">
        <v>52</v>
      </c>
      <c r="U27" s="209">
        <f>SUM(U23:U26)</f>
        <v>3629.19</v>
      </c>
      <c r="V27" s="221" t="s">
        <v>52</v>
      </c>
      <c r="W27" s="209">
        <f>SUM(W23:W26)</f>
        <v>0</v>
      </c>
      <c r="X27" s="221" t="s">
        <v>52</v>
      </c>
      <c r="Y27" s="209">
        <f>SUM(Y23:Y26)</f>
        <v>0</v>
      </c>
      <c r="Z27" s="221" t="s">
        <v>52</v>
      </c>
      <c r="AA27" s="209">
        <f>SUM(AA23:AA26)</f>
        <v>0</v>
      </c>
      <c r="AB27" s="220" t="s">
        <v>52</v>
      </c>
      <c r="AC27" s="220" t="s">
        <v>52</v>
      </c>
      <c r="AD27" s="220" t="s">
        <v>52</v>
      </c>
      <c r="AE27" s="221" t="s">
        <v>52</v>
      </c>
      <c r="AF27" s="209">
        <f>SUM(AF23:AF26)</f>
        <v>207308.56</v>
      </c>
      <c r="AG27" s="220" t="s">
        <v>52</v>
      </c>
      <c r="AH27" s="220" t="s">
        <v>52</v>
      </c>
      <c r="AI27" s="220" t="s">
        <v>52</v>
      </c>
      <c r="AJ27" s="222" t="s">
        <v>52</v>
      </c>
      <c r="AK27" s="18">
        <f>SUM(AK23:AK26)</f>
        <v>13135994989.030001</v>
      </c>
      <c r="AL27" s="225">
        <f>SUM(AL23:AL26)</f>
        <v>9001406619.4000015</v>
      </c>
      <c r="AM27" s="212">
        <f>SUM(AM23:AM26)</f>
        <v>0</v>
      </c>
      <c r="AN27" s="213" t="s">
        <v>52</v>
      </c>
      <c r="AO27" s="23">
        <f t="shared" si="1"/>
        <v>42133001823.309998</v>
      </c>
      <c r="AP27" s="226"/>
    </row>
    <row r="28" spans="2:42" s="32" customFormat="1" x14ac:dyDescent="0.2">
      <c r="B28" s="227"/>
      <c r="C28" s="228"/>
      <c r="D28" s="229"/>
      <c r="E28" s="230"/>
      <c r="F28" s="231"/>
      <c r="G28" s="232"/>
      <c r="H28" s="233"/>
      <c r="I28" s="233"/>
      <c r="J28" s="234"/>
      <c r="K28" s="231"/>
      <c r="L28" s="232"/>
      <c r="M28" s="233"/>
      <c r="N28" s="233"/>
      <c r="O28" s="234"/>
      <c r="P28" s="231"/>
      <c r="Q28" s="232"/>
      <c r="R28" s="233"/>
      <c r="S28" s="233"/>
      <c r="T28" s="234"/>
      <c r="U28" s="231"/>
      <c r="V28" s="234"/>
      <c r="W28" s="231"/>
      <c r="X28" s="234"/>
      <c r="Y28" s="231"/>
      <c r="Z28" s="234"/>
      <c r="AA28" s="231"/>
      <c r="AB28" s="232"/>
      <c r="AC28" s="233"/>
      <c r="AD28" s="233"/>
      <c r="AE28" s="234"/>
      <c r="AF28" s="231"/>
      <c r="AG28" s="232"/>
      <c r="AH28" s="233"/>
      <c r="AI28" s="233"/>
      <c r="AJ28" s="235"/>
      <c r="AK28" s="236"/>
      <c r="AL28" s="237"/>
      <c r="AM28" s="237"/>
      <c r="AN28" s="238"/>
      <c r="AO28" s="239"/>
    </row>
    <row r="29" spans="2:42" s="32" customFormat="1" x14ac:dyDescent="0.2">
      <c r="B29" s="192" t="s">
        <v>65</v>
      </c>
      <c r="C29" s="193" t="s">
        <v>66</v>
      </c>
      <c r="D29" s="240"/>
      <c r="E29" s="241"/>
      <c r="F29" s="14"/>
      <c r="G29" s="242"/>
      <c r="H29" s="17"/>
      <c r="I29" s="17"/>
      <c r="J29" s="243"/>
      <c r="K29" s="14"/>
      <c r="L29" s="242"/>
      <c r="M29" s="17"/>
      <c r="N29" s="17"/>
      <c r="O29" s="243"/>
      <c r="P29" s="14"/>
      <c r="Q29" s="242"/>
      <c r="R29" s="17"/>
      <c r="S29" s="17"/>
      <c r="T29" s="243"/>
      <c r="U29" s="14"/>
      <c r="V29" s="243"/>
      <c r="W29" s="14"/>
      <c r="X29" s="243"/>
      <c r="Y29" s="14"/>
      <c r="Z29" s="243"/>
      <c r="AA29" s="14"/>
      <c r="AB29" s="242"/>
      <c r="AC29" s="17"/>
      <c r="AD29" s="17"/>
      <c r="AE29" s="243"/>
      <c r="AF29" s="14"/>
      <c r="AG29" s="242"/>
      <c r="AH29" s="17"/>
      <c r="AI29" s="17"/>
      <c r="AJ29" s="244"/>
      <c r="AK29" s="20"/>
      <c r="AL29" s="21"/>
      <c r="AM29" s="21"/>
      <c r="AN29" s="22"/>
      <c r="AO29" s="245"/>
    </row>
    <row r="30" spans="2:42" x14ac:dyDescent="0.2">
      <c r="B30" s="205"/>
      <c r="C30" s="246">
        <v>2.1</v>
      </c>
      <c r="D30" s="247" t="str">
        <f>"Adjusted Incurred Claims (from Part 2, Line "&amp;$C$152&amp;" &amp; "&amp;$C$153&amp;" respectively) "</f>
        <v xml:space="preserve">Adjusted Incurred Claims (from Part 2, Line 2.17 &amp; 2.18 respectively) </v>
      </c>
      <c r="E30" s="248"/>
      <c r="F30" s="249">
        <f>F$152</f>
        <v>120541374.43999998</v>
      </c>
      <c r="G30" s="210">
        <f>G$153</f>
        <v>120313558.14000002</v>
      </c>
      <c r="H30" s="210">
        <f>H$153</f>
        <v>0</v>
      </c>
      <c r="I30" s="210">
        <f>I$153</f>
        <v>0</v>
      </c>
      <c r="J30" s="18">
        <f>G30+H30-I30</f>
        <v>120313558.14000002</v>
      </c>
      <c r="K30" s="249">
        <f>K$152</f>
        <v>4499716965.6799984</v>
      </c>
      <c r="L30" s="210">
        <f>L$153</f>
        <v>4559125154.3300009</v>
      </c>
      <c r="M30" s="210">
        <f>M$153</f>
        <v>0</v>
      </c>
      <c r="N30" s="210">
        <f>N$153</f>
        <v>0</v>
      </c>
      <c r="O30" s="18">
        <f>L30+M30-N30</f>
        <v>4559125154.3300009</v>
      </c>
      <c r="P30" s="249">
        <f>P$152</f>
        <v>7615067136.3400011</v>
      </c>
      <c r="Q30" s="210">
        <f>Q$153</f>
        <v>7681993597.7000008</v>
      </c>
      <c r="R30" s="210">
        <f>R$153</f>
        <v>0</v>
      </c>
      <c r="S30" s="210">
        <f>S$153</f>
        <v>0</v>
      </c>
      <c r="T30" s="18">
        <f>Q30+R30-S30</f>
        <v>7681993597.7000008</v>
      </c>
      <c r="U30" s="209">
        <f>U$152</f>
        <v>412.71</v>
      </c>
      <c r="V30" s="18">
        <f>V$153</f>
        <v>412.71</v>
      </c>
      <c r="W30" s="209">
        <f>W$152</f>
        <v>0</v>
      </c>
      <c r="X30" s="18">
        <f>X$153</f>
        <v>0</v>
      </c>
      <c r="Y30" s="209">
        <f>Y$152</f>
        <v>0</v>
      </c>
      <c r="Z30" s="18">
        <f>Z$153</f>
        <v>0</v>
      </c>
      <c r="AA30" s="249">
        <f>AA$152</f>
        <v>0</v>
      </c>
      <c r="AB30" s="210">
        <f>AB$153</f>
        <v>0</v>
      </c>
      <c r="AC30" s="210">
        <f>AC$153</f>
        <v>0</v>
      </c>
      <c r="AD30" s="210">
        <f>AD$153</f>
        <v>0</v>
      </c>
      <c r="AE30" s="18">
        <f>AB30+AC30-AD30</f>
        <v>0</v>
      </c>
      <c r="AF30" s="249">
        <f>AF$152</f>
        <v>170797.49</v>
      </c>
      <c r="AG30" s="210">
        <f>AG$153</f>
        <v>148725.4</v>
      </c>
      <c r="AH30" s="210">
        <f>AH$153</f>
        <v>0</v>
      </c>
      <c r="AI30" s="210">
        <f>AI$153</f>
        <v>0</v>
      </c>
      <c r="AJ30" s="19">
        <f>AG30+AH30-AI30</f>
        <v>148725.4</v>
      </c>
      <c r="AK30" s="211">
        <f>AK$152</f>
        <v>10205121792.289999</v>
      </c>
      <c r="AL30" s="212">
        <f>AL$152</f>
        <v>6909151745.2599993</v>
      </c>
      <c r="AM30" s="212">
        <f>AM$152</f>
        <v>0</v>
      </c>
      <c r="AN30" s="213" t="s">
        <v>52</v>
      </c>
      <c r="AO30" s="23">
        <f>SUM($F30,$K30,$P30,$U30,$W30,$Y30,$AA30,$AF30,$AK30,$AL30,$AM30,$AN30)</f>
        <v>29349770224.209995</v>
      </c>
    </row>
    <row r="31" spans="2:42" ht="25.5" x14ac:dyDescent="0.2">
      <c r="B31" s="205"/>
      <c r="C31" s="246">
        <v>2.2000000000000002</v>
      </c>
      <c r="D31" s="219" t="s">
        <v>67</v>
      </c>
      <c r="E31" s="208" t="s">
        <v>68</v>
      </c>
      <c r="F31" s="250">
        <v>16146583.07</v>
      </c>
      <c r="G31" s="251">
        <v>16061577.57</v>
      </c>
      <c r="H31" s="220" t="s">
        <v>52</v>
      </c>
      <c r="I31" s="220" t="s">
        <v>52</v>
      </c>
      <c r="J31" s="18">
        <f>G31</f>
        <v>16061577.57</v>
      </c>
      <c r="K31" s="214">
        <v>770733163.50999999</v>
      </c>
      <c r="L31" s="251">
        <v>767072237.19000006</v>
      </c>
      <c r="M31" s="220" t="s">
        <v>52</v>
      </c>
      <c r="N31" s="220" t="s">
        <v>52</v>
      </c>
      <c r="O31" s="18">
        <f>L31</f>
        <v>767072237.19000006</v>
      </c>
      <c r="P31" s="214">
        <v>1173288630.8299999</v>
      </c>
      <c r="Q31" s="251">
        <v>1170360410.8599999</v>
      </c>
      <c r="R31" s="220" t="s">
        <v>52</v>
      </c>
      <c r="S31" s="220" t="s">
        <v>52</v>
      </c>
      <c r="T31" s="18">
        <f>Q31</f>
        <v>1170360410.8599999</v>
      </c>
      <c r="U31" s="214">
        <v>0</v>
      </c>
      <c r="V31" s="252">
        <v>0</v>
      </c>
      <c r="W31" s="214">
        <v>0</v>
      </c>
      <c r="X31" s="252">
        <v>0</v>
      </c>
      <c r="Y31" s="214">
        <v>0</v>
      </c>
      <c r="Z31" s="252">
        <v>0</v>
      </c>
      <c r="AA31" s="214">
        <v>0</v>
      </c>
      <c r="AB31" s="251">
        <v>0</v>
      </c>
      <c r="AC31" s="220" t="s">
        <v>52</v>
      </c>
      <c r="AD31" s="220" t="s">
        <v>52</v>
      </c>
      <c r="AE31" s="18">
        <f>AB31</f>
        <v>0</v>
      </c>
      <c r="AF31" s="214">
        <v>16443.38</v>
      </c>
      <c r="AG31" s="251">
        <v>14755.33</v>
      </c>
      <c r="AH31" s="220" t="s">
        <v>52</v>
      </c>
      <c r="AI31" s="220" t="s">
        <v>52</v>
      </c>
      <c r="AJ31" s="19">
        <f>AG31</f>
        <v>14755.33</v>
      </c>
      <c r="AK31" s="217">
        <v>7028216628.6800003</v>
      </c>
      <c r="AL31" s="218">
        <v>73290452.310000002</v>
      </c>
      <c r="AM31" s="218">
        <v>0</v>
      </c>
      <c r="AN31" s="213" t="s">
        <v>52</v>
      </c>
      <c r="AO31" s="23">
        <f>SUM($F31,$K31,$P31,$U31,$W31,$Y31,$AA31,$AF31,$AK31,$AL31,$AM31,$AN31)</f>
        <v>9061691901.7800007</v>
      </c>
    </row>
    <row r="32" spans="2:42" ht="25.5" x14ac:dyDescent="0.2">
      <c r="B32" s="205"/>
      <c r="C32" s="246">
        <v>2.2999999999999998</v>
      </c>
      <c r="D32" s="219" t="s">
        <v>69</v>
      </c>
      <c r="E32" s="208" t="s">
        <v>70</v>
      </c>
      <c r="F32" s="250">
        <v>2418875.84</v>
      </c>
      <c r="G32" s="251">
        <v>2225203.44</v>
      </c>
      <c r="H32" s="220" t="s">
        <v>52</v>
      </c>
      <c r="I32" s="220" t="s">
        <v>52</v>
      </c>
      <c r="J32" s="18">
        <f>G32</f>
        <v>2225203.44</v>
      </c>
      <c r="K32" s="214">
        <v>145140691.97</v>
      </c>
      <c r="L32" s="251">
        <v>139324966.93000001</v>
      </c>
      <c r="M32" s="220" t="s">
        <v>52</v>
      </c>
      <c r="N32" s="220" t="s">
        <v>52</v>
      </c>
      <c r="O32" s="18">
        <f>L32</f>
        <v>139324966.93000001</v>
      </c>
      <c r="P32" s="214">
        <v>211618513.37</v>
      </c>
      <c r="Q32" s="251">
        <v>204388736.18000001</v>
      </c>
      <c r="R32" s="220" t="s">
        <v>52</v>
      </c>
      <c r="S32" s="220" t="s">
        <v>52</v>
      </c>
      <c r="T32" s="18">
        <f>Q32</f>
        <v>204388736.18000001</v>
      </c>
      <c r="U32" s="214">
        <v>0</v>
      </c>
      <c r="V32" s="252">
        <v>0</v>
      </c>
      <c r="W32" s="214">
        <v>0</v>
      </c>
      <c r="X32" s="252">
        <v>0</v>
      </c>
      <c r="Y32" s="214">
        <v>0</v>
      </c>
      <c r="Z32" s="252">
        <v>0</v>
      </c>
      <c r="AA32" s="214">
        <v>0</v>
      </c>
      <c r="AB32" s="251">
        <v>0</v>
      </c>
      <c r="AC32" s="220" t="s">
        <v>52</v>
      </c>
      <c r="AD32" s="220" t="s">
        <v>52</v>
      </c>
      <c r="AE32" s="18">
        <f>AB32</f>
        <v>0</v>
      </c>
      <c r="AF32" s="214">
        <v>0</v>
      </c>
      <c r="AG32" s="251">
        <v>9.08</v>
      </c>
      <c r="AH32" s="220" t="s">
        <v>52</v>
      </c>
      <c r="AI32" s="220" t="s">
        <v>52</v>
      </c>
      <c r="AJ32" s="19">
        <f>AG32</f>
        <v>9.08</v>
      </c>
      <c r="AK32" s="217">
        <v>2681917615.3899999</v>
      </c>
      <c r="AL32" s="218">
        <v>9337655.7699999996</v>
      </c>
      <c r="AM32" s="218">
        <v>0</v>
      </c>
      <c r="AN32" s="213" t="s">
        <v>52</v>
      </c>
      <c r="AO32" s="23">
        <f>SUM($F32,$K32,$P32,$U32,$W32,$Y32,$AA32,$AF32,$AK32,$AL32,$AM32,$AN32)</f>
        <v>3050433352.3399997</v>
      </c>
    </row>
    <row r="33" spans="2:41" ht="25.5" x14ac:dyDescent="0.2">
      <c r="B33" s="205"/>
      <c r="C33" s="246">
        <v>2.4</v>
      </c>
      <c r="D33" s="219" t="s">
        <v>71</v>
      </c>
      <c r="E33" s="208" t="s">
        <v>72</v>
      </c>
      <c r="F33" s="250">
        <v>-20454.919999999998</v>
      </c>
      <c r="G33" s="251">
        <v>-19462.099999999999</v>
      </c>
      <c r="H33" s="220" t="s">
        <v>52</v>
      </c>
      <c r="I33" s="220" t="s">
        <v>52</v>
      </c>
      <c r="J33" s="18">
        <f>G33</f>
        <v>-19462.099999999999</v>
      </c>
      <c r="K33" s="214">
        <v>-1978022.52</v>
      </c>
      <c r="L33" s="251">
        <v>-1988080.72</v>
      </c>
      <c r="M33" s="220" t="s">
        <v>52</v>
      </c>
      <c r="N33" s="220" t="s">
        <v>52</v>
      </c>
      <c r="O33" s="18">
        <f>L33</f>
        <v>-1988080.72</v>
      </c>
      <c r="P33" s="214">
        <v>-7633627.1500000004</v>
      </c>
      <c r="Q33" s="251">
        <v>-7134827.5599999996</v>
      </c>
      <c r="R33" s="220" t="s">
        <v>52</v>
      </c>
      <c r="S33" s="220" t="s">
        <v>52</v>
      </c>
      <c r="T33" s="18">
        <f>Q33</f>
        <v>-7134827.5599999996</v>
      </c>
      <c r="U33" s="214">
        <v>0</v>
      </c>
      <c r="V33" s="252">
        <v>0</v>
      </c>
      <c r="W33" s="214">
        <v>0</v>
      </c>
      <c r="X33" s="252">
        <v>0</v>
      </c>
      <c r="Y33" s="214">
        <v>0</v>
      </c>
      <c r="Z33" s="252">
        <v>0</v>
      </c>
      <c r="AA33" s="214">
        <v>0</v>
      </c>
      <c r="AB33" s="251">
        <v>0</v>
      </c>
      <c r="AC33" s="220" t="s">
        <v>52</v>
      </c>
      <c r="AD33" s="220" t="s">
        <v>52</v>
      </c>
      <c r="AE33" s="18">
        <f>AB33</f>
        <v>0</v>
      </c>
      <c r="AF33" s="214">
        <v>-1.4</v>
      </c>
      <c r="AG33" s="251">
        <v>-1.4</v>
      </c>
      <c r="AH33" s="220" t="s">
        <v>52</v>
      </c>
      <c r="AI33" s="220" t="s">
        <v>52</v>
      </c>
      <c r="AJ33" s="19">
        <f>AG33</f>
        <v>-1.4</v>
      </c>
      <c r="AK33" s="217">
        <v>1795167.85</v>
      </c>
      <c r="AL33" s="218">
        <v>-607422.87</v>
      </c>
      <c r="AM33" s="218">
        <v>0</v>
      </c>
      <c r="AN33" s="213" t="s">
        <v>52</v>
      </c>
      <c r="AO33" s="23">
        <f>SUM($F33,$K33,$P33,$U33,$W33,$Y33,$AA33,$AF33,$AK33,$AL33,$AM33,$AN33)</f>
        <v>-8444361.0099999998</v>
      </c>
    </row>
    <row r="34" spans="2:41" ht="25.5" x14ac:dyDescent="0.2">
      <c r="B34" s="205"/>
      <c r="C34" s="246">
        <v>2.5</v>
      </c>
      <c r="D34" s="219" t="s">
        <v>73</v>
      </c>
      <c r="E34" s="208" t="s">
        <v>74</v>
      </c>
      <c r="F34" s="250">
        <v>94016268.420000002</v>
      </c>
      <c r="G34" s="220" t="s">
        <v>52</v>
      </c>
      <c r="H34" s="220" t="s">
        <v>52</v>
      </c>
      <c r="I34" s="220" t="s">
        <v>52</v>
      </c>
      <c r="J34" s="221" t="s">
        <v>52</v>
      </c>
      <c r="K34" s="214">
        <v>926174301.08000004</v>
      </c>
      <c r="L34" s="220" t="s">
        <v>52</v>
      </c>
      <c r="M34" s="220" t="s">
        <v>52</v>
      </c>
      <c r="N34" s="220" t="s">
        <v>52</v>
      </c>
      <c r="O34" s="221" t="s">
        <v>52</v>
      </c>
      <c r="P34" s="214">
        <v>2135256547.73</v>
      </c>
      <c r="Q34" s="220" t="s">
        <v>52</v>
      </c>
      <c r="R34" s="220" t="s">
        <v>52</v>
      </c>
      <c r="S34" s="220" t="s">
        <v>52</v>
      </c>
      <c r="T34" s="221" t="s">
        <v>52</v>
      </c>
      <c r="U34" s="214">
        <v>0</v>
      </c>
      <c r="V34" s="221" t="s">
        <v>52</v>
      </c>
      <c r="W34" s="214">
        <v>0</v>
      </c>
      <c r="X34" s="221" t="s">
        <v>52</v>
      </c>
      <c r="Y34" s="214">
        <v>0</v>
      </c>
      <c r="Z34" s="221" t="s">
        <v>52</v>
      </c>
      <c r="AA34" s="214">
        <v>0</v>
      </c>
      <c r="AB34" s="220" t="s">
        <v>52</v>
      </c>
      <c r="AC34" s="220" t="s">
        <v>52</v>
      </c>
      <c r="AD34" s="220" t="s">
        <v>52</v>
      </c>
      <c r="AE34" s="221" t="s">
        <v>52</v>
      </c>
      <c r="AF34" s="214">
        <v>0</v>
      </c>
      <c r="AG34" s="220" t="s">
        <v>52</v>
      </c>
      <c r="AH34" s="220" t="s">
        <v>52</v>
      </c>
      <c r="AI34" s="220" t="s">
        <v>52</v>
      </c>
      <c r="AJ34" s="222" t="s">
        <v>52</v>
      </c>
      <c r="AK34" s="217">
        <v>252811690.99000001</v>
      </c>
      <c r="AL34" s="218">
        <v>390333285.19999999</v>
      </c>
      <c r="AM34" s="218">
        <v>0</v>
      </c>
      <c r="AN34" s="213" t="s">
        <v>52</v>
      </c>
      <c r="AO34" s="23">
        <f t="shared" ref="AO34:AO40" si="3">SUM($F34,$K34,$P34,$U34,$W34,$Y34,$AA34,$AF34,$AK34,$AL34,$AM34,$AN34)</f>
        <v>3798592093.4200001</v>
      </c>
    </row>
    <row r="35" spans="2:41" x14ac:dyDescent="0.2">
      <c r="B35" s="205"/>
      <c r="C35" s="246">
        <v>2.6</v>
      </c>
      <c r="D35" s="219" t="s">
        <v>75</v>
      </c>
      <c r="E35" s="208" t="s">
        <v>76</v>
      </c>
      <c r="F35" s="250">
        <v>1660.75</v>
      </c>
      <c r="G35" s="220" t="s">
        <v>52</v>
      </c>
      <c r="H35" s="220" t="s">
        <v>52</v>
      </c>
      <c r="I35" s="220" t="s">
        <v>52</v>
      </c>
      <c r="J35" s="221" t="s">
        <v>52</v>
      </c>
      <c r="K35" s="214">
        <v>991878.16</v>
      </c>
      <c r="L35" s="220" t="s">
        <v>52</v>
      </c>
      <c r="M35" s="220" t="s">
        <v>52</v>
      </c>
      <c r="N35" s="220" t="s">
        <v>52</v>
      </c>
      <c r="O35" s="221" t="s">
        <v>52</v>
      </c>
      <c r="P35" s="214">
        <v>2277625.67</v>
      </c>
      <c r="Q35" s="220" t="s">
        <v>52</v>
      </c>
      <c r="R35" s="220" t="s">
        <v>52</v>
      </c>
      <c r="S35" s="220" t="s">
        <v>52</v>
      </c>
      <c r="T35" s="221" t="s">
        <v>52</v>
      </c>
      <c r="U35" s="214">
        <v>0</v>
      </c>
      <c r="V35" s="221" t="s">
        <v>52</v>
      </c>
      <c r="W35" s="214">
        <v>0</v>
      </c>
      <c r="X35" s="221" t="s">
        <v>52</v>
      </c>
      <c r="Y35" s="214">
        <v>0</v>
      </c>
      <c r="Z35" s="221" t="s">
        <v>52</v>
      </c>
      <c r="AA35" s="214">
        <v>0</v>
      </c>
      <c r="AB35" s="220" t="s">
        <v>52</v>
      </c>
      <c r="AC35" s="220" t="s">
        <v>52</v>
      </c>
      <c r="AD35" s="220" t="s">
        <v>52</v>
      </c>
      <c r="AE35" s="221" t="s">
        <v>52</v>
      </c>
      <c r="AF35" s="214">
        <v>0</v>
      </c>
      <c r="AG35" s="220" t="s">
        <v>52</v>
      </c>
      <c r="AH35" s="220" t="s">
        <v>52</v>
      </c>
      <c r="AI35" s="220" t="s">
        <v>52</v>
      </c>
      <c r="AJ35" s="222" t="s">
        <v>52</v>
      </c>
      <c r="AK35" s="217">
        <v>0</v>
      </c>
      <c r="AL35" s="218">
        <v>0</v>
      </c>
      <c r="AM35" s="218">
        <v>0</v>
      </c>
      <c r="AN35" s="213" t="s">
        <v>52</v>
      </c>
      <c r="AO35" s="23">
        <f t="shared" si="3"/>
        <v>3271164.58</v>
      </c>
    </row>
    <row r="36" spans="2:41" x14ac:dyDescent="0.2">
      <c r="B36" s="205"/>
      <c r="C36" s="246">
        <v>2.7</v>
      </c>
      <c r="D36" s="219" t="s">
        <v>77</v>
      </c>
      <c r="E36" s="208" t="s">
        <v>78</v>
      </c>
      <c r="F36" s="250">
        <v>0</v>
      </c>
      <c r="G36" s="220" t="s">
        <v>52</v>
      </c>
      <c r="H36" s="220" t="s">
        <v>52</v>
      </c>
      <c r="I36" s="220" t="s">
        <v>52</v>
      </c>
      <c r="J36" s="221" t="s">
        <v>52</v>
      </c>
      <c r="K36" s="214">
        <v>0</v>
      </c>
      <c r="L36" s="220" t="s">
        <v>52</v>
      </c>
      <c r="M36" s="220" t="s">
        <v>52</v>
      </c>
      <c r="N36" s="220" t="s">
        <v>52</v>
      </c>
      <c r="O36" s="221" t="s">
        <v>52</v>
      </c>
      <c r="P36" s="214">
        <v>0</v>
      </c>
      <c r="Q36" s="220" t="s">
        <v>52</v>
      </c>
      <c r="R36" s="220" t="s">
        <v>52</v>
      </c>
      <c r="S36" s="220" t="s">
        <v>52</v>
      </c>
      <c r="T36" s="221" t="s">
        <v>52</v>
      </c>
      <c r="U36" s="214">
        <v>0</v>
      </c>
      <c r="V36" s="221" t="s">
        <v>52</v>
      </c>
      <c r="W36" s="214">
        <v>0</v>
      </c>
      <c r="X36" s="221" t="s">
        <v>52</v>
      </c>
      <c r="Y36" s="214">
        <v>0</v>
      </c>
      <c r="Z36" s="221" t="s">
        <v>52</v>
      </c>
      <c r="AA36" s="214">
        <v>0</v>
      </c>
      <c r="AB36" s="220" t="s">
        <v>52</v>
      </c>
      <c r="AC36" s="220" t="s">
        <v>52</v>
      </c>
      <c r="AD36" s="220" t="s">
        <v>52</v>
      </c>
      <c r="AE36" s="221" t="s">
        <v>52</v>
      </c>
      <c r="AF36" s="214">
        <v>0</v>
      </c>
      <c r="AG36" s="220" t="s">
        <v>52</v>
      </c>
      <c r="AH36" s="220" t="s">
        <v>52</v>
      </c>
      <c r="AI36" s="220" t="s">
        <v>52</v>
      </c>
      <c r="AJ36" s="222" t="s">
        <v>52</v>
      </c>
      <c r="AK36" s="217">
        <v>0</v>
      </c>
      <c r="AL36" s="218">
        <v>0</v>
      </c>
      <c r="AM36" s="218">
        <v>0</v>
      </c>
      <c r="AN36" s="213" t="s">
        <v>52</v>
      </c>
      <c r="AO36" s="23">
        <f t="shared" si="3"/>
        <v>0</v>
      </c>
    </row>
    <row r="37" spans="2:41" x14ac:dyDescent="0.2">
      <c r="B37" s="205"/>
      <c r="C37" s="246">
        <v>2.8</v>
      </c>
      <c r="D37" s="219" t="s">
        <v>79</v>
      </c>
      <c r="E37" s="208" t="s">
        <v>80</v>
      </c>
      <c r="F37" s="250">
        <v>0</v>
      </c>
      <c r="G37" s="220" t="s">
        <v>52</v>
      </c>
      <c r="H37" s="220" t="s">
        <v>52</v>
      </c>
      <c r="I37" s="220" t="s">
        <v>52</v>
      </c>
      <c r="J37" s="221" t="s">
        <v>52</v>
      </c>
      <c r="K37" s="214">
        <v>0</v>
      </c>
      <c r="L37" s="220" t="s">
        <v>52</v>
      </c>
      <c r="M37" s="220" t="s">
        <v>52</v>
      </c>
      <c r="N37" s="220" t="s">
        <v>52</v>
      </c>
      <c r="O37" s="221" t="s">
        <v>52</v>
      </c>
      <c r="P37" s="214">
        <v>0</v>
      </c>
      <c r="Q37" s="220" t="s">
        <v>52</v>
      </c>
      <c r="R37" s="220" t="s">
        <v>52</v>
      </c>
      <c r="S37" s="220" t="s">
        <v>52</v>
      </c>
      <c r="T37" s="221" t="s">
        <v>52</v>
      </c>
      <c r="U37" s="214">
        <v>0</v>
      </c>
      <c r="V37" s="221" t="s">
        <v>52</v>
      </c>
      <c r="W37" s="214">
        <v>0</v>
      </c>
      <c r="X37" s="221" t="s">
        <v>52</v>
      </c>
      <c r="Y37" s="214">
        <v>0</v>
      </c>
      <c r="Z37" s="221" t="s">
        <v>52</v>
      </c>
      <c r="AA37" s="214">
        <v>0</v>
      </c>
      <c r="AB37" s="220" t="s">
        <v>52</v>
      </c>
      <c r="AC37" s="220" t="s">
        <v>52</v>
      </c>
      <c r="AD37" s="220" t="s">
        <v>52</v>
      </c>
      <c r="AE37" s="221" t="s">
        <v>52</v>
      </c>
      <c r="AF37" s="214">
        <v>0</v>
      </c>
      <c r="AG37" s="220" t="s">
        <v>52</v>
      </c>
      <c r="AH37" s="220" t="s">
        <v>52</v>
      </c>
      <c r="AI37" s="220" t="s">
        <v>52</v>
      </c>
      <c r="AJ37" s="222" t="s">
        <v>52</v>
      </c>
      <c r="AK37" s="217">
        <v>0</v>
      </c>
      <c r="AL37" s="218">
        <v>0</v>
      </c>
      <c r="AM37" s="218">
        <v>0</v>
      </c>
      <c r="AN37" s="213" t="s">
        <v>52</v>
      </c>
      <c r="AO37" s="23">
        <f t="shared" si="3"/>
        <v>0</v>
      </c>
    </row>
    <row r="38" spans="2:41" x14ac:dyDescent="0.2">
      <c r="B38" s="205"/>
      <c r="C38" s="246">
        <v>2.9</v>
      </c>
      <c r="D38" s="219" t="s">
        <v>81</v>
      </c>
      <c r="E38" s="208" t="s">
        <v>82</v>
      </c>
      <c r="F38" s="250">
        <v>330952.28000000003</v>
      </c>
      <c r="G38" s="220" t="s">
        <v>52</v>
      </c>
      <c r="H38" s="220" t="s">
        <v>52</v>
      </c>
      <c r="I38" s="220" t="s">
        <v>52</v>
      </c>
      <c r="J38" s="221" t="s">
        <v>52</v>
      </c>
      <c r="K38" s="214">
        <v>52085766.369999997</v>
      </c>
      <c r="L38" s="220" t="s">
        <v>52</v>
      </c>
      <c r="M38" s="220" t="s">
        <v>52</v>
      </c>
      <c r="N38" s="220" t="s">
        <v>52</v>
      </c>
      <c r="O38" s="221" t="s">
        <v>52</v>
      </c>
      <c r="P38" s="214">
        <v>107336310.8</v>
      </c>
      <c r="Q38" s="220" t="s">
        <v>52</v>
      </c>
      <c r="R38" s="220" t="s">
        <v>52</v>
      </c>
      <c r="S38" s="220" t="s">
        <v>52</v>
      </c>
      <c r="T38" s="221" t="s">
        <v>52</v>
      </c>
      <c r="U38" s="214">
        <v>0</v>
      </c>
      <c r="V38" s="221" t="s">
        <v>52</v>
      </c>
      <c r="W38" s="214">
        <v>0</v>
      </c>
      <c r="X38" s="221" t="s">
        <v>52</v>
      </c>
      <c r="Y38" s="214">
        <v>0</v>
      </c>
      <c r="Z38" s="221" t="s">
        <v>52</v>
      </c>
      <c r="AA38" s="214">
        <v>0</v>
      </c>
      <c r="AB38" s="220" t="s">
        <v>52</v>
      </c>
      <c r="AC38" s="220" t="s">
        <v>52</v>
      </c>
      <c r="AD38" s="220" t="s">
        <v>52</v>
      </c>
      <c r="AE38" s="221" t="s">
        <v>52</v>
      </c>
      <c r="AF38" s="214">
        <v>0</v>
      </c>
      <c r="AG38" s="220" t="s">
        <v>52</v>
      </c>
      <c r="AH38" s="220" t="s">
        <v>52</v>
      </c>
      <c r="AI38" s="220" t="s">
        <v>52</v>
      </c>
      <c r="AJ38" s="222" t="s">
        <v>52</v>
      </c>
      <c r="AK38" s="217">
        <v>0</v>
      </c>
      <c r="AL38" s="218">
        <v>0</v>
      </c>
      <c r="AM38" s="218">
        <v>0</v>
      </c>
      <c r="AN38" s="213" t="s">
        <v>52</v>
      </c>
      <c r="AO38" s="23">
        <f t="shared" si="3"/>
        <v>159753029.44999999</v>
      </c>
    </row>
    <row r="39" spans="2:41" x14ac:dyDescent="0.2">
      <c r="B39" s="205"/>
      <c r="C39" s="253">
        <v>2.1</v>
      </c>
      <c r="D39" s="219" t="s">
        <v>83</v>
      </c>
      <c r="E39" s="208" t="s">
        <v>84</v>
      </c>
      <c r="F39" s="250">
        <v>0</v>
      </c>
      <c r="G39" s="220" t="s">
        <v>52</v>
      </c>
      <c r="H39" s="220" t="s">
        <v>52</v>
      </c>
      <c r="I39" s="220" t="s">
        <v>52</v>
      </c>
      <c r="J39" s="221" t="s">
        <v>52</v>
      </c>
      <c r="K39" s="214">
        <v>0</v>
      </c>
      <c r="L39" s="220" t="s">
        <v>52</v>
      </c>
      <c r="M39" s="220" t="s">
        <v>52</v>
      </c>
      <c r="N39" s="220" t="s">
        <v>52</v>
      </c>
      <c r="O39" s="221" t="s">
        <v>52</v>
      </c>
      <c r="P39" s="214">
        <v>0</v>
      </c>
      <c r="Q39" s="220" t="s">
        <v>52</v>
      </c>
      <c r="R39" s="220" t="s">
        <v>52</v>
      </c>
      <c r="S39" s="220" t="s">
        <v>52</v>
      </c>
      <c r="T39" s="221" t="s">
        <v>52</v>
      </c>
      <c r="U39" s="214">
        <v>0</v>
      </c>
      <c r="V39" s="221" t="s">
        <v>52</v>
      </c>
      <c r="W39" s="214">
        <v>0</v>
      </c>
      <c r="X39" s="221" t="s">
        <v>52</v>
      </c>
      <c r="Y39" s="214">
        <v>0</v>
      </c>
      <c r="Z39" s="221" t="s">
        <v>52</v>
      </c>
      <c r="AA39" s="214">
        <v>0</v>
      </c>
      <c r="AB39" s="220" t="s">
        <v>52</v>
      </c>
      <c r="AC39" s="220" t="s">
        <v>52</v>
      </c>
      <c r="AD39" s="220" t="s">
        <v>52</v>
      </c>
      <c r="AE39" s="221" t="s">
        <v>52</v>
      </c>
      <c r="AF39" s="214">
        <v>0</v>
      </c>
      <c r="AG39" s="220" t="s">
        <v>52</v>
      </c>
      <c r="AH39" s="220" t="s">
        <v>52</v>
      </c>
      <c r="AI39" s="220" t="s">
        <v>52</v>
      </c>
      <c r="AJ39" s="222" t="s">
        <v>52</v>
      </c>
      <c r="AK39" s="217">
        <v>0</v>
      </c>
      <c r="AL39" s="218">
        <v>0</v>
      </c>
      <c r="AM39" s="218">
        <v>0</v>
      </c>
      <c r="AN39" s="213" t="s">
        <v>52</v>
      </c>
      <c r="AO39" s="23">
        <f t="shared" si="3"/>
        <v>0</v>
      </c>
    </row>
    <row r="40" spans="2:41" x14ac:dyDescent="0.2">
      <c r="B40" s="205"/>
      <c r="C40" s="246">
        <v>2.11</v>
      </c>
      <c r="D40" s="219" t="s">
        <v>85</v>
      </c>
      <c r="E40" s="208"/>
      <c r="F40" s="209">
        <f>F30+F34+F35+F36-F37+F38-F39</f>
        <v>214890255.88999999</v>
      </c>
      <c r="G40" s="220" t="s">
        <v>52</v>
      </c>
      <c r="H40" s="220" t="s">
        <v>52</v>
      </c>
      <c r="I40" s="220" t="s">
        <v>52</v>
      </c>
      <c r="J40" s="221" t="s">
        <v>52</v>
      </c>
      <c r="K40" s="209">
        <f>K30+K34+K35+K36-K37+K38-K39</f>
        <v>5478968911.2899981</v>
      </c>
      <c r="L40" s="220" t="s">
        <v>52</v>
      </c>
      <c r="M40" s="220" t="s">
        <v>52</v>
      </c>
      <c r="N40" s="220" t="s">
        <v>52</v>
      </c>
      <c r="O40" s="221" t="s">
        <v>52</v>
      </c>
      <c r="P40" s="209">
        <f>P30+P34+P35+P36-P37+P38-P39</f>
        <v>9859937620.5400009</v>
      </c>
      <c r="Q40" s="220" t="s">
        <v>52</v>
      </c>
      <c r="R40" s="220" t="s">
        <v>52</v>
      </c>
      <c r="S40" s="220" t="s">
        <v>52</v>
      </c>
      <c r="T40" s="221" t="s">
        <v>52</v>
      </c>
      <c r="U40" s="209">
        <f>U30+U34+U35+U36-U37+U38-U39</f>
        <v>412.71</v>
      </c>
      <c r="V40" s="221" t="s">
        <v>52</v>
      </c>
      <c r="W40" s="209">
        <f>W30+W34+W35+W36-W37+W38-W39</f>
        <v>0</v>
      </c>
      <c r="X40" s="221" t="s">
        <v>52</v>
      </c>
      <c r="Y40" s="209">
        <f>Y30+Y34+Y35+Y36-Y37+Y38-Y39</f>
        <v>0</v>
      </c>
      <c r="Z40" s="221" t="s">
        <v>52</v>
      </c>
      <c r="AA40" s="209">
        <f>AA30+AA34+AA35+AA36-AA37+AA38-AA39</f>
        <v>0</v>
      </c>
      <c r="AB40" s="220" t="s">
        <v>52</v>
      </c>
      <c r="AC40" s="220" t="s">
        <v>52</v>
      </c>
      <c r="AD40" s="220" t="s">
        <v>52</v>
      </c>
      <c r="AE40" s="221" t="s">
        <v>52</v>
      </c>
      <c r="AF40" s="209">
        <f>AF30+AF34+AF35+AF36-AF37+AF38-AF39</f>
        <v>170797.49</v>
      </c>
      <c r="AG40" s="220" t="s">
        <v>52</v>
      </c>
      <c r="AH40" s="220" t="s">
        <v>52</v>
      </c>
      <c r="AI40" s="220" t="s">
        <v>52</v>
      </c>
      <c r="AJ40" s="222" t="s">
        <v>52</v>
      </c>
      <c r="AK40" s="18">
        <f>AK30+AK34+AK35+AK36-AK37+AK38-AK39</f>
        <v>10457933483.279999</v>
      </c>
      <c r="AL40" s="212">
        <f>AL30+AL34+AL35+AL36-AL37+AL38-AL39</f>
        <v>7299485030.4599991</v>
      </c>
      <c r="AM40" s="15">
        <f>AM30+AM34+AM35+AM36-AM37+AM38-AM39</f>
        <v>0</v>
      </c>
      <c r="AN40" s="213" t="s">
        <v>52</v>
      </c>
      <c r="AO40" s="23">
        <f t="shared" si="3"/>
        <v>33311386511.659996</v>
      </c>
    </row>
    <row r="41" spans="2:41" s="32" customFormat="1" x14ac:dyDescent="0.2">
      <c r="B41" s="254"/>
      <c r="C41" s="255"/>
      <c r="D41" s="229"/>
      <c r="E41" s="230"/>
      <c r="F41" s="231"/>
      <c r="G41" s="232"/>
      <c r="H41" s="233"/>
      <c r="I41" s="233"/>
      <c r="J41" s="234"/>
      <c r="K41" s="231"/>
      <c r="L41" s="232"/>
      <c r="M41" s="233"/>
      <c r="N41" s="233"/>
      <c r="O41" s="234"/>
      <c r="P41" s="231"/>
      <c r="Q41" s="232"/>
      <c r="R41" s="233"/>
      <c r="S41" s="233"/>
      <c r="T41" s="234"/>
      <c r="U41" s="231"/>
      <c r="V41" s="234"/>
      <c r="W41" s="231"/>
      <c r="X41" s="234"/>
      <c r="Y41" s="231"/>
      <c r="Z41" s="234"/>
      <c r="AA41" s="231"/>
      <c r="AB41" s="232"/>
      <c r="AC41" s="233"/>
      <c r="AD41" s="233"/>
      <c r="AE41" s="234"/>
      <c r="AF41" s="231"/>
      <c r="AG41" s="232"/>
      <c r="AH41" s="233"/>
      <c r="AI41" s="233"/>
      <c r="AJ41" s="235"/>
      <c r="AK41" s="20"/>
      <c r="AL41" s="21"/>
      <c r="AM41" s="21"/>
      <c r="AN41" s="238"/>
      <c r="AO41" s="239"/>
    </row>
    <row r="42" spans="2:41" x14ac:dyDescent="0.2">
      <c r="B42" s="192" t="s">
        <v>86</v>
      </c>
      <c r="C42" s="193" t="s">
        <v>87</v>
      </c>
      <c r="D42" s="194"/>
      <c r="E42" s="195"/>
      <c r="F42" s="196"/>
      <c r="G42" s="197"/>
      <c r="H42" s="198"/>
      <c r="I42" s="198"/>
      <c r="J42" s="199"/>
      <c r="K42" s="196"/>
      <c r="L42" s="197"/>
      <c r="M42" s="198"/>
      <c r="N42" s="198"/>
      <c r="O42" s="199"/>
      <c r="P42" s="196"/>
      <c r="Q42" s="197"/>
      <c r="R42" s="198"/>
      <c r="S42" s="198"/>
      <c r="T42" s="199"/>
      <c r="U42" s="196"/>
      <c r="V42" s="199"/>
      <c r="W42" s="196"/>
      <c r="X42" s="199"/>
      <c r="Y42" s="196"/>
      <c r="Z42" s="199"/>
      <c r="AA42" s="196"/>
      <c r="AB42" s="197"/>
      <c r="AC42" s="198"/>
      <c r="AD42" s="198"/>
      <c r="AE42" s="199"/>
      <c r="AF42" s="196"/>
      <c r="AG42" s="197"/>
      <c r="AH42" s="198"/>
      <c r="AI42" s="198"/>
      <c r="AJ42" s="200"/>
      <c r="AK42" s="201"/>
      <c r="AL42" s="202"/>
      <c r="AM42" s="202"/>
      <c r="AN42" s="203"/>
      <c r="AO42" s="204"/>
    </row>
    <row r="43" spans="2:41" x14ac:dyDescent="0.2">
      <c r="B43" s="205"/>
      <c r="C43" s="256">
        <v>3.1</v>
      </c>
      <c r="D43" s="207" t="s">
        <v>88</v>
      </c>
      <c r="E43" s="208" t="s">
        <v>89</v>
      </c>
      <c r="F43" s="250">
        <v>-6396531.1399999997</v>
      </c>
      <c r="G43" s="15">
        <f>F43</f>
        <v>-6396531.1399999997</v>
      </c>
      <c r="H43" s="13"/>
      <c r="I43" s="257">
        <v>0</v>
      </c>
      <c r="J43" s="18">
        <f t="shared" ref="J43:J48" si="4">G43+H43-I43</f>
        <v>-6396531.1399999997</v>
      </c>
      <c r="K43" s="214">
        <v>343429645.95999998</v>
      </c>
      <c r="L43" s="15">
        <f>K43</f>
        <v>343429645.95999998</v>
      </c>
      <c r="M43" s="13"/>
      <c r="N43" s="216">
        <v>0</v>
      </c>
      <c r="O43" s="18">
        <f>L43+M43-N43</f>
        <v>343429645.95999998</v>
      </c>
      <c r="P43" s="214">
        <v>424354940.91000003</v>
      </c>
      <c r="Q43" s="15">
        <f>P43</f>
        <v>424354940.91000003</v>
      </c>
      <c r="R43" s="13"/>
      <c r="S43" s="216">
        <v>0</v>
      </c>
      <c r="T43" s="18">
        <f>Q43+R43-S43</f>
        <v>424354940.91000003</v>
      </c>
      <c r="U43" s="214">
        <v>1066.0899999999999</v>
      </c>
      <c r="V43" s="18">
        <f>U43</f>
        <v>1066.0899999999999</v>
      </c>
      <c r="W43" s="214">
        <v>0</v>
      </c>
      <c r="X43" s="18">
        <f>W43</f>
        <v>0</v>
      </c>
      <c r="Y43" s="214">
        <v>0</v>
      </c>
      <c r="Z43" s="18">
        <f>Y43</f>
        <v>0</v>
      </c>
      <c r="AA43" s="214">
        <v>0</v>
      </c>
      <c r="AB43" s="15">
        <f>AA43</f>
        <v>0</v>
      </c>
      <c r="AC43" s="13"/>
      <c r="AD43" s="216">
        <v>0</v>
      </c>
      <c r="AE43" s="18">
        <f>AB43+AC43-AD43</f>
        <v>0</v>
      </c>
      <c r="AF43" s="214">
        <v>-2368081.6800000002</v>
      </c>
      <c r="AG43" s="15">
        <f>AF43</f>
        <v>-2368081.6800000002</v>
      </c>
      <c r="AH43" s="13"/>
      <c r="AI43" s="216">
        <v>0</v>
      </c>
      <c r="AJ43" s="19">
        <f>AG43+AH43-AI43</f>
        <v>-2368081.6800000002</v>
      </c>
      <c r="AK43" s="217">
        <v>393603830.86000001</v>
      </c>
      <c r="AL43" s="218">
        <v>118411389.68000001</v>
      </c>
      <c r="AM43" s="218">
        <v>0</v>
      </c>
      <c r="AN43" s="258">
        <v>11411073.140000001</v>
      </c>
      <c r="AO43" s="23">
        <f>SUM($F43,$K43,$P43,$U43,$W43,$Y43,$AA43,$AF43,$AK43,$AL43,$AM43,$AN43)</f>
        <v>1282447333.8200002</v>
      </c>
    </row>
    <row r="44" spans="2:41" x14ac:dyDescent="0.2">
      <c r="B44" s="205"/>
      <c r="C44" s="256">
        <v>3.2</v>
      </c>
      <c r="D44" s="207" t="s">
        <v>90</v>
      </c>
      <c r="E44" s="208"/>
      <c r="F44" s="14"/>
      <c r="G44" s="242"/>
      <c r="H44" s="242"/>
      <c r="I44" s="242"/>
      <c r="J44" s="243"/>
      <c r="K44" s="14"/>
      <c r="L44" s="242"/>
      <c r="M44" s="242"/>
      <c r="N44" s="242"/>
      <c r="O44" s="243"/>
      <c r="P44" s="14"/>
      <c r="Q44" s="242"/>
      <c r="R44" s="242"/>
      <c r="S44" s="242"/>
      <c r="T44" s="243"/>
      <c r="U44" s="14"/>
      <c r="V44" s="243"/>
      <c r="W44" s="14"/>
      <c r="X44" s="243"/>
      <c r="Y44" s="14"/>
      <c r="Z44" s="243"/>
      <c r="AA44" s="14"/>
      <c r="AB44" s="242"/>
      <c r="AC44" s="242"/>
      <c r="AD44" s="242"/>
      <c r="AE44" s="243"/>
      <c r="AF44" s="14"/>
      <c r="AG44" s="242"/>
      <c r="AH44" s="242"/>
      <c r="AI44" s="242"/>
      <c r="AJ44" s="244"/>
      <c r="AK44" s="20"/>
      <c r="AL44" s="20"/>
      <c r="AM44" s="21"/>
      <c r="AN44" s="242"/>
      <c r="AO44" s="259"/>
    </row>
    <row r="45" spans="2:41" x14ac:dyDescent="0.2">
      <c r="B45" s="205"/>
      <c r="C45" s="256"/>
      <c r="D45" s="207" t="s">
        <v>91</v>
      </c>
      <c r="E45" s="208" t="s">
        <v>92</v>
      </c>
      <c r="F45" s="250">
        <v>-423355.21</v>
      </c>
      <c r="G45" s="15">
        <f>F45</f>
        <v>-423355.21</v>
      </c>
      <c r="H45" s="13"/>
      <c r="I45" s="257">
        <v>0</v>
      </c>
      <c r="J45" s="18">
        <f t="shared" si="4"/>
        <v>-423355.21</v>
      </c>
      <c r="K45" s="214">
        <v>13752967.710000001</v>
      </c>
      <c r="L45" s="15">
        <f>K45</f>
        <v>13752967.710000001</v>
      </c>
      <c r="M45" s="13"/>
      <c r="N45" s="216">
        <v>0</v>
      </c>
      <c r="O45" s="18">
        <f>L45+M45-N45</f>
        <v>13752967.710000001</v>
      </c>
      <c r="P45" s="214">
        <v>17871405.75</v>
      </c>
      <c r="Q45" s="15">
        <f>P45</f>
        <v>17871405.75</v>
      </c>
      <c r="R45" s="13"/>
      <c r="S45" s="216">
        <v>0</v>
      </c>
      <c r="T45" s="18">
        <f>Q45+R45-S45</f>
        <v>17871405.75</v>
      </c>
      <c r="U45" s="214">
        <v>0</v>
      </c>
      <c r="V45" s="18">
        <f>U45</f>
        <v>0</v>
      </c>
      <c r="W45" s="214">
        <v>0</v>
      </c>
      <c r="X45" s="18">
        <f>W45</f>
        <v>0</v>
      </c>
      <c r="Y45" s="214">
        <v>0</v>
      </c>
      <c r="Z45" s="18">
        <f>Y45</f>
        <v>0</v>
      </c>
      <c r="AA45" s="214">
        <v>0</v>
      </c>
      <c r="AB45" s="15">
        <f>AA45</f>
        <v>0</v>
      </c>
      <c r="AC45" s="13"/>
      <c r="AD45" s="216">
        <v>0</v>
      </c>
      <c r="AE45" s="18">
        <f>AB45+AC45-AD45</f>
        <v>0</v>
      </c>
      <c r="AF45" s="214">
        <v>0</v>
      </c>
      <c r="AG45" s="15">
        <f>AF45</f>
        <v>0</v>
      </c>
      <c r="AH45" s="13"/>
      <c r="AI45" s="216">
        <v>0</v>
      </c>
      <c r="AJ45" s="19">
        <f>AG45+AH45-AI45</f>
        <v>0</v>
      </c>
      <c r="AK45" s="217">
        <v>21191988.190000001</v>
      </c>
      <c r="AL45" s="218">
        <v>7471329.2800000003</v>
      </c>
      <c r="AM45" s="218">
        <v>0</v>
      </c>
      <c r="AN45" s="258">
        <v>500758.77</v>
      </c>
      <c r="AO45" s="23">
        <f>SUM($F45,$K45,$P45,$U45,$W45,$Y45,$AA45,$AF45,$AK45,$AL45,$AM45,$AN45)</f>
        <v>60365094.490000002</v>
      </c>
    </row>
    <row r="46" spans="2:41" x14ac:dyDescent="0.2">
      <c r="B46" s="205"/>
      <c r="C46" s="256"/>
      <c r="D46" s="207" t="s">
        <v>93</v>
      </c>
      <c r="E46" s="208" t="s">
        <v>92</v>
      </c>
      <c r="F46" s="250">
        <v>2666385.92</v>
      </c>
      <c r="G46" s="15">
        <f>F46</f>
        <v>2666385.92</v>
      </c>
      <c r="H46" s="13"/>
      <c r="I46" s="257">
        <v>0</v>
      </c>
      <c r="J46" s="18">
        <f t="shared" si="4"/>
        <v>2666385.92</v>
      </c>
      <c r="K46" s="214">
        <v>89325238.519999996</v>
      </c>
      <c r="L46" s="15">
        <f>K46</f>
        <v>89325238.519999996</v>
      </c>
      <c r="M46" s="13"/>
      <c r="N46" s="216">
        <v>0</v>
      </c>
      <c r="O46" s="18">
        <f>L46+M46-N46</f>
        <v>89325238.519999996</v>
      </c>
      <c r="P46" s="214">
        <v>156384190.18000001</v>
      </c>
      <c r="Q46" s="15">
        <f>P46</f>
        <v>156384190.18000001</v>
      </c>
      <c r="R46" s="13"/>
      <c r="S46" s="216">
        <v>0</v>
      </c>
      <c r="T46" s="18">
        <f>Q46+R46-S46</f>
        <v>156384190.18000001</v>
      </c>
      <c r="U46" s="214">
        <v>81.66</v>
      </c>
      <c r="V46" s="18">
        <f>U46</f>
        <v>81.66</v>
      </c>
      <c r="W46" s="214">
        <v>0</v>
      </c>
      <c r="X46" s="18">
        <f>W46</f>
        <v>0</v>
      </c>
      <c r="Y46" s="214">
        <v>0</v>
      </c>
      <c r="Z46" s="18">
        <f>Y46</f>
        <v>0</v>
      </c>
      <c r="AA46" s="214">
        <v>0</v>
      </c>
      <c r="AB46" s="15">
        <f>AA46</f>
        <v>0</v>
      </c>
      <c r="AC46" s="13"/>
      <c r="AD46" s="216">
        <v>0</v>
      </c>
      <c r="AE46" s="18">
        <f>AB46+AC46-AD46</f>
        <v>0</v>
      </c>
      <c r="AF46" s="214">
        <v>1114.92</v>
      </c>
      <c r="AG46" s="15">
        <f>AF46</f>
        <v>1114.92</v>
      </c>
      <c r="AH46" s="13"/>
      <c r="AI46" s="216">
        <v>0</v>
      </c>
      <c r="AJ46" s="19">
        <f>AG46+AH46-AI46</f>
        <v>1114.92</v>
      </c>
      <c r="AK46" s="217">
        <v>36086307.009999998</v>
      </c>
      <c r="AL46" s="218">
        <v>155664696.77000001</v>
      </c>
      <c r="AM46" s="218">
        <v>0</v>
      </c>
      <c r="AN46" s="258">
        <v>0</v>
      </c>
      <c r="AO46" s="23">
        <f>SUM($F46,$K46,$P46,$U46,$W46,$Y46,$AA46,$AF46,$AK46,$AL46,$AM46,$AN46)</f>
        <v>440128014.98000002</v>
      </c>
    </row>
    <row r="47" spans="2:41" x14ac:dyDescent="0.2">
      <c r="B47" s="205"/>
      <c r="C47" s="256"/>
      <c r="D47" s="207" t="s">
        <v>94</v>
      </c>
      <c r="E47" s="208" t="s">
        <v>92</v>
      </c>
      <c r="F47" s="14"/>
      <c r="G47" s="15">
        <f>F47</f>
        <v>0</v>
      </c>
      <c r="H47" s="16"/>
      <c r="I47" s="17"/>
      <c r="J47" s="18">
        <f t="shared" si="4"/>
        <v>0</v>
      </c>
      <c r="K47" s="14"/>
      <c r="L47" s="15">
        <f>K47</f>
        <v>0</v>
      </c>
      <c r="M47" s="16"/>
      <c r="N47" s="17"/>
      <c r="O47" s="18">
        <f>L47+M47-N47</f>
        <v>0</v>
      </c>
      <c r="P47" s="14"/>
      <c r="Q47" s="15">
        <f>P47</f>
        <v>0</v>
      </c>
      <c r="R47" s="16"/>
      <c r="S47" s="17"/>
      <c r="T47" s="18">
        <f>Q47+R47-S47</f>
        <v>0</v>
      </c>
      <c r="U47" s="14"/>
      <c r="V47" s="18">
        <f>U47</f>
        <v>0</v>
      </c>
      <c r="W47" s="14"/>
      <c r="X47" s="18">
        <f>W47</f>
        <v>0</v>
      </c>
      <c r="Y47" s="14"/>
      <c r="Z47" s="18">
        <f>Y47</f>
        <v>0</v>
      </c>
      <c r="AA47" s="14"/>
      <c r="AB47" s="15">
        <f>AA47</f>
        <v>0</v>
      </c>
      <c r="AC47" s="16"/>
      <c r="AD47" s="17"/>
      <c r="AE47" s="18">
        <f>AB47+AC47-AD47</f>
        <v>0</v>
      </c>
      <c r="AF47" s="14"/>
      <c r="AG47" s="15">
        <f>AF47</f>
        <v>0</v>
      </c>
      <c r="AH47" s="16"/>
      <c r="AI47" s="17"/>
      <c r="AJ47" s="19">
        <f>AG47+AH47-AI47</f>
        <v>0</v>
      </c>
      <c r="AK47" s="20"/>
      <c r="AL47" s="21"/>
      <c r="AM47" s="21"/>
      <c r="AN47" s="22"/>
      <c r="AO47" s="23">
        <f>SUM($F47,$K47,$P47,$U47,$W47,$Y47,$AA47,$AF47,$AK47,$AL47,$AM47,$AN47)</f>
        <v>0</v>
      </c>
    </row>
    <row r="48" spans="2:41" x14ac:dyDescent="0.2">
      <c r="B48" s="205"/>
      <c r="C48" s="256">
        <v>3.3</v>
      </c>
      <c r="D48" s="207" t="s">
        <v>95</v>
      </c>
      <c r="E48" s="208" t="s">
        <v>96</v>
      </c>
      <c r="F48" s="250">
        <v>34038.300000000003</v>
      </c>
      <c r="G48" s="15">
        <f>F48</f>
        <v>34038.300000000003</v>
      </c>
      <c r="H48" s="13"/>
      <c r="I48" s="257">
        <v>0</v>
      </c>
      <c r="J48" s="18">
        <f t="shared" si="4"/>
        <v>34038.300000000003</v>
      </c>
      <c r="K48" s="214">
        <v>1690536.15</v>
      </c>
      <c r="L48" s="15">
        <f>K48</f>
        <v>1690536.15</v>
      </c>
      <c r="M48" s="13"/>
      <c r="N48" s="216">
        <v>0</v>
      </c>
      <c r="O48" s="18">
        <f>L48+M48-N48</f>
        <v>1690536.15</v>
      </c>
      <c r="P48" s="214">
        <v>2462044.81</v>
      </c>
      <c r="Q48" s="15">
        <f>P48</f>
        <v>2462044.81</v>
      </c>
      <c r="R48" s="13"/>
      <c r="S48" s="216">
        <v>0</v>
      </c>
      <c r="T48" s="18">
        <f>Q48+R48-S48</f>
        <v>2462044.81</v>
      </c>
      <c r="U48" s="214">
        <v>0</v>
      </c>
      <c r="V48" s="18">
        <f>U48</f>
        <v>0</v>
      </c>
      <c r="W48" s="214">
        <v>0</v>
      </c>
      <c r="X48" s="18">
        <f>W48</f>
        <v>0</v>
      </c>
      <c r="Y48" s="214">
        <v>0</v>
      </c>
      <c r="Z48" s="18">
        <f>Y48</f>
        <v>0</v>
      </c>
      <c r="AA48" s="214">
        <v>0</v>
      </c>
      <c r="AB48" s="15">
        <f>AA48</f>
        <v>0</v>
      </c>
      <c r="AC48" s="13"/>
      <c r="AD48" s="216">
        <v>0</v>
      </c>
      <c r="AE48" s="18">
        <f>AB48+AC48-AD48</f>
        <v>0</v>
      </c>
      <c r="AF48" s="214">
        <v>0</v>
      </c>
      <c r="AG48" s="15">
        <f>AF48</f>
        <v>0</v>
      </c>
      <c r="AH48" s="13"/>
      <c r="AI48" s="216">
        <v>0</v>
      </c>
      <c r="AJ48" s="19">
        <f>AG48+AH48-AI48</f>
        <v>0</v>
      </c>
      <c r="AK48" s="217">
        <v>678922.34</v>
      </c>
      <c r="AL48" s="218">
        <v>2274305.5099999998</v>
      </c>
      <c r="AM48" s="218">
        <v>0</v>
      </c>
      <c r="AN48" s="258">
        <v>0</v>
      </c>
      <c r="AO48" s="23">
        <f>SUM($F48,$K48,$P48,$U48,$W48,$Y48,$AA48,$AF48,$AK48,$AL48,$AM48,$AN48)</f>
        <v>7139847.1099999994</v>
      </c>
    </row>
    <row r="49" spans="2:41" ht="24.75" customHeight="1" x14ac:dyDescent="0.2">
      <c r="B49" s="205"/>
      <c r="C49" s="256">
        <v>3.4</v>
      </c>
      <c r="D49" s="219" t="str">
        <f>"Total Federal and State taxes and fees to be excluded from Premium (Lines "&amp;$C$43&amp;" + "&amp;$C$44&amp;"a + Max("&amp;$C$44&amp;"b or "&amp;$C$44&amp;"c)  + "&amp;$C$48&amp;")"</f>
        <v>Total Federal and State taxes and fees to be excluded from Premium (Lines 3.1 + 3.2a + Max(3.2b or 3.2c)  + 3.3)</v>
      </c>
      <c r="E49" s="208"/>
      <c r="F49" s="209">
        <f>IF($L$10="YES",SUM(F$43+F$45+MAX(F$46,F$47)+F$48),SUM(F$43+F$45+F$46+F$48))</f>
        <v>-4119462.13</v>
      </c>
      <c r="G49" s="15">
        <f t="shared" ref="G49:AN49" si="5">IF($L$10="YES",SUM(G$43+G$45+MAX(G$46,G$47)+G$48),SUM(G$43+G$45+G$46+G$48))</f>
        <v>-4119462.13</v>
      </c>
      <c r="H49" s="15">
        <f t="shared" si="5"/>
        <v>0</v>
      </c>
      <c r="I49" s="15">
        <f t="shared" si="5"/>
        <v>0</v>
      </c>
      <c r="J49" s="18">
        <f t="shared" si="5"/>
        <v>-4119462.13</v>
      </c>
      <c r="K49" s="209">
        <f t="shared" si="5"/>
        <v>448198388.33999991</v>
      </c>
      <c r="L49" s="15">
        <f t="shared" si="5"/>
        <v>448198388.33999991</v>
      </c>
      <c r="M49" s="15">
        <f t="shared" si="5"/>
        <v>0</v>
      </c>
      <c r="N49" s="15">
        <f t="shared" si="5"/>
        <v>0</v>
      </c>
      <c r="O49" s="18">
        <f t="shared" si="5"/>
        <v>448198388.33999991</v>
      </c>
      <c r="P49" s="209">
        <f t="shared" si="5"/>
        <v>601072581.64999998</v>
      </c>
      <c r="Q49" s="15">
        <f t="shared" si="5"/>
        <v>601072581.64999998</v>
      </c>
      <c r="R49" s="15">
        <f t="shared" si="5"/>
        <v>0</v>
      </c>
      <c r="S49" s="15">
        <f t="shared" si="5"/>
        <v>0</v>
      </c>
      <c r="T49" s="18">
        <f t="shared" si="5"/>
        <v>601072581.64999998</v>
      </c>
      <c r="U49" s="209">
        <f t="shared" si="5"/>
        <v>1147.75</v>
      </c>
      <c r="V49" s="15">
        <f t="shared" si="5"/>
        <v>1147.75</v>
      </c>
      <c r="W49" s="209">
        <f t="shared" si="5"/>
        <v>0</v>
      </c>
      <c r="X49" s="15">
        <f t="shared" si="5"/>
        <v>0</v>
      </c>
      <c r="Y49" s="209">
        <f t="shared" si="5"/>
        <v>0</v>
      </c>
      <c r="Z49" s="15">
        <f t="shared" si="5"/>
        <v>0</v>
      </c>
      <c r="AA49" s="209">
        <f t="shared" si="5"/>
        <v>0</v>
      </c>
      <c r="AB49" s="15">
        <f t="shared" si="5"/>
        <v>0</v>
      </c>
      <c r="AC49" s="15">
        <f t="shared" si="5"/>
        <v>0</v>
      </c>
      <c r="AD49" s="15">
        <f t="shared" si="5"/>
        <v>0</v>
      </c>
      <c r="AE49" s="18">
        <f t="shared" si="5"/>
        <v>0</v>
      </c>
      <c r="AF49" s="209">
        <f t="shared" si="5"/>
        <v>-2366966.7600000002</v>
      </c>
      <c r="AG49" s="15">
        <f t="shared" si="5"/>
        <v>-2366966.7600000002</v>
      </c>
      <c r="AH49" s="15">
        <f t="shared" si="5"/>
        <v>0</v>
      </c>
      <c r="AI49" s="15">
        <f t="shared" si="5"/>
        <v>0</v>
      </c>
      <c r="AJ49" s="18">
        <f t="shared" si="5"/>
        <v>-2366966.7600000002</v>
      </c>
      <c r="AK49" s="209">
        <f t="shared" si="5"/>
        <v>451561048.39999998</v>
      </c>
      <c r="AL49" s="15">
        <f t="shared" si="5"/>
        <v>283821721.24000001</v>
      </c>
      <c r="AM49" s="15">
        <f t="shared" si="5"/>
        <v>0</v>
      </c>
      <c r="AN49" s="15">
        <f t="shared" si="5"/>
        <v>11911831.91</v>
      </c>
      <c r="AO49" s="23">
        <f>SUM($F49,$K49,$P49,$U49,$W49,$Y49,$AA49,$AF49,$AK49,$AL49,$AM49,$AN49)</f>
        <v>1790080290.4000001</v>
      </c>
    </row>
    <row r="50" spans="2:41" s="32" customFormat="1" x14ac:dyDescent="0.2">
      <c r="B50" s="254"/>
      <c r="C50" s="255"/>
      <c r="D50" s="229"/>
      <c r="E50" s="230"/>
      <c r="F50" s="231"/>
      <c r="G50" s="232"/>
      <c r="H50" s="233"/>
      <c r="I50" s="233"/>
      <c r="J50" s="234"/>
      <c r="K50" s="231"/>
      <c r="L50" s="232"/>
      <c r="M50" s="233"/>
      <c r="N50" s="233"/>
      <c r="O50" s="234"/>
      <c r="P50" s="231"/>
      <c r="Q50" s="232"/>
      <c r="R50" s="233"/>
      <c r="S50" s="233"/>
      <c r="T50" s="234"/>
      <c r="U50" s="231"/>
      <c r="V50" s="234"/>
      <c r="W50" s="231"/>
      <c r="X50" s="234"/>
      <c r="Y50" s="231"/>
      <c r="Z50" s="234"/>
      <c r="AA50" s="231"/>
      <c r="AB50" s="232"/>
      <c r="AC50" s="233"/>
      <c r="AD50" s="233"/>
      <c r="AE50" s="234"/>
      <c r="AF50" s="231"/>
      <c r="AG50" s="232"/>
      <c r="AH50" s="233"/>
      <c r="AI50" s="233"/>
      <c r="AJ50" s="235"/>
      <c r="AK50" s="20"/>
      <c r="AL50" s="21"/>
      <c r="AM50" s="21"/>
      <c r="AN50" s="238"/>
      <c r="AO50" s="239"/>
    </row>
    <row r="51" spans="2:41" x14ac:dyDescent="0.2">
      <c r="B51" s="205" t="s">
        <v>97</v>
      </c>
      <c r="C51" s="260" t="s">
        <v>98</v>
      </c>
      <c r="D51" s="261"/>
      <c r="E51" s="262"/>
      <c r="F51" s="14"/>
      <c r="G51" s="242"/>
      <c r="H51" s="17"/>
      <c r="I51" s="17"/>
      <c r="J51" s="243"/>
      <c r="K51" s="14"/>
      <c r="L51" s="242"/>
      <c r="M51" s="17"/>
      <c r="N51" s="17"/>
      <c r="O51" s="243"/>
      <c r="P51" s="14"/>
      <c r="Q51" s="242"/>
      <c r="R51" s="17"/>
      <c r="S51" s="17"/>
      <c r="T51" s="243"/>
      <c r="U51" s="14"/>
      <c r="V51" s="243"/>
      <c r="W51" s="14"/>
      <c r="X51" s="243"/>
      <c r="Y51" s="14"/>
      <c r="Z51" s="243"/>
      <c r="AA51" s="14"/>
      <c r="AB51" s="242"/>
      <c r="AC51" s="17"/>
      <c r="AD51" s="17"/>
      <c r="AE51" s="243"/>
      <c r="AF51" s="14"/>
      <c r="AG51" s="242"/>
      <c r="AH51" s="17"/>
      <c r="AI51" s="17"/>
      <c r="AJ51" s="244"/>
      <c r="AK51" s="201"/>
      <c r="AL51" s="202"/>
      <c r="AM51" s="202"/>
      <c r="AN51" s="200"/>
      <c r="AO51" s="204"/>
    </row>
    <row r="52" spans="2:41" x14ac:dyDescent="0.2">
      <c r="B52" s="263"/>
      <c r="C52" s="256">
        <v>4.0999999999999996</v>
      </c>
      <c r="D52" s="207" t="s">
        <v>99</v>
      </c>
      <c r="E52" s="208" t="s">
        <v>100</v>
      </c>
      <c r="F52" s="209">
        <f>'Pt 3'!$F$16</f>
        <v>519619.16</v>
      </c>
      <c r="G52" s="15">
        <f>F52</f>
        <v>519619.16</v>
      </c>
      <c r="H52" s="210">
        <f>SUM('Pt 3'!$F$17)</f>
        <v>0</v>
      </c>
      <c r="I52" s="210">
        <f>SUM('Pt 3'!$F$18)</f>
        <v>0</v>
      </c>
      <c r="J52" s="18">
        <f>G52+H52-I52</f>
        <v>519619.16</v>
      </c>
      <c r="K52" s="209">
        <f>'Pt 3'!$F$21</f>
        <v>49229753.810000002</v>
      </c>
      <c r="L52" s="15">
        <f>K52</f>
        <v>49229753.810000002</v>
      </c>
      <c r="M52" s="210">
        <f>SUM('Pt 3'!$F$22)</f>
        <v>0</v>
      </c>
      <c r="N52" s="210">
        <f>SUM('Pt 3'!$F$23)</f>
        <v>0</v>
      </c>
      <c r="O52" s="18">
        <f>L52+M52-N52</f>
        <v>49229753.810000002</v>
      </c>
      <c r="P52" s="209">
        <f>'Pt 3'!$F$26</f>
        <v>82617978.930000007</v>
      </c>
      <c r="Q52" s="15">
        <f>P52</f>
        <v>82617978.930000007</v>
      </c>
      <c r="R52" s="210">
        <f>SUM('Pt 3'!$F$27)</f>
        <v>0</v>
      </c>
      <c r="S52" s="210">
        <f>SUM('Pt 3'!$F$28)</f>
        <v>0</v>
      </c>
      <c r="T52" s="18">
        <f>Q52+R52-S52</f>
        <v>82617978.930000007</v>
      </c>
      <c r="U52" s="209">
        <f>'Pt 3'!$F$32</f>
        <v>0</v>
      </c>
      <c r="V52" s="18">
        <f t="shared" ref="V52:X56" si="6">U52</f>
        <v>0</v>
      </c>
      <c r="W52" s="209">
        <f>'Pt 3'!$F$33</f>
        <v>0</v>
      </c>
      <c r="X52" s="18">
        <f t="shared" si="6"/>
        <v>0</v>
      </c>
      <c r="Y52" s="209">
        <f>'Pt 3'!$F$34</f>
        <v>0</v>
      </c>
      <c r="Z52" s="18">
        <f>Y52</f>
        <v>0</v>
      </c>
      <c r="AA52" s="209">
        <f>'Pt 3'!$F$37</f>
        <v>0</v>
      </c>
      <c r="AB52" s="15">
        <f>AA52</f>
        <v>0</v>
      </c>
      <c r="AC52" s="210">
        <f>SUM('Pt 3'!$F$38)</f>
        <v>0</v>
      </c>
      <c r="AD52" s="210">
        <f>SUM('Pt 3'!$F$39)</f>
        <v>0</v>
      </c>
      <c r="AE52" s="18">
        <f>AB52+AC52-AD52</f>
        <v>0</v>
      </c>
      <c r="AF52" s="209">
        <f>'Pt 3'!$F$42</f>
        <v>256.11</v>
      </c>
      <c r="AG52" s="15">
        <f>AF52</f>
        <v>256.11</v>
      </c>
      <c r="AH52" s="210">
        <f>SUM('Pt 3'!$F$43)</f>
        <v>0</v>
      </c>
      <c r="AI52" s="210">
        <f>SUM('Pt 3'!$F$44)</f>
        <v>0</v>
      </c>
      <c r="AJ52" s="19">
        <f>AG52+AH52-AI52</f>
        <v>256.11</v>
      </c>
      <c r="AK52" s="211">
        <f>'Pt 3'!$F$48</f>
        <v>69870960.799999997</v>
      </c>
      <c r="AL52" s="212">
        <f>'Pt 3'!$F$49</f>
        <v>34154144.600000001</v>
      </c>
      <c r="AM52" s="212">
        <f>'Pt 3'!$F$50</f>
        <v>0</v>
      </c>
      <c r="AN52" s="264">
        <f>'Pt 3'!$F$51</f>
        <v>3694411.11</v>
      </c>
      <c r="AO52" s="23">
        <f t="shared" ref="AO52:AO57" si="7">SUM($F52,$K52,$P52,$U52,$W52,$Y52,$AA52,$AF52,$AK52,$AL52,$AM52,$AN52)</f>
        <v>240087124.52000001</v>
      </c>
    </row>
    <row r="53" spans="2:41" x14ac:dyDescent="0.2">
      <c r="B53" s="263"/>
      <c r="C53" s="256">
        <v>4.2</v>
      </c>
      <c r="D53" s="207" t="s">
        <v>101</v>
      </c>
      <c r="E53" s="208" t="s">
        <v>102</v>
      </c>
      <c r="F53" s="209">
        <f>'Pt 3'!$G$16</f>
        <v>13701.48</v>
      </c>
      <c r="G53" s="15">
        <f>F53</f>
        <v>13701.48</v>
      </c>
      <c r="H53" s="210">
        <f>SUM('Pt 3'!$G$17)</f>
        <v>0</v>
      </c>
      <c r="I53" s="210">
        <f>SUM('Pt 3'!$G$18)</f>
        <v>0</v>
      </c>
      <c r="J53" s="18">
        <f>G53+H53-I53</f>
        <v>13701.48</v>
      </c>
      <c r="K53" s="209">
        <f>'Pt 3'!$G$21</f>
        <v>4697029.51</v>
      </c>
      <c r="L53" s="15">
        <f>K53</f>
        <v>4697029.51</v>
      </c>
      <c r="M53" s="210">
        <f>SUM('Pt 3'!$G$22)</f>
        <v>0</v>
      </c>
      <c r="N53" s="210">
        <f>SUM('Pt 3'!$G$23)</f>
        <v>0</v>
      </c>
      <c r="O53" s="18">
        <f>L53+M53-N53</f>
        <v>4697029.51</v>
      </c>
      <c r="P53" s="209">
        <f>'Pt 3'!$G$26</f>
        <v>8008921.8799999999</v>
      </c>
      <c r="Q53" s="15">
        <f>P53</f>
        <v>8008921.8799999999</v>
      </c>
      <c r="R53" s="210">
        <f>SUM('Pt 3'!$G$27)</f>
        <v>0</v>
      </c>
      <c r="S53" s="210">
        <f>SUM('Pt 3'!$G$28)</f>
        <v>0</v>
      </c>
      <c r="T53" s="18">
        <f>Q53+R53-S53</f>
        <v>8008921.8799999999</v>
      </c>
      <c r="U53" s="209">
        <f>'Pt 3'!$G$32</f>
        <v>0</v>
      </c>
      <c r="V53" s="18">
        <f t="shared" si="6"/>
        <v>0</v>
      </c>
      <c r="W53" s="209">
        <f>'Pt 3'!$G$33</f>
        <v>0</v>
      </c>
      <c r="X53" s="18">
        <f t="shared" si="6"/>
        <v>0</v>
      </c>
      <c r="Y53" s="209">
        <f>'Pt 3'!$G$34</f>
        <v>0</v>
      </c>
      <c r="Z53" s="18">
        <f>Y53</f>
        <v>0</v>
      </c>
      <c r="AA53" s="209">
        <f>'Pt 3'!$G$37</f>
        <v>0</v>
      </c>
      <c r="AB53" s="15">
        <f>AA53</f>
        <v>0</v>
      </c>
      <c r="AC53" s="210">
        <f>SUM('Pt 3'!$G$38)</f>
        <v>0</v>
      </c>
      <c r="AD53" s="210">
        <f>SUM('Pt 3'!$G$39)</f>
        <v>0</v>
      </c>
      <c r="AE53" s="18">
        <f>AB53+AC53-AD53</f>
        <v>0</v>
      </c>
      <c r="AF53" s="209">
        <f>'Pt 3'!$G$42</f>
        <v>72150</v>
      </c>
      <c r="AG53" s="15">
        <f>AF53</f>
        <v>72150</v>
      </c>
      <c r="AH53" s="210">
        <f>SUM('Pt 3'!$G$43)</f>
        <v>0</v>
      </c>
      <c r="AI53" s="210">
        <f>SUM('Pt 3'!$G$44)</f>
        <v>0</v>
      </c>
      <c r="AJ53" s="19">
        <f>AG53+AH53-AI53</f>
        <v>72150</v>
      </c>
      <c r="AK53" s="211">
        <f>'Pt 3'!$G$48</f>
        <v>11196110.66</v>
      </c>
      <c r="AL53" s="212">
        <f>'Pt 3'!$G$49</f>
        <v>2422245.59</v>
      </c>
      <c r="AM53" s="212">
        <f>'Pt 3'!$G$50</f>
        <v>0</v>
      </c>
      <c r="AN53" s="264">
        <f>'Pt 3'!$G$51</f>
        <v>1140017.8500000001</v>
      </c>
      <c r="AO53" s="23">
        <f t="shared" si="7"/>
        <v>27550176.970000003</v>
      </c>
    </row>
    <row r="54" spans="2:41" x14ac:dyDescent="0.2">
      <c r="B54" s="263"/>
      <c r="C54" s="256">
        <v>4.3</v>
      </c>
      <c r="D54" s="207" t="s">
        <v>103</v>
      </c>
      <c r="E54" s="208" t="s">
        <v>104</v>
      </c>
      <c r="F54" s="209">
        <f>'Pt 3'!$H$16</f>
        <v>12580.09</v>
      </c>
      <c r="G54" s="15">
        <f>F54</f>
        <v>12580.09</v>
      </c>
      <c r="H54" s="210">
        <f>SUM('Pt 3'!$H$17)</f>
        <v>0</v>
      </c>
      <c r="I54" s="210">
        <f>SUM('Pt 3'!$H$18)</f>
        <v>0</v>
      </c>
      <c r="J54" s="18">
        <f>G54+H54-I54</f>
        <v>12580.09</v>
      </c>
      <c r="K54" s="209">
        <f>'Pt 3'!$H$21</f>
        <v>3411650.42</v>
      </c>
      <c r="L54" s="15">
        <f>K54</f>
        <v>3411650.42</v>
      </c>
      <c r="M54" s="210">
        <f>SUM('Pt 3'!$H$22)</f>
        <v>0</v>
      </c>
      <c r="N54" s="210">
        <f>SUM('Pt 3'!$H$23)</f>
        <v>0</v>
      </c>
      <c r="O54" s="18">
        <f>L54+M54-N54</f>
        <v>3411650.42</v>
      </c>
      <c r="P54" s="209">
        <f>'Pt 3'!$H$26</f>
        <v>5622915.5300000003</v>
      </c>
      <c r="Q54" s="15">
        <f>P54</f>
        <v>5622915.5300000003</v>
      </c>
      <c r="R54" s="210">
        <f>SUM('Pt 3'!$H$27)</f>
        <v>0</v>
      </c>
      <c r="S54" s="210">
        <f>SUM('Pt 3'!$H$28)</f>
        <v>0</v>
      </c>
      <c r="T54" s="18">
        <f>Q54+R54-S54</f>
        <v>5622915.5300000003</v>
      </c>
      <c r="U54" s="209">
        <f>'Pt 3'!$H$32</f>
        <v>0</v>
      </c>
      <c r="V54" s="18">
        <f t="shared" si="6"/>
        <v>0</v>
      </c>
      <c r="W54" s="209">
        <f>'Pt 3'!$H$33</f>
        <v>0</v>
      </c>
      <c r="X54" s="18">
        <f t="shared" si="6"/>
        <v>0</v>
      </c>
      <c r="Y54" s="209">
        <f>'Pt 3'!$H$34</f>
        <v>0</v>
      </c>
      <c r="Z54" s="18">
        <f>Y54</f>
        <v>0</v>
      </c>
      <c r="AA54" s="209">
        <f>'Pt 3'!$H$37</f>
        <v>0</v>
      </c>
      <c r="AB54" s="15">
        <f>AA54</f>
        <v>0</v>
      </c>
      <c r="AC54" s="210">
        <f>SUM('Pt 3'!$H$38)</f>
        <v>0</v>
      </c>
      <c r="AD54" s="210">
        <f>SUM('Pt 3'!$H$39)</f>
        <v>0</v>
      </c>
      <c r="AE54" s="18">
        <f>AB54+AC54-AD54</f>
        <v>0</v>
      </c>
      <c r="AF54" s="209">
        <f>'Pt 3'!$H$42</f>
        <v>0</v>
      </c>
      <c r="AG54" s="15">
        <f>AF54</f>
        <v>0</v>
      </c>
      <c r="AH54" s="210">
        <f>SUM('Pt 3'!$H$43)</f>
        <v>0</v>
      </c>
      <c r="AI54" s="210">
        <f>SUM('Pt 3'!$H$44)</f>
        <v>0</v>
      </c>
      <c r="AJ54" s="19">
        <f>AG54+AH54-AI54</f>
        <v>0</v>
      </c>
      <c r="AK54" s="211">
        <f>'Pt 3'!$H$48</f>
        <v>16908485.09</v>
      </c>
      <c r="AL54" s="212">
        <f>'Pt 3'!$H$49</f>
        <v>2251338.25</v>
      </c>
      <c r="AM54" s="212">
        <f>'Pt 3'!$H$50</f>
        <v>0</v>
      </c>
      <c r="AN54" s="264">
        <f>'Pt 3'!$H$51</f>
        <v>767832.88</v>
      </c>
      <c r="AO54" s="23">
        <f t="shared" si="7"/>
        <v>28974802.259999998</v>
      </c>
    </row>
    <row r="55" spans="2:41" x14ac:dyDescent="0.2">
      <c r="B55" s="263"/>
      <c r="C55" s="256">
        <v>4.4000000000000004</v>
      </c>
      <c r="D55" s="207" t="s">
        <v>105</v>
      </c>
      <c r="E55" s="208" t="s">
        <v>106</v>
      </c>
      <c r="F55" s="209">
        <f>'Pt 3'!$I$16</f>
        <v>2089.4699999999998</v>
      </c>
      <c r="G55" s="15">
        <f>F55</f>
        <v>2089.4699999999998</v>
      </c>
      <c r="H55" s="210">
        <f>SUM('Pt 3'!$I$17)</f>
        <v>0</v>
      </c>
      <c r="I55" s="210">
        <f>SUM('Pt 3'!$I$18)</f>
        <v>0</v>
      </c>
      <c r="J55" s="18">
        <f>G55+H55-I55</f>
        <v>2089.4699999999998</v>
      </c>
      <c r="K55" s="209">
        <f>'Pt 3'!$I$21</f>
        <v>1556477.06</v>
      </c>
      <c r="L55" s="15">
        <f>K55</f>
        <v>1556477.06</v>
      </c>
      <c r="M55" s="210">
        <f>SUM('Pt 3'!$I$22)</f>
        <v>0</v>
      </c>
      <c r="N55" s="210">
        <f>SUM('Pt 3'!$I$23)</f>
        <v>0</v>
      </c>
      <c r="O55" s="18">
        <f>L55+M55-N55</f>
        <v>1556477.06</v>
      </c>
      <c r="P55" s="209">
        <f>'Pt 3'!$I$26</f>
        <v>23925407.280000001</v>
      </c>
      <c r="Q55" s="15">
        <f>P55</f>
        <v>23925407.280000001</v>
      </c>
      <c r="R55" s="210">
        <f>SUM('Pt 3'!$I$27)</f>
        <v>0</v>
      </c>
      <c r="S55" s="210">
        <f>SUM('Pt 3'!$I$28)</f>
        <v>0</v>
      </c>
      <c r="T55" s="18">
        <f>Q55+R55-S55</f>
        <v>23925407.280000001</v>
      </c>
      <c r="U55" s="209">
        <f>'Pt 3'!$I$32</f>
        <v>0</v>
      </c>
      <c r="V55" s="18">
        <f t="shared" si="6"/>
        <v>0</v>
      </c>
      <c r="W55" s="209">
        <f>'Pt 3'!$I$33</f>
        <v>0</v>
      </c>
      <c r="X55" s="18">
        <f t="shared" si="6"/>
        <v>0</v>
      </c>
      <c r="Y55" s="209">
        <f>'Pt 3'!$I$34</f>
        <v>0</v>
      </c>
      <c r="Z55" s="18">
        <f>Y55</f>
        <v>0</v>
      </c>
      <c r="AA55" s="209">
        <f>'Pt 3'!$I$37</f>
        <v>0</v>
      </c>
      <c r="AB55" s="15">
        <f>AA55</f>
        <v>0</v>
      </c>
      <c r="AC55" s="210">
        <f>SUM('Pt 3'!$I$38)</f>
        <v>0</v>
      </c>
      <c r="AD55" s="210">
        <f>SUM('Pt 3'!$I$39)</f>
        <v>0</v>
      </c>
      <c r="AE55" s="18">
        <f>AB55+AC55-AD55</f>
        <v>0</v>
      </c>
      <c r="AF55" s="209">
        <f>'Pt 3'!$I$42</f>
        <v>0</v>
      </c>
      <c r="AG55" s="15">
        <f>AF55</f>
        <v>0</v>
      </c>
      <c r="AH55" s="210">
        <f>SUM('Pt 3'!$I$43)</f>
        <v>0</v>
      </c>
      <c r="AI55" s="210">
        <f>SUM('Pt 3'!$I$44)</f>
        <v>0</v>
      </c>
      <c r="AJ55" s="19">
        <f>AG55+AH55-AI55</f>
        <v>0</v>
      </c>
      <c r="AK55" s="211">
        <f>'Pt 3'!$I$48</f>
        <v>12921766.800000001</v>
      </c>
      <c r="AL55" s="212">
        <f>'Pt 3'!$I$49</f>
        <v>25252982.07</v>
      </c>
      <c r="AM55" s="212">
        <f>'Pt 3'!$I$50</f>
        <v>0</v>
      </c>
      <c r="AN55" s="264">
        <f>'Pt 3'!$I$51</f>
        <v>194443.73</v>
      </c>
      <c r="AO55" s="23">
        <f t="shared" si="7"/>
        <v>63853166.409999996</v>
      </c>
    </row>
    <row r="56" spans="2:41" x14ac:dyDescent="0.2">
      <c r="B56" s="263"/>
      <c r="C56" s="256">
        <v>4.5</v>
      </c>
      <c r="D56" s="219" t="s">
        <v>107</v>
      </c>
      <c r="E56" s="208" t="s">
        <v>108</v>
      </c>
      <c r="F56" s="209">
        <f>'Pt 3'!$J$16</f>
        <v>15019.25</v>
      </c>
      <c r="G56" s="15">
        <f>F56</f>
        <v>15019.25</v>
      </c>
      <c r="H56" s="210">
        <f>SUM('Pt 3'!$J$17)</f>
        <v>0</v>
      </c>
      <c r="I56" s="210">
        <f>SUM('Pt 3'!$J$18)</f>
        <v>0</v>
      </c>
      <c r="J56" s="18">
        <f>G56+H56-I56</f>
        <v>15019.25</v>
      </c>
      <c r="K56" s="209">
        <f>'Pt 3'!$J$21</f>
        <v>4597099.22</v>
      </c>
      <c r="L56" s="15">
        <f>K56</f>
        <v>4597099.22</v>
      </c>
      <c r="M56" s="210">
        <f>SUM('Pt 3'!$J$22)</f>
        <v>0</v>
      </c>
      <c r="N56" s="210">
        <f>SUM('Pt 3'!$J$23)</f>
        <v>0</v>
      </c>
      <c r="O56" s="18">
        <f>L56+M56-N56</f>
        <v>4597099.22</v>
      </c>
      <c r="P56" s="209">
        <f>'Pt 3'!$J$26</f>
        <v>9528005.5199999996</v>
      </c>
      <c r="Q56" s="15">
        <f>P56</f>
        <v>9528005.5199999996</v>
      </c>
      <c r="R56" s="210">
        <f>SUM('Pt 3'!$J$27)</f>
        <v>0</v>
      </c>
      <c r="S56" s="210">
        <f>SUM('Pt 3'!$J$28)</f>
        <v>0</v>
      </c>
      <c r="T56" s="18">
        <f>Q56+R56-S56</f>
        <v>9528005.5199999996</v>
      </c>
      <c r="U56" s="209">
        <f>'Pt 3'!$J$32</f>
        <v>0</v>
      </c>
      <c r="V56" s="18">
        <f t="shared" si="6"/>
        <v>0</v>
      </c>
      <c r="W56" s="209">
        <f>'Pt 3'!$J$33</f>
        <v>0</v>
      </c>
      <c r="X56" s="18">
        <f t="shared" si="6"/>
        <v>0</v>
      </c>
      <c r="Y56" s="209">
        <f>'Pt 3'!$J$34</f>
        <v>0</v>
      </c>
      <c r="Z56" s="18">
        <f>Y56</f>
        <v>0</v>
      </c>
      <c r="AA56" s="209">
        <f>'Pt 3'!$J$37</f>
        <v>0</v>
      </c>
      <c r="AB56" s="15">
        <f>AA56</f>
        <v>0</v>
      </c>
      <c r="AC56" s="210">
        <f>SUM('Pt 3'!$J$38)</f>
        <v>0</v>
      </c>
      <c r="AD56" s="210">
        <f>SUM('Pt 3'!$J$39)</f>
        <v>0</v>
      </c>
      <c r="AE56" s="18">
        <f>AB56+AC56-AD56</f>
        <v>0</v>
      </c>
      <c r="AF56" s="209">
        <f>'Pt 3'!$J$42</f>
        <v>0</v>
      </c>
      <c r="AG56" s="15">
        <f>AF56</f>
        <v>0</v>
      </c>
      <c r="AH56" s="210">
        <f>SUM('Pt 3'!$J$43)</f>
        <v>0</v>
      </c>
      <c r="AI56" s="210">
        <f>SUM('Pt 3'!$J$44)</f>
        <v>0</v>
      </c>
      <c r="AJ56" s="19">
        <f>AG56+AH56-AI56</f>
        <v>0</v>
      </c>
      <c r="AK56" s="211">
        <f>'Pt 3'!$J$48</f>
        <v>39730262.539999999</v>
      </c>
      <c r="AL56" s="212">
        <f>'Pt 3'!$J$49</f>
        <v>5566267.5099999998</v>
      </c>
      <c r="AM56" s="212">
        <f>'Pt 3'!$J$50</f>
        <v>0</v>
      </c>
      <c r="AN56" s="264">
        <f>'Pt 3'!$J$51</f>
        <v>1515794.94</v>
      </c>
      <c r="AO56" s="23">
        <f t="shared" si="7"/>
        <v>60952448.979999997</v>
      </c>
    </row>
    <row r="57" spans="2:41" ht="25.5" x14ac:dyDescent="0.2">
      <c r="B57" s="263"/>
      <c r="C57" s="256">
        <v>4.5999999999999996</v>
      </c>
      <c r="D57" s="219" t="str">
        <f>"Total of defined expenses incurred for improving health care quality (Lines "&amp;$C$52&amp;" + "&amp;$C$53&amp;" + "&amp;$C$54&amp;" + "&amp;$C$55&amp;" + "&amp;$C$56&amp;")"</f>
        <v>Total of defined expenses incurred for improving health care quality (Lines 4.1 + 4.2 + 4.3 + 4.4 + 4.5)</v>
      </c>
      <c r="E57" s="208" t="s">
        <v>109</v>
      </c>
      <c r="F57" s="209">
        <f>SUM(F$52:F$56)</f>
        <v>563009.44999999995</v>
      </c>
      <c r="G57" s="15">
        <f t="shared" ref="G57:AN57" si="8">SUM(G$52:G$56)</f>
        <v>563009.44999999995</v>
      </c>
      <c r="H57" s="210">
        <f t="shared" si="8"/>
        <v>0</v>
      </c>
      <c r="I57" s="210">
        <f t="shared" si="8"/>
        <v>0</v>
      </c>
      <c r="J57" s="18">
        <f t="shared" si="8"/>
        <v>563009.44999999995</v>
      </c>
      <c r="K57" s="209">
        <f t="shared" si="8"/>
        <v>63492010.020000003</v>
      </c>
      <c r="L57" s="15">
        <f t="shared" si="8"/>
        <v>63492010.020000003</v>
      </c>
      <c r="M57" s="210">
        <f t="shared" si="8"/>
        <v>0</v>
      </c>
      <c r="N57" s="210">
        <f t="shared" si="8"/>
        <v>0</v>
      </c>
      <c r="O57" s="18">
        <f t="shared" si="8"/>
        <v>63492010.020000003</v>
      </c>
      <c r="P57" s="209">
        <f t="shared" si="8"/>
        <v>129703229.14</v>
      </c>
      <c r="Q57" s="15">
        <f t="shared" si="8"/>
        <v>129703229.14</v>
      </c>
      <c r="R57" s="210">
        <f t="shared" si="8"/>
        <v>0</v>
      </c>
      <c r="S57" s="210">
        <f t="shared" si="8"/>
        <v>0</v>
      </c>
      <c r="T57" s="18">
        <f t="shared" si="8"/>
        <v>129703229.14</v>
      </c>
      <c r="U57" s="209">
        <f t="shared" si="8"/>
        <v>0</v>
      </c>
      <c r="V57" s="18">
        <f t="shared" si="8"/>
        <v>0</v>
      </c>
      <c r="W57" s="209">
        <f t="shared" si="8"/>
        <v>0</v>
      </c>
      <c r="X57" s="18">
        <f t="shared" si="8"/>
        <v>0</v>
      </c>
      <c r="Y57" s="209">
        <f t="shared" si="8"/>
        <v>0</v>
      </c>
      <c r="Z57" s="15">
        <f t="shared" si="8"/>
        <v>0</v>
      </c>
      <c r="AA57" s="209">
        <f t="shared" si="8"/>
        <v>0</v>
      </c>
      <c r="AB57" s="15">
        <f t="shared" si="8"/>
        <v>0</v>
      </c>
      <c r="AC57" s="210">
        <f t="shared" si="8"/>
        <v>0</v>
      </c>
      <c r="AD57" s="210">
        <f t="shared" si="8"/>
        <v>0</v>
      </c>
      <c r="AE57" s="18">
        <f t="shared" si="8"/>
        <v>0</v>
      </c>
      <c r="AF57" s="209">
        <f t="shared" si="8"/>
        <v>72406.11</v>
      </c>
      <c r="AG57" s="15">
        <f t="shared" si="8"/>
        <v>72406.11</v>
      </c>
      <c r="AH57" s="210">
        <f t="shared" si="8"/>
        <v>0</v>
      </c>
      <c r="AI57" s="210">
        <f t="shared" si="8"/>
        <v>0</v>
      </c>
      <c r="AJ57" s="19">
        <f t="shared" si="8"/>
        <v>72406.11</v>
      </c>
      <c r="AK57" s="211">
        <f t="shared" si="8"/>
        <v>150627585.88999999</v>
      </c>
      <c r="AL57" s="211">
        <f t="shared" si="8"/>
        <v>69646978.019999996</v>
      </c>
      <c r="AM57" s="211">
        <f t="shared" si="8"/>
        <v>0</v>
      </c>
      <c r="AN57" s="211">
        <f t="shared" si="8"/>
        <v>7312500.5099999998</v>
      </c>
      <c r="AO57" s="23">
        <f t="shared" si="7"/>
        <v>421417719.13999999</v>
      </c>
    </row>
    <row r="58" spans="2:41" s="32" customFormat="1" x14ac:dyDescent="0.2">
      <c r="B58" s="254"/>
      <c r="C58" s="255"/>
      <c r="D58" s="229"/>
      <c r="E58" s="230"/>
      <c r="F58" s="231"/>
      <c r="G58" s="232"/>
      <c r="H58" s="233"/>
      <c r="I58" s="233"/>
      <c r="J58" s="234"/>
      <c r="K58" s="231"/>
      <c r="L58" s="232"/>
      <c r="M58" s="233"/>
      <c r="N58" s="233"/>
      <c r="O58" s="234"/>
      <c r="P58" s="231"/>
      <c r="Q58" s="232"/>
      <c r="R58" s="233"/>
      <c r="S58" s="233"/>
      <c r="T58" s="234"/>
      <c r="U58" s="231"/>
      <c r="V58" s="234"/>
      <c r="W58" s="231"/>
      <c r="X58" s="234"/>
      <c r="Y58" s="231"/>
      <c r="Z58" s="234"/>
      <c r="AA58" s="231"/>
      <c r="AB58" s="232"/>
      <c r="AC58" s="233"/>
      <c r="AD58" s="233"/>
      <c r="AE58" s="234"/>
      <c r="AF58" s="231"/>
      <c r="AG58" s="232"/>
      <c r="AH58" s="233"/>
      <c r="AI58" s="233"/>
      <c r="AJ58" s="235"/>
      <c r="AK58" s="20"/>
      <c r="AL58" s="21"/>
      <c r="AM58" s="21"/>
      <c r="AN58" s="238"/>
      <c r="AO58" s="239"/>
    </row>
    <row r="59" spans="2:41" x14ac:dyDescent="0.2">
      <c r="B59" s="265" t="s">
        <v>110</v>
      </c>
      <c r="C59" s="260" t="s">
        <v>111</v>
      </c>
      <c r="D59" s="261"/>
      <c r="E59" s="262"/>
      <c r="F59" s="14"/>
      <c r="G59" s="242"/>
      <c r="H59" s="17"/>
      <c r="I59" s="17"/>
      <c r="J59" s="243"/>
      <c r="K59" s="14"/>
      <c r="L59" s="242"/>
      <c r="M59" s="17"/>
      <c r="N59" s="17"/>
      <c r="O59" s="243"/>
      <c r="P59" s="14"/>
      <c r="Q59" s="242"/>
      <c r="R59" s="17"/>
      <c r="S59" s="17"/>
      <c r="T59" s="243"/>
      <c r="U59" s="14"/>
      <c r="V59" s="243"/>
      <c r="W59" s="14"/>
      <c r="X59" s="243"/>
      <c r="Y59" s="14"/>
      <c r="Z59" s="243"/>
      <c r="AA59" s="14"/>
      <c r="AB59" s="242"/>
      <c r="AC59" s="17"/>
      <c r="AD59" s="17"/>
      <c r="AE59" s="243"/>
      <c r="AF59" s="14"/>
      <c r="AG59" s="242"/>
      <c r="AH59" s="17"/>
      <c r="AI59" s="17"/>
      <c r="AJ59" s="244"/>
      <c r="AK59" s="201"/>
      <c r="AL59" s="202"/>
      <c r="AM59" s="202"/>
      <c r="AN59" s="203"/>
      <c r="AO59" s="204"/>
    </row>
    <row r="60" spans="2:41" x14ac:dyDescent="0.2">
      <c r="B60" s="208"/>
      <c r="C60" s="256">
        <v>5.0999999999999996</v>
      </c>
      <c r="D60" s="219" t="str">
        <f>"Cost containment expenses not included in quality improvement expenses on Line "&amp;$C$57</f>
        <v>Cost containment expenses not included in quality improvement expenses on Line 4.6</v>
      </c>
      <c r="E60" s="208" t="s">
        <v>112</v>
      </c>
      <c r="F60" s="209">
        <f>'Pt 3'!$K$16</f>
        <v>782672.22</v>
      </c>
      <c r="G60" s="15">
        <f t="shared" ref="G60:G70" si="9">F60</f>
        <v>782672.22</v>
      </c>
      <c r="H60" s="210">
        <f>SUM('Pt 3'!$K$17)</f>
        <v>0</v>
      </c>
      <c r="I60" s="210">
        <f>SUM('Pt 3'!$K$18)</f>
        <v>0</v>
      </c>
      <c r="J60" s="18">
        <f t="shared" ref="J60:J69" si="10">G60+H60-I60</f>
        <v>782672.22</v>
      </c>
      <c r="K60" s="209">
        <f>'Pt 3'!$K$21</f>
        <v>30637438.879999999</v>
      </c>
      <c r="L60" s="15">
        <f>K60</f>
        <v>30637438.879999999</v>
      </c>
      <c r="M60" s="210">
        <f>SUM('Pt 3'!$K$22)</f>
        <v>0</v>
      </c>
      <c r="N60" s="210">
        <f>SUM('Pt 3'!$K$23)</f>
        <v>0</v>
      </c>
      <c r="O60" s="18">
        <f t="shared" ref="O60:O69" si="11">L60+M60-N60</f>
        <v>30637438.879999999</v>
      </c>
      <c r="P60" s="209">
        <f>'Pt 3'!$K$26</f>
        <v>49751679.990000002</v>
      </c>
      <c r="Q60" s="15">
        <f>P60</f>
        <v>49751679.990000002</v>
      </c>
      <c r="R60" s="210">
        <f>SUM('Pt 3'!$K$27)</f>
        <v>0</v>
      </c>
      <c r="S60" s="210">
        <f>SUM('Pt 3'!$K$28)</f>
        <v>0</v>
      </c>
      <c r="T60" s="18">
        <f t="shared" ref="T60:T69" si="12">Q60+R60-S60</f>
        <v>49751679.990000002</v>
      </c>
      <c r="U60" s="209">
        <f>'Pt 3'!$K$32</f>
        <v>0</v>
      </c>
      <c r="V60" s="18">
        <f t="shared" ref="V60:X67" si="13">U60</f>
        <v>0</v>
      </c>
      <c r="W60" s="209">
        <f>'Pt 3'!$K$33</f>
        <v>0</v>
      </c>
      <c r="X60" s="18">
        <f t="shared" si="13"/>
        <v>0</v>
      </c>
      <c r="Y60" s="209">
        <f>'Pt 3'!$K$34</f>
        <v>0</v>
      </c>
      <c r="Z60" s="18">
        <f t="shared" ref="Z60:Z67" si="14">Y60</f>
        <v>0</v>
      </c>
      <c r="AA60" s="209">
        <f>'Pt 3'!$K$37</f>
        <v>0</v>
      </c>
      <c r="AB60" s="15">
        <f>AA60</f>
        <v>0</v>
      </c>
      <c r="AC60" s="210">
        <f>SUM('Pt 3'!$K$38)</f>
        <v>0</v>
      </c>
      <c r="AD60" s="210">
        <f>SUM('Pt 3'!$K$39)</f>
        <v>0</v>
      </c>
      <c r="AE60" s="18">
        <f t="shared" ref="AE60:AE69" si="15">AB60+AC60-AD60</f>
        <v>0</v>
      </c>
      <c r="AF60" s="209">
        <f>'Pt 3'!$K$42</f>
        <v>0</v>
      </c>
      <c r="AG60" s="15">
        <f>AF60</f>
        <v>0</v>
      </c>
      <c r="AH60" s="210">
        <f>SUM('Pt 3'!$K$43)</f>
        <v>0</v>
      </c>
      <c r="AI60" s="210">
        <f>SUM('Pt 3'!$K$44)</f>
        <v>0</v>
      </c>
      <c r="AJ60" s="19">
        <f t="shared" ref="AJ60:AJ69" si="16">AG60+AH60-AI60</f>
        <v>0</v>
      </c>
      <c r="AK60" s="211">
        <f>'Pt 3'!$K$48</f>
        <v>219073980.02000001</v>
      </c>
      <c r="AL60" s="212">
        <f>'Pt 3'!$K$49</f>
        <v>31557494.100000001</v>
      </c>
      <c r="AM60" s="212">
        <f>'Pt 3'!$K$50</f>
        <v>0</v>
      </c>
      <c r="AN60" s="264">
        <f>'Pt 3'!$K$51</f>
        <v>4056961.81</v>
      </c>
      <c r="AO60" s="23">
        <f t="shared" ref="AO60:AO69" si="17">SUM($F60,$K60,$P60,$U60,$W60,$Y60,$AA60,$AF60,$AK60,$AL60,$AM60,$AN60)</f>
        <v>335860227.02000004</v>
      </c>
    </row>
    <row r="61" spans="2:41" x14ac:dyDescent="0.2">
      <c r="B61" s="208"/>
      <c r="C61" s="256">
        <v>5.2</v>
      </c>
      <c r="D61" s="219" t="s">
        <v>113</v>
      </c>
      <c r="E61" s="208" t="s">
        <v>114</v>
      </c>
      <c r="F61" s="209">
        <f>'Pt 3'!$L$16</f>
        <v>1344164.76</v>
      </c>
      <c r="G61" s="15">
        <f t="shared" si="9"/>
        <v>1344164.76</v>
      </c>
      <c r="H61" s="210">
        <f>SUM('Pt 3'!$L$17)</f>
        <v>0</v>
      </c>
      <c r="I61" s="210">
        <f>SUM('Pt 3'!$L$18)</f>
        <v>0</v>
      </c>
      <c r="J61" s="18">
        <f t="shared" si="10"/>
        <v>1344164.76</v>
      </c>
      <c r="K61" s="209">
        <f>'Pt 3'!$L$21</f>
        <v>67600522.310000002</v>
      </c>
      <c r="L61" s="15">
        <f t="shared" ref="L61:L67" si="18">K61</f>
        <v>67600522.310000002</v>
      </c>
      <c r="M61" s="210">
        <f>SUM('Pt 3'!$L$22)</f>
        <v>0</v>
      </c>
      <c r="N61" s="210">
        <f>SUM('Pt 3'!$L$23)</f>
        <v>0</v>
      </c>
      <c r="O61" s="18">
        <f t="shared" si="11"/>
        <v>67600522.310000002</v>
      </c>
      <c r="P61" s="209">
        <f>'Pt 3'!$L$26</f>
        <v>94320707.689999998</v>
      </c>
      <c r="Q61" s="15">
        <f t="shared" ref="Q61:Q67" si="19">P61</f>
        <v>94320707.689999998</v>
      </c>
      <c r="R61" s="210">
        <f>SUM('Pt 3'!$L$27)</f>
        <v>0</v>
      </c>
      <c r="S61" s="210">
        <f>SUM('Pt 3'!$L$28)</f>
        <v>0</v>
      </c>
      <c r="T61" s="18">
        <f t="shared" si="12"/>
        <v>94320707.689999998</v>
      </c>
      <c r="U61" s="209">
        <f>'Pt 3'!$L$32</f>
        <v>0</v>
      </c>
      <c r="V61" s="18">
        <f t="shared" si="13"/>
        <v>0</v>
      </c>
      <c r="W61" s="209">
        <f>'Pt 3'!$L$33</f>
        <v>0</v>
      </c>
      <c r="X61" s="18">
        <f t="shared" si="13"/>
        <v>0</v>
      </c>
      <c r="Y61" s="209">
        <f>'Pt 3'!$L$34</f>
        <v>0</v>
      </c>
      <c r="Z61" s="18">
        <f t="shared" si="14"/>
        <v>0</v>
      </c>
      <c r="AA61" s="209">
        <f>'Pt 3'!$L$37</f>
        <v>0</v>
      </c>
      <c r="AB61" s="15">
        <f t="shared" ref="AB61:AB67" si="20">AA61</f>
        <v>0</v>
      </c>
      <c r="AC61" s="210">
        <f>SUM('Pt 3'!$L$38)</f>
        <v>0</v>
      </c>
      <c r="AD61" s="210">
        <f>SUM('Pt 3'!$L$39)</f>
        <v>0</v>
      </c>
      <c r="AE61" s="18">
        <f t="shared" si="15"/>
        <v>0</v>
      </c>
      <c r="AF61" s="209">
        <f>'Pt 3'!$L$42</f>
        <v>59257.71</v>
      </c>
      <c r="AG61" s="15">
        <f t="shared" ref="AG61:AG67" si="21">AF61</f>
        <v>59257.71</v>
      </c>
      <c r="AH61" s="210">
        <f>SUM('Pt 3'!$L$43)</f>
        <v>0</v>
      </c>
      <c r="AI61" s="210">
        <f>SUM('Pt 3'!$L$44)</f>
        <v>0</v>
      </c>
      <c r="AJ61" s="19">
        <f t="shared" si="16"/>
        <v>59257.71</v>
      </c>
      <c r="AK61" s="211">
        <f>'Pt 3'!$L$48</f>
        <v>314337970.76999998</v>
      </c>
      <c r="AL61" s="212">
        <f>'Pt 3'!$L$49</f>
        <v>151108338.81</v>
      </c>
      <c r="AM61" s="212">
        <f>'Pt 3'!$L$50</f>
        <v>0</v>
      </c>
      <c r="AN61" s="264">
        <f>'Pt 3'!$L$51</f>
        <v>7449100.8899999997</v>
      </c>
      <c r="AO61" s="23">
        <f t="shared" si="17"/>
        <v>636220062.93999994</v>
      </c>
    </row>
    <row r="62" spans="2:41" x14ac:dyDescent="0.2">
      <c r="B62" s="208"/>
      <c r="C62" s="256">
        <v>5.3</v>
      </c>
      <c r="D62" s="207" t="s">
        <v>115</v>
      </c>
      <c r="E62" s="208" t="s">
        <v>116</v>
      </c>
      <c r="F62" s="250">
        <v>150777.74</v>
      </c>
      <c r="G62" s="15">
        <f t="shared" si="9"/>
        <v>150777.74</v>
      </c>
      <c r="H62" s="13"/>
      <c r="I62" s="257">
        <v>0</v>
      </c>
      <c r="J62" s="18">
        <f t="shared" si="10"/>
        <v>150777.74</v>
      </c>
      <c r="K62" s="214">
        <v>38739444.619999997</v>
      </c>
      <c r="L62" s="15">
        <f t="shared" si="18"/>
        <v>38739444.619999997</v>
      </c>
      <c r="M62" s="13"/>
      <c r="N62" s="216">
        <v>0</v>
      </c>
      <c r="O62" s="18">
        <f t="shared" si="11"/>
        <v>38739444.619999997</v>
      </c>
      <c r="P62" s="214">
        <v>54483714.030000001</v>
      </c>
      <c r="Q62" s="15">
        <f t="shared" si="19"/>
        <v>54483714.030000001</v>
      </c>
      <c r="R62" s="13"/>
      <c r="S62" s="216">
        <v>0</v>
      </c>
      <c r="T62" s="18">
        <f t="shared" si="12"/>
        <v>54483714.030000001</v>
      </c>
      <c r="U62" s="214">
        <v>0</v>
      </c>
      <c r="V62" s="18">
        <f t="shared" si="13"/>
        <v>0</v>
      </c>
      <c r="W62" s="214">
        <v>0</v>
      </c>
      <c r="X62" s="18">
        <f t="shared" si="13"/>
        <v>0</v>
      </c>
      <c r="Y62" s="214">
        <v>0</v>
      </c>
      <c r="Z62" s="18">
        <f t="shared" si="14"/>
        <v>0</v>
      </c>
      <c r="AA62" s="214">
        <v>0</v>
      </c>
      <c r="AB62" s="15">
        <f t="shared" si="20"/>
        <v>0</v>
      </c>
      <c r="AC62" s="13"/>
      <c r="AD62" s="216">
        <v>0</v>
      </c>
      <c r="AE62" s="18">
        <f t="shared" si="15"/>
        <v>0</v>
      </c>
      <c r="AF62" s="214">
        <v>439431</v>
      </c>
      <c r="AG62" s="15">
        <f t="shared" si="21"/>
        <v>439431</v>
      </c>
      <c r="AH62" s="13"/>
      <c r="AI62" s="216">
        <v>0</v>
      </c>
      <c r="AJ62" s="19">
        <f t="shared" si="16"/>
        <v>439431</v>
      </c>
      <c r="AK62" s="217">
        <v>10664773.550000001</v>
      </c>
      <c r="AL62" s="218">
        <v>18107927.440000001</v>
      </c>
      <c r="AM62" s="218">
        <v>0</v>
      </c>
      <c r="AN62" s="266">
        <v>5190744.8</v>
      </c>
      <c r="AO62" s="23">
        <f t="shared" si="17"/>
        <v>127776813.17999999</v>
      </c>
    </row>
    <row r="63" spans="2:41" x14ac:dyDescent="0.2">
      <c r="B63" s="208"/>
      <c r="C63" s="256">
        <v>5.4</v>
      </c>
      <c r="D63" s="207" t="s">
        <v>117</v>
      </c>
      <c r="E63" s="208" t="s">
        <v>118</v>
      </c>
      <c r="F63" s="250">
        <v>731642.53</v>
      </c>
      <c r="G63" s="15">
        <f t="shared" si="9"/>
        <v>731642.53</v>
      </c>
      <c r="H63" s="13"/>
      <c r="I63" s="257">
        <v>0</v>
      </c>
      <c r="J63" s="18">
        <f t="shared" si="10"/>
        <v>731642.53</v>
      </c>
      <c r="K63" s="214">
        <v>309552551.00999999</v>
      </c>
      <c r="L63" s="15">
        <f t="shared" si="18"/>
        <v>309552551.00999999</v>
      </c>
      <c r="M63" s="13"/>
      <c r="N63" s="216">
        <v>0</v>
      </c>
      <c r="O63" s="18">
        <f t="shared" si="11"/>
        <v>309552551.00999999</v>
      </c>
      <c r="P63" s="214">
        <v>299881864.39999998</v>
      </c>
      <c r="Q63" s="15">
        <f t="shared" si="19"/>
        <v>299881864.39999998</v>
      </c>
      <c r="R63" s="13"/>
      <c r="S63" s="216">
        <v>0</v>
      </c>
      <c r="T63" s="18">
        <f t="shared" si="12"/>
        <v>299881864.39999998</v>
      </c>
      <c r="U63" s="214">
        <v>0</v>
      </c>
      <c r="V63" s="18">
        <f t="shared" si="13"/>
        <v>0</v>
      </c>
      <c r="W63" s="214">
        <v>0</v>
      </c>
      <c r="X63" s="18">
        <f t="shared" si="13"/>
        <v>0</v>
      </c>
      <c r="Y63" s="214">
        <v>0</v>
      </c>
      <c r="Z63" s="18">
        <f t="shared" si="14"/>
        <v>0</v>
      </c>
      <c r="AA63" s="214">
        <v>0</v>
      </c>
      <c r="AB63" s="15">
        <f t="shared" si="20"/>
        <v>0</v>
      </c>
      <c r="AC63" s="13"/>
      <c r="AD63" s="216">
        <v>0</v>
      </c>
      <c r="AE63" s="18">
        <f t="shared" si="15"/>
        <v>0</v>
      </c>
      <c r="AF63" s="214">
        <v>11689.87</v>
      </c>
      <c r="AG63" s="15">
        <f t="shared" si="21"/>
        <v>11689.87</v>
      </c>
      <c r="AH63" s="13"/>
      <c r="AI63" s="216">
        <v>0</v>
      </c>
      <c r="AJ63" s="19">
        <f t="shared" si="16"/>
        <v>11689.87</v>
      </c>
      <c r="AK63" s="217">
        <v>92708107.599999994</v>
      </c>
      <c r="AL63" s="218">
        <v>151008376.91</v>
      </c>
      <c r="AM63" s="218">
        <v>0</v>
      </c>
      <c r="AN63" s="266">
        <v>17604.45</v>
      </c>
      <c r="AO63" s="23">
        <f t="shared" si="17"/>
        <v>853911836.76999998</v>
      </c>
    </row>
    <row r="64" spans="2:41" x14ac:dyDescent="0.2">
      <c r="B64" s="208"/>
      <c r="C64" s="256">
        <v>5.5</v>
      </c>
      <c r="D64" s="207" t="s">
        <v>119</v>
      </c>
      <c r="E64" s="267"/>
      <c r="F64" s="268"/>
      <c r="G64" s="269"/>
      <c r="H64" s="270"/>
      <c r="I64" s="270"/>
      <c r="J64" s="271"/>
      <c r="K64" s="268"/>
      <c r="L64" s="269"/>
      <c r="M64" s="270"/>
      <c r="N64" s="270"/>
      <c r="O64" s="271"/>
      <c r="P64" s="268"/>
      <c r="Q64" s="269"/>
      <c r="R64" s="270"/>
      <c r="S64" s="270"/>
      <c r="T64" s="271"/>
      <c r="U64" s="268"/>
      <c r="V64" s="271"/>
      <c r="W64" s="268"/>
      <c r="X64" s="271"/>
      <c r="Y64" s="268"/>
      <c r="Z64" s="271"/>
      <c r="AA64" s="268"/>
      <c r="AB64" s="269"/>
      <c r="AC64" s="270"/>
      <c r="AD64" s="270"/>
      <c r="AE64" s="271"/>
      <c r="AF64" s="268"/>
      <c r="AG64" s="269"/>
      <c r="AH64" s="270"/>
      <c r="AI64" s="270"/>
      <c r="AJ64" s="272"/>
      <c r="AK64" s="273"/>
      <c r="AL64" s="274"/>
      <c r="AM64" s="274"/>
      <c r="AN64" s="275"/>
      <c r="AO64" s="276"/>
    </row>
    <row r="65" spans="2:42" x14ac:dyDescent="0.2">
      <c r="B65" s="208"/>
      <c r="C65" s="256"/>
      <c r="D65" s="207" t="str">
        <f>"5.5a   State taxes and assessments not excluded from premium (not reported in Line 3.2a)"</f>
        <v>5.5a   State taxes and assessments not excluded from premium (not reported in Line 3.2a)</v>
      </c>
      <c r="E65" s="208" t="s">
        <v>120</v>
      </c>
      <c r="F65" s="250">
        <v>680.13</v>
      </c>
      <c r="G65" s="15">
        <f t="shared" si="9"/>
        <v>680.13</v>
      </c>
      <c r="H65" s="13"/>
      <c r="I65" s="257">
        <v>0</v>
      </c>
      <c r="J65" s="18">
        <f t="shared" si="10"/>
        <v>680.13</v>
      </c>
      <c r="K65" s="214">
        <v>-780626.06</v>
      </c>
      <c r="L65" s="15">
        <f t="shared" si="18"/>
        <v>-780626.06</v>
      </c>
      <c r="M65" s="13"/>
      <c r="N65" s="216">
        <v>0</v>
      </c>
      <c r="O65" s="18">
        <f t="shared" si="11"/>
        <v>-780626.06</v>
      </c>
      <c r="P65" s="214">
        <v>-912802.72</v>
      </c>
      <c r="Q65" s="15">
        <f t="shared" si="19"/>
        <v>-912802.72</v>
      </c>
      <c r="R65" s="13"/>
      <c r="S65" s="216">
        <v>0</v>
      </c>
      <c r="T65" s="18">
        <f t="shared" si="12"/>
        <v>-912802.72</v>
      </c>
      <c r="U65" s="214">
        <v>0</v>
      </c>
      <c r="V65" s="18">
        <f t="shared" si="13"/>
        <v>0</v>
      </c>
      <c r="W65" s="214">
        <v>0</v>
      </c>
      <c r="X65" s="18">
        <f t="shared" si="13"/>
        <v>0</v>
      </c>
      <c r="Y65" s="214">
        <v>0</v>
      </c>
      <c r="Z65" s="18">
        <f t="shared" si="14"/>
        <v>0</v>
      </c>
      <c r="AA65" s="214">
        <v>0</v>
      </c>
      <c r="AB65" s="15">
        <f t="shared" si="20"/>
        <v>0</v>
      </c>
      <c r="AC65" s="13"/>
      <c r="AD65" s="216">
        <v>0</v>
      </c>
      <c r="AE65" s="18">
        <f t="shared" si="15"/>
        <v>0</v>
      </c>
      <c r="AF65" s="214">
        <v>0.03</v>
      </c>
      <c r="AG65" s="15">
        <f t="shared" si="21"/>
        <v>0.03</v>
      </c>
      <c r="AH65" s="13"/>
      <c r="AI65" s="216">
        <v>0</v>
      </c>
      <c r="AJ65" s="19">
        <f t="shared" si="16"/>
        <v>0.03</v>
      </c>
      <c r="AK65" s="217">
        <v>260807.6</v>
      </c>
      <c r="AL65" s="218">
        <v>-97030.04</v>
      </c>
      <c r="AM65" s="218">
        <v>0</v>
      </c>
      <c r="AN65" s="266">
        <v>0</v>
      </c>
      <c r="AO65" s="23">
        <f t="shared" si="17"/>
        <v>-1528971.0599999998</v>
      </c>
    </row>
    <row r="66" spans="2:42" x14ac:dyDescent="0.2">
      <c r="B66" s="208"/>
      <c r="C66" s="277"/>
      <c r="D66" s="207" t="str">
        <f>"5.5b   Fines and penalties of regulatory authorities (not reported in Line 3.3)"</f>
        <v>5.5b   Fines and penalties of regulatory authorities (not reported in Line 3.3)</v>
      </c>
      <c r="E66" s="208" t="s">
        <v>120</v>
      </c>
      <c r="F66" s="250">
        <v>0</v>
      </c>
      <c r="G66" s="15">
        <f t="shared" si="9"/>
        <v>0</v>
      </c>
      <c r="H66" s="13"/>
      <c r="I66" s="257">
        <v>0</v>
      </c>
      <c r="J66" s="18">
        <f t="shared" si="10"/>
        <v>0</v>
      </c>
      <c r="K66" s="214">
        <v>0</v>
      </c>
      <c r="L66" s="15">
        <f t="shared" si="18"/>
        <v>0</v>
      </c>
      <c r="M66" s="13"/>
      <c r="N66" s="216">
        <v>0</v>
      </c>
      <c r="O66" s="18">
        <f t="shared" si="11"/>
        <v>0</v>
      </c>
      <c r="P66" s="214">
        <v>0</v>
      </c>
      <c r="Q66" s="15">
        <f t="shared" si="19"/>
        <v>0</v>
      </c>
      <c r="R66" s="13"/>
      <c r="S66" s="216">
        <v>0</v>
      </c>
      <c r="T66" s="18">
        <f t="shared" si="12"/>
        <v>0</v>
      </c>
      <c r="U66" s="214">
        <v>0</v>
      </c>
      <c r="V66" s="18">
        <f t="shared" si="13"/>
        <v>0</v>
      </c>
      <c r="W66" s="214">
        <v>0</v>
      </c>
      <c r="X66" s="18">
        <f t="shared" si="13"/>
        <v>0</v>
      </c>
      <c r="Y66" s="214">
        <v>0</v>
      </c>
      <c r="Z66" s="18">
        <f t="shared" si="14"/>
        <v>0</v>
      </c>
      <c r="AA66" s="214"/>
      <c r="AB66" s="15">
        <f t="shared" si="20"/>
        <v>0</v>
      </c>
      <c r="AC66" s="13"/>
      <c r="AD66" s="216">
        <v>0</v>
      </c>
      <c r="AE66" s="18">
        <f t="shared" si="15"/>
        <v>0</v>
      </c>
      <c r="AF66" s="214"/>
      <c r="AG66" s="15">
        <f t="shared" si="21"/>
        <v>0</v>
      </c>
      <c r="AH66" s="13"/>
      <c r="AI66" s="216">
        <v>0</v>
      </c>
      <c r="AJ66" s="19">
        <f t="shared" si="16"/>
        <v>0</v>
      </c>
      <c r="AK66" s="217">
        <v>0</v>
      </c>
      <c r="AL66" s="218">
        <v>0</v>
      </c>
      <c r="AM66" s="218">
        <v>0</v>
      </c>
      <c r="AN66" s="266">
        <v>0</v>
      </c>
      <c r="AO66" s="23">
        <f t="shared" si="17"/>
        <v>0</v>
      </c>
    </row>
    <row r="67" spans="2:42" x14ac:dyDescent="0.2">
      <c r="B67" s="208"/>
      <c r="C67" s="256">
        <v>5.6</v>
      </c>
      <c r="D67" s="207" t="s">
        <v>121</v>
      </c>
      <c r="E67" s="208" t="s">
        <v>122</v>
      </c>
      <c r="F67" s="214">
        <v>13788193.73</v>
      </c>
      <c r="G67" s="15">
        <f t="shared" si="9"/>
        <v>13788193.73</v>
      </c>
      <c r="H67" s="13"/>
      <c r="I67" s="216">
        <v>0</v>
      </c>
      <c r="J67" s="18">
        <f t="shared" si="10"/>
        <v>13788193.73</v>
      </c>
      <c r="K67" s="214">
        <v>390248238.22000003</v>
      </c>
      <c r="L67" s="15">
        <f t="shared" si="18"/>
        <v>390248238.22000003</v>
      </c>
      <c r="M67" s="13"/>
      <c r="N67" s="216">
        <v>0</v>
      </c>
      <c r="O67" s="18">
        <f t="shared" si="11"/>
        <v>390248238.22000003</v>
      </c>
      <c r="P67" s="214">
        <v>626229349.66999996</v>
      </c>
      <c r="Q67" s="15">
        <f t="shared" si="19"/>
        <v>626229349.66999996</v>
      </c>
      <c r="R67" s="13"/>
      <c r="S67" s="216">
        <v>0</v>
      </c>
      <c r="T67" s="18">
        <f t="shared" si="12"/>
        <v>626229349.66999996</v>
      </c>
      <c r="U67" s="214">
        <v>0</v>
      </c>
      <c r="V67" s="18">
        <f t="shared" si="13"/>
        <v>0</v>
      </c>
      <c r="W67" s="214">
        <v>0</v>
      </c>
      <c r="X67" s="18">
        <f t="shared" si="13"/>
        <v>0</v>
      </c>
      <c r="Y67" s="214">
        <v>0</v>
      </c>
      <c r="Z67" s="18">
        <f t="shared" si="14"/>
        <v>0</v>
      </c>
      <c r="AA67" s="214">
        <v>0</v>
      </c>
      <c r="AB67" s="15">
        <f t="shared" si="20"/>
        <v>0</v>
      </c>
      <c r="AC67" s="13"/>
      <c r="AD67" s="216">
        <v>0</v>
      </c>
      <c r="AE67" s="18">
        <f t="shared" si="15"/>
        <v>0</v>
      </c>
      <c r="AF67" s="214">
        <v>6415964.7800000003</v>
      </c>
      <c r="AG67" s="15">
        <f t="shared" si="21"/>
        <v>6415964.7800000003</v>
      </c>
      <c r="AH67" s="13"/>
      <c r="AI67" s="216">
        <v>0</v>
      </c>
      <c r="AJ67" s="19">
        <f t="shared" si="16"/>
        <v>6415964.7800000003</v>
      </c>
      <c r="AK67" s="223">
        <v>755775290.17999995</v>
      </c>
      <c r="AL67" s="224">
        <v>812276551.57000005</v>
      </c>
      <c r="AM67" s="224">
        <v>0</v>
      </c>
      <c r="AN67" s="266">
        <v>25531632.030000001</v>
      </c>
      <c r="AO67" s="23">
        <f t="shared" si="17"/>
        <v>2630265220.1800003</v>
      </c>
    </row>
    <row r="68" spans="2:42" x14ac:dyDescent="0.2">
      <c r="B68" s="208"/>
      <c r="C68" s="256">
        <v>5.7</v>
      </c>
      <c r="D68" s="207" t="s">
        <v>123</v>
      </c>
      <c r="E68" s="208"/>
      <c r="F68" s="214">
        <v>0</v>
      </c>
      <c r="G68" s="15">
        <f t="shared" si="9"/>
        <v>0</v>
      </c>
      <c r="H68" s="13"/>
      <c r="I68" s="216">
        <v>0</v>
      </c>
      <c r="J68" s="18">
        <f t="shared" si="10"/>
        <v>0</v>
      </c>
      <c r="K68" s="214">
        <v>0</v>
      </c>
      <c r="L68" s="15">
        <f>K68</f>
        <v>0</v>
      </c>
      <c r="M68" s="13"/>
      <c r="N68" s="216">
        <v>0</v>
      </c>
      <c r="O68" s="18">
        <f>L68+M68-N68</f>
        <v>0</v>
      </c>
      <c r="P68" s="214">
        <v>0</v>
      </c>
      <c r="Q68" s="15">
        <f>P68</f>
        <v>0</v>
      </c>
      <c r="R68" s="13"/>
      <c r="S68" s="216">
        <v>0</v>
      </c>
      <c r="T68" s="18">
        <f>Q68+R68-S68</f>
        <v>0</v>
      </c>
      <c r="U68" s="214">
        <v>0</v>
      </c>
      <c r="V68" s="18">
        <f>U68</f>
        <v>0</v>
      </c>
      <c r="W68" s="214">
        <v>0</v>
      </c>
      <c r="X68" s="18">
        <f>W68</f>
        <v>0</v>
      </c>
      <c r="Y68" s="214">
        <v>0</v>
      </c>
      <c r="Z68" s="18">
        <f>Y68</f>
        <v>0</v>
      </c>
      <c r="AA68" s="214"/>
      <c r="AB68" s="15">
        <f>AA68</f>
        <v>0</v>
      </c>
      <c r="AC68" s="13"/>
      <c r="AD68" s="216">
        <v>0</v>
      </c>
      <c r="AE68" s="18">
        <f>AB68+AC68-AD68</f>
        <v>0</v>
      </c>
      <c r="AF68" s="214"/>
      <c r="AG68" s="15">
        <f>AF68</f>
        <v>0</v>
      </c>
      <c r="AH68" s="13"/>
      <c r="AI68" s="216">
        <v>0</v>
      </c>
      <c r="AJ68" s="19">
        <f>AG68+AH68-AI68</f>
        <v>0</v>
      </c>
      <c r="AK68" s="223">
        <v>0</v>
      </c>
      <c r="AL68" s="224">
        <v>0</v>
      </c>
      <c r="AM68" s="224">
        <v>0</v>
      </c>
      <c r="AN68" s="266">
        <v>0</v>
      </c>
      <c r="AO68" s="23">
        <f>SUM($F68,$K68,$P68,$U68,$W68,$Y68,$AA68,$AF68,$AK68,$AL68,$AM68,$AN68)</f>
        <v>0</v>
      </c>
    </row>
    <row r="69" spans="2:42" x14ac:dyDescent="0.2">
      <c r="B69" s="208"/>
      <c r="C69" s="256">
        <v>5.8</v>
      </c>
      <c r="D69" s="207" t="str">
        <f>"Total non-claims costs (Lines "&amp;$C$60&amp;" + "&amp;$C$61&amp;" + "&amp;$C$62&amp;" + "&amp;$C$63&amp;" + "&amp;$C$64&amp;"a + "&amp;$C$64&amp;"b "&amp;$C$65&amp;" + "&amp;$C$67&amp;" + "&amp;$C$68&amp;")"</f>
        <v>Total non-claims costs (Lines 5.1 + 5.2 + 5.3 + 5.4 + 5.5a + 5.5b  + 5.6 + 5.7)</v>
      </c>
      <c r="E69" s="208"/>
      <c r="F69" s="278">
        <f>SUM(F60:F68)</f>
        <v>16798131.109999999</v>
      </c>
      <c r="G69" s="18">
        <f>SUM(G60:G68)</f>
        <v>16798131.109999999</v>
      </c>
      <c r="H69" s="18">
        <f>SUM(H60:H68)</f>
        <v>0</v>
      </c>
      <c r="I69" s="18">
        <f>SUM(I60:I68)</f>
        <v>0</v>
      </c>
      <c r="J69" s="18">
        <f t="shared" si="10"/>
        <v>16798131.109999999</v>
      </c>
      <c r="K69" s="278">
        <f>SUM(K60:K68)</f>
        <v>835997568.98000002</v>
      </c>
      <c r="L69" s="18">
        <f>SUM(L60:L68)</f>
        <v>835997568.98000002</v>
      </c>
      <c r="M69" s="18">
        <f>SUM(M60:M68)</f>
        <v>0</v>
      </c>
      <c r="N69" s="18">
        <f>SUM(N60:N68)</f>
        <v>0</v>
      </c>
      <c r="O69" s="18">
        <f t="shared" si="11"/>
        <v>835997568.98000002</v>
      </c>
      <c r="P69" s="278">
        <f>SUM(P60:P68)</f>
        <v>1123754513.0599999</v>
      </c>
      <c r="Q69" s="18">
        <f>SUM(Q60:Q68)</f>
        <v>1123754513.0599999</v>
      </c>
      <c r="R69" s="18">
        <f>SUM(R60:R68)</f>
        <v>0</v>
      </c>
      <c r="S69" s="18">
        <f>SUM(S60:S68)</f>
        <v>0</v>
      </c>
      <c r="T69" s="18">
        <f t="shared" si="12"/>
        <v>1123754513.0599999</v>
      </c>
      <c r="U69" s="209">
        <f t="shared" ref="U69:Z69" si="22">SUM(U$60:U$67)</f>
        <v>0</v>
      </c>
      <c r="V69" s="18">
        <f t="shared" si="22"/>
        <v>0</v>
      </c>
      <c r="W69" s="209">
        <f t="shared" si="22"/>
        <v>0</v>
      </c>
      <c r="X69" s="18">
        <f t="shared" si="22"/>
        <v>0</v>
      </c>
      <c r="Y69" s="209">
        <f t="shared" si="22"/>
        <v>0</v>
      </c>
      <c r="Z69" s="18">
        <f t="shared" si="22"/>
        <v>0</v>
      </c>
      <c r="AA69" s="278">
        <f>SUM(AA60:AA68)</f>
        <v>0</v>
      </c>
      <c r="AB69" s="18">
        <f>SUM(AB60:AB68)</f>
        <v>0</v>
      </c>
      <c r="AC69" s="18">
        <f>SUM(AC60:AC68)</f>
        <v>0</v>
      </c>
      <c r="AD69" s="18">
        <f>SUM(AD60:AD68)</f>
        <v>0</v>
      </c>
      <c r="AE69" s="18">
        <f t="shared" si="15"/>
        <v>0</v>
      </c>
      <c r="AF69" s="278">
        <f>SUM(AF60:AF68)</f>
        <v>6926343.3900000006</v>
      </c>
      <c r="AG69" s="18">
        <f>SUM(AG60:AG68)</f>
        <v>6926343.3900000006</v>
      </c>
      <c r="AH69" s="18">
        <f>SUM(AH60:AH68)</f>
        <v>0</v>
      </c>
      <c r="AI69" s="18">
        <f>SUM(AI60:AI68)</f>
        <v>0</v>
      </c>
      <c r="AJ69" s="19">
        <f t="shared" si="16"/>
        <v>6926343.3900000006</v>
      </c>
      <c r="AK69" s="211">
        <f>SUM(AK$60:AK$68)</f>
        <v>1392820929.7199998</v>
      </c>
      <c r="AL69" s="211">
        <f>SUM(AL$60:AL$68)</f>
        <v>1163961658.79</v>
      </c>
      <c r="AM69" s="211">
        <f>SUM(AM$60:AM$68)</f>
        <v>0</v>
      </c>
      <c r="AN69" s="211">
        <f>SUM(AN$60:AN$68)</f>
        <v>42246043.980000004</v>
      </c>
      <c r="AO69" s="23">
        <f t="shared" si="17"/>
        <v>4582505189.0299997</v>
      </c>
    </row>
    <row r="70" spans="2:42" x14ac:dyDescent="0.2">
      <c r="B70" s="208"/>
      <c r="C70" s="256">
        <v>5.9</v>
      </c>
      <c r="D70" s="207" t="s">
        <v>124</v>
      </c>
      <c r="E70" s="208" t="s">
        <v>125</v>
      </c>
      <c r="F70" s="250">
        <v>5212.7</v>
      </c>
      <c r="G70" s="15">
        <f t="shared" si="9"/>
        <v>5212.7</v>
      </c>
      <c r="H70" s="220" t="s">
        <v>52</v>
      </c>
      <c r="I70" s="220" t="s">
        <v>52</v>
      </c>
      <c r="J70" s="18">
        <f>G70</f>
        <v>5212.7</v>
      </c>
      <c r="K70" s="214">
        <v>1732414.23</v>
      </c>
      <c r="L70" s="279">
        <f>K70</f>
        <v>1732414.23</v>
      </c>
      <c r="M70" s="220" t="s">
        <v>52</v>
      </c>
      <c r="N70" s="220" t="s">
        <v>52</v>
      </c>
      <c r="O70" s="18">
        <f>L70</f>
        <v>1732414.23</v>
      </c>
      <c r="P70" s="214">
        <v>2727359.31</v>
      </c>
      <c r="Q70" s="279">
        <f>P70</f>
        <v>2727359.31</v>
      </c>
      <c r="R70" s="220" t="s">
        <v>52</v>
      </c>
      <c r="S70" s="220" t="s">
        <v>52</v>
      </c>
      <c r="T70" s="18">
        <f>Q70</f>
        <v>2727359.31</v>
      </c>
      <c r="U70" s="214">
        <v>0</v>
      </c>
      <c r="V70" s="18">
        <f>U70</f>
        <v>0</v>
      </c>
      <c r="W70" s="214">
        <v>0</v>
      </c>
      <c r="X70" s="18">
        <f>W70</f>
        <v>0</v>
      </c>
      <c r="Y70" s="214">
        <v>0</v>
      </c>
      <c r="Z70" s="18">
        <f>Y70</f>
        <v>0</v>
      </c>
      <c r="AA70" s="214">
        <v>0</v>
      </c>
      <c r="AB70" s="279">
        <f>AA70</f>
        <v>0</v>
      </c>
      <c r="AC70" s="220" t="s">
        <v>52</v>
      </c>
      <c r="AD70" s="220" t="s">
        <v>52</v>
      </c>
      <c r="AE70" s="18">
        <f>AB70</f>
        <v>0</v>
      </c>
      <c r="AF70" s="214">
        <v>0</v>
      </c>
      <c r="AG70" s="279">
        <f>AF70</f>
        <v>0</v>
      </c>
      <c r="AH70" s="220" t="s">
        <v>52</v>
      </c>
      <c r="AI70" s="220" t="s">
        <v>52</v>
      </c>
      <c r="AJ70" s="19">
        <f>AG70</f>
        <v>0</v>
      </c>
      <c r="AK70" s="217">
        <v>6696036.5899999999</v>
      </c>
      <c r="AL70" s="218">
        <v>1039556.2</v>
      </c>
      <c r="AM70" s="218">
        <v>0</v>
      </c>
      <c r="AN70" s="258">
        <v>256610.07</v>
      </c>
      <c r="AO70" s="23">
        <f>SUM($F70,$K70,$P70,$U70,$W70,$Y70,$AA70,$AF70,$AK70,$AL70,$AM70,$AN70)</f>
        <v>12457189.1</v>
      </c>
    </row>
    <row r="71" spans="2:42" s="32" customFormat="1" x14ac:dyDescent="0.2">
      <c r="B71" s="241"/>
      <c r="C71" s="280"/>
      <c r="D71" s="281"/>
      <c r="E71" s="241"/>
      <c r="F71" s="14"/>
      <c r="G71" s="242"/>
      <c r="H71" s="17"/>
      <c r="I71" s="17"/>
      <c r="J71" s="243"/>
      <c r="K71" s="14"/>
      <c r="L71" s="242"/>
      <c r="M71" s="17"/>
      <c r="N71" s="17"/>
      <c r="O71" s="243"/>
      <c r="P71" s="14"/>
      <c r="Q71" s="242"/>
      <c r="R71" s="17"/>
      <c r="S71" s="17"/>
      <c r="T71" s="243"/>
      <c r="U71" s="14"/>
      <c r="V71" s="243"/>
      <c r="W71" s="14"/>
      <c r="X71" s="243"/>
      <c r="Y71" s="14"/>
      <c r="Z71" s="243"/>
      <c r="AA71" s="14"/>
      <c r="AB71" s="242"/>
      <c r="AC71" s="17"/>
      <c r="AD71" s="17"/>
      <c r="AE71" s="243"/>
      <c r="AF71" s="14"/>
      <c r="AG71" s="242"/>
      <c r="AH71" s="17"/>
      <c r="AI71" s="17"/>
      <c r="AJ71" s="244"/>
      <c r="AK71" s="20"/>
      <c r="AL71" s="21"/>
      <c r="AM71" s="21"/>
      <c r="AN71" s="22"/>
      <c r="AO71" s="245"/>
    </row>
    <row r="72" spans="2:42" x14ac:dyDescent="0.2">
      <c r="B72" s="282" t="s">
        <v>126</v>
      </c>
      <c r="C72" s="283" t="str">
        <f>"Pre-tax underwriting gain / (loss) (Lines "&amp;$C$27&amp;" – "&amp;$C$40&amp;" – "&amp;$C$57&amp;" – "&amp;$C$69&amp;" + "&amp;$C$64&amp;"a + "&amp;$C$64&amp;"b - Part 2 Line "&amp;$C$149&amp;")"</f>
        <v>Pre-tax underwriting gain / (loss) (Lines 1.8 – 2.11 – 4.6 – 5.8 + 5.5a + 5.5b - Part 2 Line 2.16)</v>
      </c>
      <c r="D72" s="284"/>
      <c r="E72" s="285"/>
      <c r="F72" s="286">
        <f>F$27-F$40-F$57-F$69+F$65+F$66-F$149</f>
        <v>-16581283.51</v>
      </c>
      <c r="G72" s="287" t="s">
        <v>52</v>
      </c>
      <c r="H72" s="287" t="s">
        <v>52</v>
      </c>
      <c r="I72" s="287" t="s">
        <v>52</v>
      </c>
      <c r="J72" s="288" t="s">
        <v>52</v>
      </c>
      <c r="K72" s="286">
        <f>K$27-K$40-K$57-K$69+K$65+K$66-K$149</f>
        <v>1023299377.9300015</v>
      </c>
      <c r="L72" s="289" t="s">
        <v>52</v>
      </c>
      <c r="M72" s="287" t="s">
        <v>52</v>
      </c>
      <c r="N72" s="287" t="s">
        <v>52</v>
      </c>
      <c r="O72" s="288" t="s">
        <v>52</v>
      </c>
      <c r="P72" s="286">
        <f>P$27-P$40-P$57-P$69+P$65+P$66-P$149</f>
        <v>1262159174.389998</v>
      </c>
      <c r="Q72" s="289" t="s">
        <v>52</v>
      </c>
      <c r="R72" s="287" t="s">
        <v>52</v>
      </c>
      <c r="S72" s="287" t="s">
        <v>52</v>
      </c>
      <c r="T72" s="288" t="s">
        <v>52</v>
      </c>
      <c r="U72" s="286">
        <f>U$27-U$40-U$57-U$69+U$65+U$66-U$149</f>
        <v>3216.48</v>
      </c>
      <c r="V72" s="288" t="s">
        <v>52</v>
      </c>
      <c r="W72" s="286">
        <f>W$27-W$40-W$57-W$69+W$65+W$66-W$149</f>
        <v>0</v>
      </c>
      <c r="X72" s="288" t="s">
        <v>52</v>
      </c>
      <c r="Y72" s="286">
        <f>Y$27-Y$40-Y$57-Y$69+Y$65+Y$66-Y$149</f>
        <v>0</v>
      </c>
      <c r="Z72" s="288" t="s">
        <v>52</v>
      </c>
      <c r="AA72" s="286">
        <f>AA$27-AA$40-AA$57-AA$69+AA$65+AA$66-AA$149</f>
        <v>0</v>
      </c>
      <c r="AB72" s="289" t="s">
        <v>52</v>
      </c>
      <c r="AC72" s="287" t="s">
        <v>52</v>
      </c>
      <c r="AD72" s="287" t="s">
        <v>52</v>
      </c>
      <c r="AE72" s="288" t="s">
        <v>52</v>
      </c>
      <c r="AF72" s="286">
        <f>AF$27-AF$40-AF$57-AF$69+AF$65+AF$66-AF$149</f>
        <v>-6962238.4000000004</v>
      </c>
      <c r="AG72" s="289" t="s">
        <v>52</v>
      </c>
      <c r="AH72" s="287" t="s">
        <v>52</v>
      </c>
      <c r="AI72" s="287" t="s">
        <v>52</v>
      </c>
      <c r="AJ72" s="290" t="s">
        <v>52</v>
      </c>
      <c r="AK72" s="291">
        <f>AK$27-AK$40-AK$57-AK$69+AK$65+AK$66-AK$149</f>
        <v>1134508950.110002</v>
      </c>
      <c r="AL72" s="292">
        <f>AL$27-AL$40-AL$57-AL$69+AL$65+AL$66-AL$149</f>
        <v>468215922.09000248</v>
      </c>
      <c r="AM72" s="293">
        <f>AM$27-AM$40-AM$57-AM$69+AM$65+AM$66-AM$149</f>
        <v>0</v>
      </c>
      <c r="AN72" s="294" t="s">
        <v>52</v>
      </c>
      <c r="AO72" s="295">
        <f>SUM($F72,$K72,$P72,$U72,$W72,$Y72,$AA72,$AF72,$AK72,$AL72,$AM72,$AN72)</f>
        <v>3864643119.090004</v>
      </c>
      <c r="AP72" s="226"/>
    </row>
    <row r="73" spans="2:42" x14ac:dyDescent="0.2">
      <c r="B73" s="282" t="s">
        <v>127</v>
      </c>
      <c r="C73" s="283" t="s">
        <v>128</v>
      </c>
      <c r="D73" s="284"/>
      <c r="E73" s="296" t="s">
        <v>129</v>
      </c>
      <c r="F73" s="297" t="s">
        <v>52</v>
      </c>
      <c r="G73" s="287" t="s">
        <v>52</v>
      </c>
      <c r="H73" s="287" t="s">
        <v>52</v>
      </c>
      <c r="I73" s="287" t="s">
        <v>52</v>
      </c>
      <c r="J73" s="288" t="s">
        <v>52</v>
      </c>
      <c r="K73" s="297" t="s">
        <v>52</v>
      </c>
      <c r="L73" s="289" t="s">
        <v>52</v>
      </c>
      <c r="M73" s="287" t="s">
        <v>52</v>
      </c>
      <c r="N73" s="287" t="s">
        <v>52</v>
      </c>
      <c r="O73" s="288" t="s">
        <v>52</v>
      </c>
      <c r="P73" s="297" t="s">
        <v>52</v>
      </c>
      <c r="Q73" s="289" t="s">
        <v>52</v>
      </c>
      <c r="R73" s="287" t="s">
        <v>52</v>
      </c>
      <c r="S73" s="287" t="s">
        <v>52</v>
      </c>
      <c r="T73" s="288" t="s">
        <v>52</v>
      </c>
      <c r="U73" s="297" t="s">
        <v>52</v>
      </c>
      <c r="V73" s="288" t="s">
        <v>52</v>
      </c>
      <c r="W73" s="297" t="s">
        <v>52</v>
      </c>
      <c r="X73" s="288" t="s">
        <v>52</v>
      </c>
      <c r="Y73" s="297" t="s">
        <v>52</v>
      </c>
      <c r="Z73" s="288" t="s">
        <v>52</v>
      </c>
      <c r="AA73" s="297" t="s">
        <v>52</v>
      </c>
      <c r="AB73" s="289" t="s">
        <v>52</v>
      </c>
      <c r="AC73" s="287" t="s">
        <v>52</v>
      </c>
      <c r="AD73" s="287" t="s">
        <v>52</v>
      </c>
      <c r="AE73" s="288" t="s">
        <v>52</v>
      </c>
      <c r="AF73" s="297" t="s">
        <v>52</v>
      </c>
      <c r="AG73" s="289" t="s">
        <v>52</v>
      </c>
      <c r="AH73" s="287" t="s">
        <v>52</v>
      </c>
      <c r="AI73" s="287" t="s">
        <v>52</v>
      </c>
      <c r="AJ73" s="290" t="s">
        <v>52</v>
      </c>
      <c r="AK73" s="288" t="s">
        <v>52</v>
      </c>
      <c r="AL73" s="298" t="s">
        <v>52</v>
      </c>
      <c r="AM73" s="298" t="s">
        <v>52</v>
      </c>
      <c r="AN73" s="299">
        <v>79859055.489999995</v>
      </c>
      <c r="AO73" s="300">
        <f>SUM($AN73)</f>
        <v>79859055.489999995</v>
      </c>
    </row>
    <row r="74" spans="2:42" x14ac:dyDescent="0.2">
      <c r="B74" s="282" t="s">
        <v>130</v>
      </c>
      <c r="C74" s="283" t="s">
        <v>131</v>
      </c>
      <c r="D74" s="284"/>
      <c r="E74" s="296" t="s">
        <v>132</v>
      </c>
      <c r="F74" s="297" t="s">
        <v>52</v>
      </c>
      <c r="G74" s="287" t="s">
        <v>52</v>
      </c>
      <c r="H74" s="287" t="s">
        <v>52</v>
      </c>
      <c r="I74" s="287" t="s">
        <v>52</v>
      </c>
      <c r="J74" s="288" t="s">
        <v>52</v>
      </c>
      <c r="K74" s="297" t="s">
        <v>52</v>
      </c>
      <c r="L74" s="289" t="s">
        <v>52</v>
      </c>
      <c r="M74" s="287" t="s">
        <v>52</v>
      </c>
      <c r="N74" s="287" t="s">
        <v>52</v>
      </c>
      <c r="O74" s="288" t="s">
        <v>52</v>
      </c>
      <c r="P74" s="297" t="s">
        <v>52</v>
      </c>
      <c r="Q74" s="289" t="s">
        <v>52</v>
      </c>
      <c r="R74" s="287" t="s">
        <v>52</v>
      </c>
      <c r="S74" s="287" t="s">
        <v>52</v>
      </c>
      <c r="T74" s="288" t="s">
        <v>52</v>
      </c>
      <c r="U74" s="297" t="s">
        <v>52</v>
      </c>
      <c r="V74" s="288" t="s">
        <v>52</v>
      </c>
      <c r="W74" s="297" t="s">
        <v>52</v>
      </c>
      <c r="X74" s="288" t="s">
        <v>52</v>
      </c>
      <c r="Y74" s="297" t="s">
        <v>52</v>
      </c>
      <c r="Z74" s="288" t="s">
        <v>52</v>
      </c>
      <c r="AA74" s="297" t="s">
        <v>52</v>
      </c>
      <c r="AB74" s="289" t="s">
        <v>52</v>
      </c>
      <c r="AC74" s="287" t="s">
        <v>52</v>
      </c>
      <c r="AD74" s="287" t="s">
        <v>52</v>
      </c>
      <c r="AE74" s="288" t="s">
        <v>52</v>
      </c>
      <c r="AF74" s="297" t="s">
        <v>52</v>
      </c>
      <c r="AG74" s="289" t="s">
        <v>52</v>
      </c>
      <c r="AH74" s="287" t="s">
        <v>52</v>
      </c>
      <c r="AI74" s="287" t="s">
        <v>52</v>
      </c>
      <c r="AJ74" s="290" t="s">
        <v>52</v>
      </c>
      <c r="AK74" s="288" t="s">
        <v>52</v>
      </c>
      <c r="AL74" s="298" t="s">
        <v>52</v>
      </c>
      <c r="AM74" s="298" t="s">
        <v>52</v>
      </c>
      <c r="AN74" s="294" t="s">
        <v>52</v>
      </c>
      <c r="AO74" s="301">
        <v>350683677.44</v>
      </c>
    </row>
    <row r="75" spans="2:42" x14ac:dyDescent="0.2">
      <c r="B75" s="282" t="s">
        <v>133</v>
      </c>
      <c r="C75" s="283" t="str">
        <f>"Federal income taxes (excluding taxes on Line "&amp;$C$43&amp;" above)"</f>
        <v>Federal income taxes (excluding taxes on Line 3.1 above)</v>
      </c>
      <c r="D75" s="284"/>
      <c r="E75" s="296" t="s">
        <v>134</v>
      </c>
      <c r="F75" s="297" t="s">
        <v>52</v>
      </c>
      <c r="G75" s="287" t="s">
        <v>52</v>
      </c>
      <c r="H75" s="287" t="s">
        <v>52</v>
      </c>
      <c r="I75" s="287" t="s">
        <v>52</v>
      </c>
      <c r="J75" s="288" t="s">
        <v>52</v>
      </c>
      <c r="K75" s="297" t="s">
        <v>52</v>
      </c>
      <c r="L75" s="289" t="s">
        <v>52</v>
      </c>
      <c r="M75" s="287" t="s">
        <v>52</v>
      </c>
      <c r="N75" s="287" t="s">
        <v>52</v>
      </c>
      <c r="O75" s="288" t="s">
        <v>52</v>
      </c>
      <c r="P75" s="297" t="s">
        <v>52</v>
      </c>
      <c r="Q75" s="289" t="s">
        <v>52</v>
      </c>
      <c r="R75" s="287" t="s">
        <v>52</v>
      </c>
      <c r="S75" s="287" t="s">
        <v>52</v>
      </c>
      <c r="T75" s="288" t="s">
        <v>52</v>
      </c>
      <c r="U75" s="297" t="s">
        <v>52</v>
      </c>
      <c r="V75" s="288" t="s">
        <v>52</v>
      </c>
      <c r="W75" s="297" t="s">
        <v>52</v>
      </c>
      <c r="X75" s="288" t="s">
        <v>52</v>
      </c>
      <c r="Y75" s="297" t="s">
        <v>52</v>
      </c>
      <c r="Z75" s="288" t="s">
        <v>52</v>
      </c>
      <c r="AA75" s="297" t="s">
        <v>52</v>
      </c>
      <c r="AB75" s="289" t="s">
        <v>52</v>
      </c>
      <c r="AC75" s="287" t="s">
        <v>52</v>
      </c>
      <c r="AD75" s="287" t="s">
        <v>52</v>
      </c>
      <c r="AE75" s="288" t="s">
        <v>52</v>
      </c>
      <c r="AF75" s="297" t="s">
        <v>52</v>
      </c>
      <c r="AG75" s="289" t="s">
        <v>52</v>
      </c>
      <c r="AH75" s="287" t="s">
        <v>52</v>
      </c>
      <c r="AI75" s="287" t="s">
        <v>52</v>
      </c>
      <c r="AJ75" s="290" t="s">
        <v>52</v>
      </c>
      <c r="AK75" s="288" t="s">
        <v>52</v>
      </c>
      <c r="AL75" s="298" t="s">
        <v>52</v>
      </c>
      <c r="AM75" s="298" t="s">
        <v>52</v>
      </c>
      <c r="AN75" s="294" t="s">
        <v>52</v>
      </c>
      <c r="AO75" s="301">
        <v>36867894.609999999</v>
      </c>
    </row>
    <row r="76" spans="2:42" x14ac:dyDescent="0.2">
      <c r="B76" s="282" t="s">
        <v>135</v>
      </c>
      <c r="C76" s="283" t="str">
        <f>"After-tax net gain / (loss) (Lines "&amp;$C$27&amp;" – "&amp;$C$40&amp;" – "&amp;$C$49&amp;" – "&amp;$C$57&amp;" – "&amp;$C$69&amp;" + "&amp;LEFT($B$73,1)&amp;" + "&amp;LEFT($B$74,1)&amp;" – "&amp;LEFT($B$75,1)&amp;")"</f>
        <v>After-tax net gain / (loss) (Lines 1.8 – 2.11 – 3.4 – 4.6 – 5.8 + 7 + 8 – 9)</v>
      </c>
      <c r="D76" s="284"/>
      <c r="E76" s="296" t="s">
        <v>136</v>
      </c>
      <c r="F76" s="297" t="s">
        <v>52</v>
      </c>
      <c r="G76" s="287" t="s">
        <v>52</v>
      </c>
      <c r="H76" s="287" t="s">
        <v>52</v>
      </c>
      <c r="I76" s="287" t="s">
        <v>52</v>
      </c>
      <c r="J76" s="288" t="s">
        <v>52</v>
      </c>
      <c r="K76" s="297" t="s">
        <v>52</v>
      </c>
      <c r="L76" s="289" t="s">
        <v>52</v>
      </c>
      <c r="M76" s="287" t="s">
        <v>52</v>
      </c>
      <c r="N76" s="287" t="s">
        <v>52</v>
      </c>
      <c r="O76" s="288" t="s">
        <v>52</v>
      </c>
      <c r="P76" s="297" t="s">
        <v>52</v>
      </c>
      <c r="Q76" s="289" t="s">
        <v>52</v>
      </c>
      <c r="R76" s="287" t="s">
        <v>52</v>
      </c>
      <c r="S76" s="287" t="s">
        <v>52</v>
      </c>
      <c r="T76" s="288" t="s">
        <v>52</v>
      </c>
      <c r="U76" s="297" t="s">
        <v>52</v>
      </c>
      <c r="V76" s="288" t="s">
        <v>52</v>
      </c>
      <c r="W76" s="297" t="s">
        <v>52</v>
      </c>
      <c r="X76" s="288" t="s">
        <v>52</v>
      </c>
      <c r="Y76" s="297" t="s">
        <v>52</v>
      </c>
      <c r="Z76" s="288" t="s">
        <v>52</v>
      </c>
      <c r="AA76" s="297" t="s">
        <v>52</v>
      </c>
      <c r="AB76" s="289" t="s">
        <v>52</v>
      </c>
      <c r="AC76" s="287" t="s">
        <v>52</v>
      </c>
      <c r="AD76" s="287" t="s">
        <v>52</v>
      </c>
      <c r="AE76" s="288" t="s">
        <v>52</v>
      </c>
      <c r="AF76" s="297" t="s">
        <v>52</v>
      </c>
      <c r="AG76" s="289" t="s">
        <v>52</v>
      </c>
      <c r="AH76" s="287" t="s">
        <v>52</v>
      </c>
      <c r="AI76" s="287" t="s">
        <v>52</v>
      </c>
      <c r="AJ76" s="290" t="s">
        <v>52</v>
      </c>
      <c r="AK76" s="302" t="s">
        <v>52</v>
      </c>
      <c r="AL76" s="303" t="s">
        <v>52</v>
      </c>
      <c r="AM76" s="303" t="s">
        <v>52</v>
      </c>
      <c r="AN76" s="294" t="s">
        <v>52</v>
      </c>
      <c r="AO76" s="300">
        <f>$AO$72-SUM($F$49,$K$49,$P$49,$U$49,$W$49,$Y$49,$AA$49,$AF$49,$AK$49,$AL$49,$AM$49,$AN$49)-SUM($F$65:$F$66,$K$65:$K$66,$P$65:$P$66,$U$65:$U$66,$W$65:$W$66,$Y$65:$Y$66,$AA$65:$AA$66,$AF$65:$AF$66,$AK$65:$AK$66,$AL$65:$AL$66,$AM$65:$AM$66,$AN$65:$AN$66)</f>
        <v>2076091799.7500038</v>
      </c>
    </row>
    <row r="77" spans="2:42" x14ac:dyDescent="0.2">
      <c r="B77" s="265" t="s">
        <v>137</v>
      </c>
      <c r="C77" s="260" t="s">
        <v>138</v>
      </c>
      <c r="D77" s="261"/>
      <c r="E77" s="262"/>
      <c r="F77" s="14"/>
      <c r="G77" s="17"/>
      <c r="H77" s="17"/>
      <c r="I77" s="17"/>
      <c r="J77" s="243"/>
      <c r="K77" s="14"/>
      <c r="L77" s="242"/>
      <c r="M77" s="17"/>
      <c r="N77" s="17"/>
      <c r="O77" s="243"/>
      <c r="P77" s="14"/>
      <c r="Q77" s="242"/>
      <c r="R77" s="17"/>
      <c r="S77" s="17"/>
      <c r="T77" s="243"/>
      <c r="U77" s="14"/>
      <c r="V77" s="243"/>
      <c r="W77" s="14"/>
      <c r="X77" s="243"/>
      <c r="Y77" s="14"/>
      <c r="Z77" s="243"/>
      <c r="AA77" s="14"/>
      <c r="AB77" s="242"/>
      <c r="AC77" s="17"/>
      <c r="AD77" s="17"/>
      <c r="AE77" s="243"/>
      <c r="AF77" s="14"/>
      <c r="AG77" s="242"/>
      <c r="AH77" s="17"/>
      <c r="AI77" s="17"/>
      <c r="AJ77" s="244"/>
      <c r="AK77" s="201"/>
      <c r="AL77" s="202"/>
      <c r="AM77" s="202"/>
      <c r="AN77" s="203"/>
      <c r="AO77" s="204"/>
    </row>
    <row r="78" spans="2:42" x14ac:dyDescent="0.2">
      <c r="B78" s="205"/>
      <c r="C78" s="256">
        <v>11.1</v>
      </c>
      <c r="D78" s="207" t="s">
        <v>139</v>
      </c>
      <c r="E78" s="208" t="s">
        <v>140</v>
      </c>
      <c r="F78" s="304">
        <v>17962</v>
      </c>
      <c r="G78" s="305">
        <f>F78</f>
        <v>17962</v>
      </c>
      <c r="H78" s="24"/>
      <c r="I78" s="306">
        <v>0</v>
      </c>
      <c r="J78" s="307">
        <f>G78+H78-I78</f>
        <v>17962</v>
      </c>
      <c r="K78" s="308">
        <v>800818</v>
      </c>
      <c r="L78" s="305">
        <f>K78</f>
        <v>800818</v>
      </c>
      <c r="M78" s="24"/>
      <c r="N78" s="309">
        <v>0</v>
      </c>
      <c r="O78" s="307">
        <f>L78+M78-N78</f>
        <v>800818</v>
      </c>
      <c r="P78" s="308">
        <v>1538082</v>
      </c>
      <c r="Q78" s="305">
        <f>P78</f>
        <v>1538082</v>
      </c>
      <c r="R78" s="24"/>
      <c r="S78" s="309">
        <v>0</v>
      </c>
      <c r="T78" s="307">
        <f>Q78+R78-S78</f>
        <v>1538082</v>
      </c>
      <c r="U78" s="308">
        <v>0</v>
      </c>
      <c r="V78" s="310">
        <f>U78</f>
        <v>0</v>
      </c>
      <c r="W78" s="308">
        <v>0</v>
      </c>
      <c r="X78" s="310">
        <f>W78</f>
        <v>0</v>
      </c>
      <c r="Y78" s="308">
        <v>0</v>
      </c>
      <c r="Z78" s="307">
        <f>Y78</f>
        <v>0</v>
      </c>
      <c r="AA78" s="308">
        <v>0</v>
      </c>
      <c r="AB78" s="305">
        <f>AA78</f>
        <v>0</v>
      </c>
      <c r="AC78" s="24"/>
      <c r="AD78" s="309">
        <v>0</v>
      </c>
      <c r="AE78" s="307">
        <f>AB78+AC78-AD78</f>
        <v>0</v>
      </c>
      <c r="AF78" s="308">
        <v>11</v>
      </c>
      <c r="AG78" s="305">
        <f>AF78</f>
        <v>11</v>
      </c>
      <c r="AH78" s="24"/>
      <c r="AI78" s="309">
        <v>0</v>
      </c>
      <c r="AJ78" s="311">
        <f>AG78+AH78-AI78</f>
        <v>11</v>
      </c>
      <c r="AK78" s="312">
        <v>5553852</v>
      </c>
      <c r="AL78" s="313">
        <v>5849901</v>
      </c>
      <c r="AM78" s="313">
        <v>0</v>
      </c>
      <c r="AN78" s="314">
        <v>34341</v>
      </c>
      <c r="AO78" s="315">
        <f>SUM($F78,$K78,$P78,$U78,$W78,$Y78,$AA78,$AF78,$AK78,$AL78,$AM78,$AN78)</f>
        <v>13794967</v>
      </c>
    </row>
    <row r="79" spans="2:42" x14ac:dyDescent="0.2">
      <c r="B79" s="205"/>
      <c r="C79" s="256">
        <v>11.2</v>
      </c>
      <c r="D79" s="207" t="s">
        <v>141</v>
      </c>
      <c r="E79" s="208" t="s">
        <v>142</v>
      </c>
      <c r="F79" s="304">
        <v>19031</v>
      </c>
      <c r="G79" s="305">
        <f>F79</f>
        <v>19031</v>
      </c>
      <c r="H79" s="24"/>
      <c r="I79" s="306">
        <v>0</v>
      </c>
      <c r="J79" s="307">
        <f>G79+H79-I79</f>
        <v>19031</v>
      </c>
      <c r="K79" s="308">
        <v>1452778</v>
      </c>
      <c r="L79" s="305">
        <f>K79</f>
        <v>1452778</v>
      </c>
      <c r="M79" s="24"/>
      <c r="N79" s="309">
        <v>0</v>
      </c>
      <c r="O79" s="307">
        <f>L79+M79-N79</f>
        <v>1452778</v>
      </c>
      <c r="P79" s="308">
        <v>3004415</v>
      </c>
      <c r="Q79" s="305">
        <f>P79</f>
        <v>3004415</v>
      </c>
      <c r="R79" s="24"/>
      <c r="S79" s="309">
        <v>0</v>
      </c>
      <c r="T79" s="307">
        <f>Q79+R79-S79</f>
        <v>3004415</v>
      </c>
      <c r="U79" s="308">
        <v>0</v>
      </c>
      <c r="V79" s="310">
        <f>U79</f>
        <v>0</v>
      </c>
      <c r="W79" s="308">
        <v>0</v>
      </c>
      <c r="X79" s="310">
        <f>W79</f>
        <v>0</v>
      </c>
      <c r="Y79" s="308">
        <v>0</v>
      </c>
      <c r="Z79" s="307">
        <f>Y79</f>
        <v>0</v>
      </c>
      <c r="AA79" s="308">
        <v>0</v>
      </c>
      <c r="AB79" s="305">
        <f>AA79</f>
        <v>0</v>
      </c>
      <c r="AC79" s="24"/>
      <c r="AD79" s="309">
        <v>0</v>
      </c>
      <c r="AE79" s="307">
        <f>AB79+AC79-AD79</f>
        <v>0</v>
      </c>
      <c r="AF79" s="308">
        <v>183</v>
      </c>
      <c r="AG79" s="305">
        <f>AF79</f>
        <v>183</v>
      </c>
      <c r="AH79" s="24"/>
      <c r="AI79" s="309">
        <v>0</v>
      </c>
      <c r="AJ79" s="311">
        <f>AG79+AH79-AI79</f>
        <v>183</v>
      </c>
      <c r="AK79" s="312">
        <v>5766232</v>
      </c>
      <c r="AL79" s="313">
        <v>8542375</v>
      </c>
      <c r="AM79" s="313">
        <v>0</v>
      </c>
      <c r="AN79" s="314">
        <v>89355</v>
      </c>
      <c r="AO79" s="315">
        <f>SUM($F79,$K79,$P79,$U79,$W79,$Y79,$AA79,$AF79,$AK79,$AL79,$AM79,$AN79)</f>
        <v>18874369</v>
      </c>
    </row>
    <row r="80" spans="2:42" x14ac:dyDescent="0.2">
      <c r="B80" s="205"/>
      <c r="C80" s="256">
        <v>11.3</v>
      </c>
      <c r="D80" s="207" t="s">
        <v>143</v>
      </c>
      <c r="E80" s="208" t="s">
        <v>144</v>
      </c>
      <c r="F80" s="316" t="s">
        <v>52</v>
      </c>
      <c r="G80" s="317" t="s">
        <v>52</v>
      </c>
      <c r="H80" s="317" t="s">
        <v>52</v>
      </c>
      <c r="I80" s="317" t="s">
        <v>52</v>
      </c>
      <c r="J80" s="318" t="s">
        <v>52</v>
      </c>
      <c r="K80" s="308">
        <v>103736</v>
      </c>
      <c r="L80" s="305">
        <f>K80</f>
        <v>103736</v>
      </c>
      <c r="M80" s="24"/>
      <c r="N80" s="309">
        <v>0</v>
      </c>
      <c r="O80" s="307">
        <f>L80+M80-N80</f>
        <v>103736</v>
      </c>
      <c r="P80" s="308">
        <v>18420</v>
      </c>
      <c r="Q80" s="305">
        <f>P80</f>
        <v>18420</v>
      </c>
      <c r="R80" s="24"/>
      <c r="S80" s="309">
        <v>0</v>
      </c>
      <c r="T80" s="307">
        <f>Q80+R80-S80</f>
        <v>18420</v>
      </c>
      <c r="U80" s="316" t="s">
        <v>52</v>
      </c>
      <c r="V80" s="318" t="s">
        <v>52</v>
      </c>
      <c r="W80" s="308">
        <v>0</v>
      </c>
      <c r="X80" s="310">
        <f>W80</f>
        <v>0</v>
      </c>
      <c r="Y80" s="308">
        <v>0</v>
      </c>
      <c r="Z80" s="307">
        <f>Y80</f>
        <v>0</v>
      </c>
      <c r="AA80" s="308">
        <v>0</v>
      </c>
      <c r="AB80" s="305">
        <f>AA80</f>
        <v>0</v>
      </c>
      <c r="AC80" s="24"/>
      <c r="AD80" s="309">
        <v>0</v>
      </c>
      <c r="AE80" s="307">
        <f>AB80+AC80-AD80</f>
        <v>0</v>
      </c>
      <c r="AF80" s="308">
        <v>11</v>
      </c>
      <c r="AG80" s="305">
        <f>AF80</f>
        <v>11</v>
      </c>
      <c r="AH80" s="24"/>
      <c r="AI80" s="309">
        <v>0</v>
      </c>
      <c r="AJ80" s="311">
        <f>AG80+AH80-AI80</f>
        <v>11</v>
      </c>
      <c r="AK80" s="312">
        <v>2307</v>
      </c>
      <c r="AL80" s="313">
        <v>5741</v>
      </c>
      <c r="AM80" s="313">
        <v>0</v>
      </c>
      <c r="AN80" s="314">
        <v>7</v>
      </c>
      <c r="AO80" s="315">
        <f>SUM($F80,$K80,$P80,$U80,$W80,$Y80,$AA80,$AF80,$AK80,$AL80,$AM80,$AN80)</f>
        <v>130222</v>
      </c>
    </row>
    <row r="81" spans="2:41" x14ac:dyDescent="0.2">
      <c r="B81" s="205"/>
      <c r="C81" s="256">
        <v>11.4</v>
      </c>
      <c r="D81" s="207" t="s">
        <v>145</v>
      </c>
      <c r="E81" s="208" t="s">
        <v>146</v>
      </c>
      <c r="F81" s="304">
        <v>316783</v>
      </c>
      <c r="G81" s="305">
        <f>F81</f>
        <v>316783</v>
      </c>
      <c r="H81" s="24"/>
      <c r="I81" s="306">
        <v>0</v>
      </c>
      <c r="J81" s="307">
        <f>G81+H81-I81</f>
        <v>316783</v>
      </c>
      <c r="K81" s="308">
        <v>17252500</v>
      </c>
      <c r="L81" s="305">
        <f>K81</f>
        <v>17252500</v>
      </c>
      <c r="M81" s="24"/>
      <c r="N81" s="309">
        <v>0</v>
      </c>
      <c r="O81" s="307">
        <f>L81+M81-N81</f>
        <v>17252500</v>
      </c>
      <c r="P81" s="308">
        <v>36063659</v>
      </c>
      <c r="Q81" s="305">
        <f>P81</f>
        <v>36063659</v>
      </c>
      <c r="R81" s="24"/>
      <c r="S81" s="309">
        <v>0</v>
      </c>
      <c r="T81" s="307">
        <f>Q81+R81-S81</f>
        <v>36063659</v>
      </c>
      <c r="U81" s="308">
        <v>47</v>
      </c>
      <c r="V81" s="310">
        <f>U81</f>
        <v>47</v>
      </c>
      <c r="W81" s="308">
        <v>0</v>
      </c>
      <c r="X81" s="310">
        <f>W81</f>
        <v>0</v>
      </c>
      <c r="Y81" s="308">
        <v>0</v>
      </c>
      <c r="Z81" s="307">
        <f>Y81</f>
        <v>0</v>
      </c>
      <c r="AA81" s="308">
        <v>0</v>
      </c>
      <c r="AB81" s="305">
        <f>AA81</f>
        <v>0</v>
      </c>
      <c r="AC81" s="24"/>
      <c r="AD81" s="309">
        <v>0</v>
      </c>
      <c r="AE81" s="307">
        <f>AB81+AC81-AD81</f>
        <v>0</v>
      </c>
      <c r="AF81" s="308">
        <v>609</v>
      </c>
      <c r="AG81" s="305">
        <f>AF81</f>
        <v>609</v>
      </c>
      <c r="AH81" s="24"/>
      <c r="AI81" s="309">
        <v>0</v>
      </c>
      <c r="AJ81" s="311">
        <f>AG81+AH81-AI81</f>
        <v>609</v>
      </c>
      <c r="AK81" s="312">
        <v>68169190</v>
      </c>
      <c r="AL81" s="313">
        <v>105163125</v>
      </c>
      <c r="AM81" s="313">
        <v>0</v>
      </c>
      <c r="AN81" s="314">
        <v>787172</v>
      </c>
      <c r="AO81" s="315">
        <f>SUM($F81,$K81,$P81,$U81,$W81,$Y81,$AA81,$AF81,$AK81,$AL81,$AM81,$AN81)</f>
        <v>227753085</v>
      </c>
    </row>
    <row r="82" spans="2:41" ht="13.5" thickBot="1" x14ac:dyDescent="0.25">
      <c r="B82" s="319"/>
      <c r="C82" s="320">
        <v>11.5</v>
      </c>
      <c r="D82" s="321" t="s">
        <v>147</v>
      </c>
      <c r="E82" s="320"/>
      <c r="F82" s="322">
        <f>F$81/12</f>
        <v>26398.583333333332</v>
      </c>
      <c r="G82" s="323">
        <f>G$81/12</f>
        <v>26398.583333333332</v>
      </c>
      <c r="H82" s="323">
        <f>H$81/12</f>
        <v>0</v>
      </c>
      <c r="I82" s="323">
        <f>I$81/12</f>
        <v>0</v>
      </c>
      <c r="J82" s="324">
        <f>G82+H82-I82</f>
        <v>26398.583333333332</v>
      </c>
      <c r="K82" s="322">
        <f>K$81/12</f>
        <v>1437708.3333333333</v>
      </c>
      <c r="L82" s="325">
        <f>L$81/12</f>
        <v>1437708.3333333333</v>
      </c>
      <c r="M82" s="323">
        <f>M$81/12</f>
        <v>0</v>
      </c>
      <c r="N82" s="323">
        <f>N$81/12</f>
        <v>0</v>
      </c>
      <c r="O82" s="324">
        <f>L82+M82-N82</f>
        <v>1437708.3333333333</v>
      </c>
      <c r="P82" s="322">
        <f>P$81/12</f>
        <v>3005304.9166666665</v>
      </c>
      <c r="Q82" s="325">
        <f>Q$81/12</f>
        <v>3005304.9166666665</v>
      </c>
      <c r="R82" s="323">
        <f>R$81/12</f>
        <v>0</v>
      </c>
      <c r="S82" s="323">
        <f>S$81/12</f>
        <v>0</v>
      </c>
      <c r="T82" s="324">
        <f>Q82+R82-S82</f>
        <v>3005304.9166666665</v>
      </c>
      <c r="U82" s="322">
        <f t="shared" ref="U82:AB82" si="23">U$81/12</f>
        <v>3.9166666666666665</v>
      </c>
      <c r="V82" s="324">
        <f t="shared" si="23"/>
        <v>3.9166666666666665</v>
      </c>
      <c r="W82" s="322">
        <f t="shared" si="23"/>
        <v>0</v>
      </c>
      <c r="X82" s="324">
        <f t="shared" si="23"/>
        <v>0</v>
      </c>
      <c r="Y82" s="322">
        <f t="shared" si="23"/>
        <v>0</v>
      </c>
      <c r="Z82" s="324">
        <f t="shared" si="23"/>
        <v>0</v>
      </c>
      <c r="AA82" s="322">
        <f t="shared" si="23"/>
        <v>0</v>
      </c>
      <c r="AB82" s="325">
        <f t="shared" si="23"/>
        <v>0</v>
      </c>
      <c r="AC82" s="323">
        <f>AC$81/12</f>
        <v>0</v>
      </c>
      <c r="AD82" s="323">
        <f>AD$81/12</f>
        <v>0</v>
      </c>
      <c r="AE82" s="324">
        <f>AB82+AC82-AD82</f>
        <v>0</v>
      </c>
      <c r="AF82" s="322">
        <f>AF$81/12</f>
        <v>50.75</v>
      </c>
      <c r="AG82" s="325">
        <f>AG$81/12</f>
        <v>50.75</v>
      </c>
      <c r="AH82" s="323">
        <f>AH$81/12</f>
        <v>0</v>
      </c>
      <c r="AI82" s="323">
        <f>AI$81/12</f>
        <v>0</v>
      </c>
      <c r="AJ82" s="326">
        <f>AG82+AH82-AI82</f>
        <v>50.75</v>
      </c>
      <c r="AK82" s="327">
        <f>AK$81/12</f>
        <v>5680765.833333333</v>
      </c>
      <c r="AL82" s="328">
        <f>AL$81/12</f>
        <v>8763593.75</v>
      </c>
      <c r="AM82" s="328">
        <f>AM$81/12</f>
        <v>0</v>
      </c>
      <c r="AN82" s="329">
        <f>AN$81/12</f>
        <v>65597.666666666672</v>
      </c>
      <c r="AO82" s="330">
        <f>SUM($F82,$K82,$P82,$U82,$W82,$Y82,$AA82,$AF82,$AK82,$AL82,$AM82,$AN82)</f>
        <v>18979423.75</v>
      </c>
    </row>
    <row r="83" spans="2:41" x14ac:dyDescent="0.2">
      <c r="F83" s="331"/>
      <c r="G83" s="331"/>
      <c r="H83" s="331"/>
      <c r="I83" s="331"/>
      <c r="J83" s="331"/>
      <c r="K83" s="331"/>
      <c r="L83" s="331"/>
      <c r="M83" s="331"/>
      <c r="N83" s="331"/>
      <c r="O83" s="331"/>
      <c r="P83" s="331"/>
      <c r="Q83" s="331"/>
      <c r="R83" s="331"/>
      <c r="S83" s="331"/>
      <c r="T83" s="331"/>
      <c r="U83" s="331"/>
      <c r="V83" s="331"/>
      <c r="W83" s="331"/>
      <c r="X83" s="331"/>
      <c r="Y83" s="331"/>
      <c r="Z83" s="331"/>
      <c r="AA83" s="331"/>
      <c r="AB83" s="331"/>
      <c r="AC83" s="331"/>
      <c r="AD83" s="331"/>
      <c r="AE83" s="331"/>
      <c r="AF83" s="331"/>
      <c r="AG83" s="331"/>
      <c r="AH83" s="331"/>
      <c r="AI83" s="331"/>
      <c r="AK83" s="331"/>
      <c r="AL83" s="331"/>
      <c r="AM83" s="331"/>
    </row>
    <row r="84" spans="2:41" x14ac:dyDescent="0.2">
      <c r="B84" s="332" t="s">
        <v>148</v>
      </c>
      <c r="C84" s="332"/>
      <c r="D84" s="332"/>
      <c r="F84" s="331"/>
      <c r="G84" s="331"/>
      <c r="H84" s="331"/>
      <c r="I84" s="331"/>
      <c r="J84" s="331"/>
      <c r="K84" s="331"/>
      <c r="L84" s="331"/>
      <c r="M84" s="331"/>
      <c r="N84" s="331"/>
      <c r="O84" s="331"/>
      <c r="P84" s="331"/>
      <c r="Q84" s="331"/>
      <c r="R84" s="331"/>
      <c r="S84" s="331"/>
      <c r="T84" s="331"/>
      <c r="U84" s="331"/>
      <c r="V84" s="331"/>
      <c r="W84" s="331"/>
      <c r="X84" s="331"/>
      <c r="Y84" s="331"/>
      <c r="Z84" s="331"/>
      <c r="AA84" s="331"/>
      <c r="AB84" s="331"/>
      <c r="AC84" s="331"/>
      <c r="AD84" s="331"/>
      <c r="AE84" s="331"/>
      <c r="AF84" s="331"/>
      <c r="AG84" s="331"/>
      <c r="AH84" s="331"/>
      <c r="AI84" s="331"/>
      <c r="AK84" s="331"/>
      <c r="AL84" s="331"/>
      <c r="AM84" s="331"/>
    </row>
    <row r="85" spans="2:41" x14ac:dyDescent="0.2">
      <c r="B85" s="332"/>
      <c r="C85" s="333" t="s">
        <v>149</v>
      </c>
      <c r="D85" s="333"/>
      <c r="F85" s="331"/>
      <c r="G85" s="331"/>
      <c r="H85" s="331"/>
      <c r="I85" s="331"/>
      <c r="J85" s="331"/>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c r="AI85" s="331"/>
      <c r="AK85" s="331"/>
      <c r="AL85" s="331"/>
      <c r="AM85" s="331"/>
    </row>
    <row r="86" spans="2:41" x14ac:dyDescent="0.2">
      <c r="B86" s="332"/>
      <c r="C86" s="332" t="s">
        <v>150</v>
      </c>
      <c r="D86" s="332"/>
      <c r="F86" s="331"/>
      <c r="G86" s="331"/>
      <c r="H86" s="331"/>
      <c r="I86" s="331"/>
      <c r="J86" s="331"/>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c r="AI86" s="331"/>
      <c r="AK86" s="331"/>
      <c r="AL86" s="331"/>
      <c r="AM86" s="331"/>
    </row>
    <row r="87" spans="2:41" x14ac:dyDescent="0.2">
      <c r="B87" s="332"/>
      <c r="C87" s="332" t="s">
        <v>151</v>
      </c>
      <c r="D87" s="332"/>
      <c r="F87" s="331"/>
      <c r="G87" s="331"/>
      <c r="H87" s="331"/>
      <c r="I87" s="331"/>
      <c r="J87" s="331"/>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c r="AI87" s="331"/>
      <c r="AK87" s="331"/>
      <c r="AL87" s="331"/>
      <c r="AM87" s="331"/>
    </row>
    <row r="88" spans="2:41" x14ac:dyDescent="0.2">
      <c r="B88" s="332"/>
      <c r="C88" s="332" t="s">
        <v>152</v>
      </c>
      <c r="D88" s="332"/>
      <c r="F88" s="331"/>
      <c r="G88" s="331"/>
      <c r="H88" s="331"/>
      <c r="I88" s="331"/>
      <c r="J88" s="331"/>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c r="AI88" s="331"/>
      <c r="AK88" s="331"/>
      <c r="AL88" s="331"/>
      <c r="AM88" s="331"/>
    </row>
    <row r="89" spans="2:41" x14ac:dyDescent="0.2">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K89" s="331"/>
      <c r="AL89" s="331"/>
      <c r="AM89" s="331"/>
    </row>
    <row r="90" spans="2:41" x14ac:dyDescent="0.2">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K90" s="331"/>
      <c r="AL90" s="331"/>
      <c r="AM90" s="331"/>
    </row>
    <row r="91" spans="2:41" x14ac:dyDescent="0.2">
      <c r="F91" s="331"/>
      <c r="G91" s="331"/>
      <c r="H91" s="331"/>
      <c r="I91" s="331"/>
      <c r="J91" s="331"/>
      <c r="K91" s="331"/>
      <c r="L91" s="331"/>
      <c r="M91" s="331"/>
      <c r="N91" s="331"/>
      <c r="O91" s="331"/>
      <c r="P91" s="331"/>
      <c r="Q91" s="331"/>
      <c r="R91" s="331"/>
      <c r="S91" s="331"/>
      <c r="T91" s="331"/>
      <c r="U91" s="331"/>
      <c r="V91" s="331"/>
      <c r="W91" s="331"/>
      <c r="X91" s="331"/>
      <c r="Y91" s="331"/>
      <c r="Z91" s="331"/>
      <c r="AA91" s="331"/>
      <c r="AB91" s="331"/>
      <c r="AC91" s="331"/>
      <c r="AD91" s="331"/>
      <c r="AE91" s="331"/>
      <c r="AF91" s="331"/>
      <c r="AG91" s="331"/>
      <c r="AH91" s="331"/>
      <c r="AI91" s="331"/>
      <c r="AK91" s="331"/>
      <c r="AL91" s="331"/>
      <c r="AM91" s="331"/>
    </row>
    <row r="92" spans="2:41" x14ac:dyDescent="0.2">
      <c r="F92" s="331"/>
      <c r="G92" s="331"/>
      <c r="H92" s="331"/>
      <c r="I92" s="331"/>
      <c r="J92" s="331"/>
      <c r="K92" s="331"/>
      <c r="L92" s="331"/>
      <c r="M92" s="331"/>
      <c r="N92" s="331"/>
      <c r="O92" s="331"/>
      <c r="P92" s="331"/>
      <c r="Q92" s="331"/>
      <c r="R92" s="331"/>
      <c r="S92" s="331"/>
      <c r="T92" s="331"/>
      <c r="U92" s="331"/>
      <c r="V92" s="331"/>
      <c r="W92" s="331"/>
      <c r="X92" s="331"/>
      <c r="Y92" s="331"/>
      <c r="Z92" s="331"/>
      <c r="AA92" s="331"/>
      <c r="AB92" s="331"/>
      <c r="AC92" s="331"/>
      <c r="AD92" s="331"/>
      <c r="AE92" s="331"/>
      <c r="AF92" s="331"/>
      <c r="AG92" s="331"/>
      <c r="AH92" s="331"/>
      <c r="AI92" s="331"/>
      <c r="AK92" s="331"/>
      <c r="AL92" s="331"/>
      <c r="AM92" s="331"/>
    </row>
    <row r="93" spans="2:41" x14ac:dyDescent="0.2">
      <c r="F93" s="331"/>
      <c r="G93" s="331"/>
      <c r="H93" s="331"/>
      <c r="I93" s="331"/>
      <c r="J93" s="331"/>
      <c r="K93" s="331"/>
      <c r="L93" s="331"/>
      <c r="M93" s="331"/>
      <c r="N93" s="331"/>
      <c r="O93" s="331"/>
      <c r="P93" s="331"/>
      <c r="Q93" s="331"/>
      <c r="R93" s="331"/>
      <c r="S93" s="331"/>
      <c r="T93" s="331"/>
      <c r="U93" s="331"/>
      <c r="V93" s="331"/>
      <c r="W93" s="331"/>
      <c r="X93" s="331"/>
      <c r="Y93" s="331"/>
      <c r="Z93" s="331"/>
      <c r="AA93" s="331"/>
      <c r="AB93" s="331"/>
      <c r="AC93" s="331"/>
      <c r="AD93" s="331"/>
      <c r="AE93" s="331"/>
      <c r="AF93" s="331"/>
      <c r="AG93" s="331"/>
      <c r="AH93" s="331"/>
      <c r="AI93" s="331"/>
      <c r="AK93" s="331"/>
      <c r="AL93" s="331"/>
      <c r="AM93" s="331"/>
    </row>
    <row r="94" spans="2:41" x14ac:dyDescent="0.2">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K94" s="331"/>
      <c r="AL94" s="331"/>
      <c r="AM94" s="331"/>
    </row>
    <row r="95" spans="2:41" x14ac:dyDescent="0.2">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K95" s="331"/>
      <c r="AL95" s="331"/>
      <c r="AM95" s="331"/>
    </row>
    <row r="96" spans="2:41" x14ac:dyDescent="0.2">
      <c r="F96" s="331"/>
      <c r="G96" s="331"/>
      <c r="H96" s="331"/>
      <c r="I96" s="331"/>
      <c r="J96" s="331"/>
      <c r="K96" s="331"/>
      <c r="L96" s="331"/>
      <c r="M96" s="331"/>
      <c r="N96" s="331"/>
      <c r="O96" s="331"/>
      <c r="P96" s="331"/>
      <c r="Q96" s="331"/>
      <c r="R96" s="331"/>
      <c r="S96" s="331"/>
      <c r="T96" s="331"/>
      <c r="U96" s="331"/>
      <c r="V96" s="331"/>
      <c r="W96" s="331"/>
      <c r="X96" s="331"/>
      <c r="Y96" s="331"/>
      <c r="Z96" s="331"/>
      <c r="AA96" s="331"/>
      <c r="AB96" s="331"/>
      <c r="AC96" s="331"/>
      <c r="AD96" s="331"/>
      <c r="AE96" s="331"/>
      <c r="AF96" s="331"/>
      <c r="AG96" s="331"/>
      <c r="AH96" s="331"/>
      <c r="AI96" s="331"/>
      <c r="AK96" s="331"/>
      <c r="AL96" s="331"/>
      <c r="AM96" s="331"/>
    </row>
    <row r="97" spans="2:41" x14ac:dyDescent="0.2">
      <c r="F97" s="331"/>
      <c r="G97" s="331"/>
      <c r="H97" s="331"/>
      <c r="I97" s="331"/>
      <c r="J97" s="331"/>
      <c r="K97" s="331"/>
      <c r="L97" s="331"/>
      <c r="M97" s="331"/>
      <c r="N97" s="331"/>
      <c r="O97" s="331"/>
      <c r="P97" s="331"/>
      <c r="Q97" s="331"/>
      <c r="R97" s="331"/>
      <c r="S97" s="331"/>
      <c r="T97" s="331"/>
      <c r="U97" s="331"/>
      <c r="V97" s="331"/>
      <c r="W97" s="331"/>
      <c r="X97" s="331"/>
      <c r="Y97" s="331"/>
      <c r="Z97" s="331"/>
      <c r="AA97" s="331"/>
      <c r="AB97" s="331"/>
      <c r="AC97" s="331"/>
      <c r="AD97" s="331"/>
      <c r="AE97" s="331"/>
      <c r="AF97" s="331"/>
      <c r="AG97" s="331"/>
      <c r="AH97" s="331"/>
      <c r="AI97" s="331"/>
      <c r="AK97" s="331"/>
      <c r="AL97" s="331"/>
      <c r="AM97" s="331"/>
    </row>
    <row r="98" spans="2:41" x14ac:dyDescent="0.2">
      <c r="F98" s="331"/>
      <c r="G98" s="331"/>
      <c r="H98" s="331"/>
      <c r="I98" s="331"/>
      <c r="J98" s="331"/>
      <c r="K98" s="331"/>
      <c r="L98" s="33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c r="AK98" s="331"/>
      <c r="AL98" s="331"/>
      <c r="AM98" s="331"/>
    </row>
    <row r="99" spans="2:41" x14ac:dyDescent="0.2">
      <c r="F99" s="331"/>
      <c r="G99" s="331"/>
      <c r="H99" s="331"/>
      <c r="I99" s="331"/>
      <c r="J99" s="331"/>
      <c r="K99" s="331"/>
      <c r="L99" s="331"/>
      <c r="M99" s="331"/>
      <c r="N99" s="331"/>
      <c r="O99" s="331"/>
      <c r="P99" s="331"/>
      <c r="Q99" s="331"/>
      <c r="R99" s="331"/>
      <c r="S99" s="331"/>
      <c r="T99" s="331"/>
      <c r="U99" s="331"/>
      <c r="V99" s="331"/>
      <c r="W99" s="331"/>
      <c r="X99" s="331"/>
      <c r="Y99" s="331"/>
      <c r="Z99" s="331"/>
      <c r="AA99" s="331"/>
      <c r="AB99" s="331"/>
      <c r="AC99" s="331"/>
      <c r="AD99" s="331"/>
      <c r="AE99" s="331"/>
      <c r="AF99" s="331"/>
      <c r="AG99" s="331"/>
      <c r="AH99" s="331"/>
      <c r="AI99" s="331"/>
      <c r="AK99" s="331"/>
      <c r="AL99" s="331"/>
      <c r="AM99" s="331"/>
    </row>
    <row r="100" spans="2:41" x14ac:dyDescent="0.2">
      <c r="F100" s="331"/>
      <c r="G100" s="331"/>
      <c r="H100" s="331"/>
      <c r="I100" s="331"/>
      <c r="J100" s="331"/>
      <c r="K100" s="331"/>
      <c r="L100" s="331"/>
      <c r="M100" s="331"/>
      <c r="N100" s="331"/>
      <c r="O100" s="331"/>
      <c r="P100" s="331"/>
      <c r="Q100" s="331"/>
      <c r="R100" s="331"/>
      <c r="S100" s="331"/>
      <c r="T100" s="331"/>
      <c r="U100" s="331"/>
      <c r="V100" s="331"/>
      <c r="W100" s="331"/>
      <c r="X100" s="331"/>
      <c r="Y100" s="331"/>
      <c r="Z100" s="331"/>
      <c r="AA100" s="331"/>
      <c r="AB100" s="331"/>
      <c r="AC100" s="331"/>
      <c r="AD100" s="331"/>
      <c r="AE100" s="331"/>
      <c r="AF100" s="331"/>
      <c r="AG100" s="331"/>
      <c r="AH100" s="331"/>
      <c r="AI100" s="331"/>
      <c r="AK100" s="331"/>
      <c r="AL100" s="331"/>
      <c r="AM100" s="331"/>
    </row>
    <row r="101" spans="2:41" x14ac:dyDescent="0.2">
      <c r="F101" s="331"/>
      <c r="G101" s="331"/>
      <c r="H101" s="331"/>
      <c r="I101" s="331"/>
      <c r="J101" s="331"/>
      <c r="K101" s="331"/>
      <c r="L101" s="331"/>
      <c r="M101" s="331"/>
      <c r="N101" s="331"/>
      <c r="O101" s="331"/>
      <c r="P101" s="331"/>
      <c r="Q101" s="331"/>
      <c r="R101" s="331"/>
      <c r="S101" s="331"/>
      <c r="T101" s="331"/>
      <c r="U101" s="331"/>
      <c r="V101" s="331"/>
      <c r="W101" s="331"/>
      <c r="X101" s="331"/>
      <c r="Y101" s="331"/>
      <c r="Z101" s="331"/>
      <c r="AA101" s="331"/>
      <c r="AB101" s="331"/>
      <c r="AC101" s="331"/>
      <c r="AD101" s="331"/>
      <c r="AE101" s="331"/>
      <c r="AF101" s="331"/>
      <c r="AG101" s="331"/>
      <c r="AH101" s="331"/>
      <c r="AI101" s="331"/>
      <c r="AK101" s="331"/>
      <c r="AL101" s="331"/>
      <c r="AM101" s="331"/>
    </row>
    <row r="102" spans="2:41" ht="13.5" thickBot="1" x14ac:dyDescent="0.25"/>
    <row r="103" spans="2:41" ht="13.5" customHeight="1" thickBot="1" x14ac:dyDescent="0.25">
      <c r="D103" s="32"/>
      <c r="F103" s="154" t="s">
        <v>31</v>
      </c>
      <c r="G103" s="155"/>
      <c r="H103" s="155"/>
      <c r="I103" s="155"/>
      <c r="J103" s="155"/>
      <c r="K103" s="155"/>
      <c r="L103" s="155"/>
      <c r="M103" s="155"/>
      <c r="N103" s="155"/>
      <c r="O103" s="155"/>
      <c r="P103" s="155"/>
      <c r="Q103" s="155"/>
      <c r="R103" s="155"/>
      <c r="S103" s="155"/>
      <c r="T103" s="156"/>
      <c r="U103" s="154" t="s">
        <v>32</v>
      </c>
      <c r="V103" s="155"/>
      <c r="W103" s="155"/>
      <c r="X103" s="155"/>
      <c r="Y103" s="155"/>
      <c r="Z103" s="156"/>
      <c r="AA103" s="154" t="s">
        <v>33</v>
      </c>
      <c r="AB103" s="155"/>
      <c r="AC103" s="155"/>
      <c r="AD103" s="155"/>
      <c r="AE103" s="155"/>
      <c r="AF103" s="155"/>
      <c r="AG103" s="155"/>
      <c r="AH103" s="155"/>
      <c r="AI103" s="155"/>
      <c r="AJ103" s="156"/>
      <c r="AK103" s="157" t="s">
        <v>34</v>
      </c>
      <c r="AL103" s="157" t="s">
        <v>35</v>
      </c>
      <c r="AM103" s="158" t="s">
        <v>36</v>
      </c>
      <c r="AN103" s="158" t="s">
        <v>37</v>
      </c>
      <c r="AO103" s="159" t="s">
        <v>38</v>
      </c>
    </row>
    <row r="104" spans="2:41" s="77" customFormat="1" ht="13.5" thickBot="1" x14ac:dyDescent="0.25">
      <c r="D104" s="160"/>
      <c r="F104" s="334" t="s">
        <v>39</v>
      </c>
      <c r="G104" s="335"/>
      <c r="H104" s="335"/>
      <c r="I104" s="335"/>
      <c r="J104" s="336"/>
      <c r="K104" s="334" t="s">
        <v>40</v>
      </c>
      <c r="L104" s="335"/>
      <c r="M104" s="335"/>
      <c r="N104" s="335"/>
      <c r="O104" s="337"/>
      <c r="P104" s="334" t="s">
        <v>41</v>
      </c>
      <c r="Q104" s="335"/>
      <c r="R104" s="335"/>
      <c r="S104" s="335"/>
      <c r="T104" s="336"/>
      <c r="U104" s="334" t="s">
        <v>39</v>
      </c>
      <c r="V104" s="336"/>
      <c r="W104" s="334" t="s">
        <v>40</v>
      </c>
      <c r="X104" s="336"/>
      <c r="Y104" s="334" t="s">
        <v>41</v>
      </c>
      <c r="Z104" s="336"/>
      <c r="AA104" s="334" t="s">
        <v>40</v>
      </c>
      <c r="AB104" s="335"/>
      <c r="AC104" s="335"/>
      <c r="AD104" s="335"/>
      <c r="AE104" s="336"/>
      <c r="AF104" s="334" t="s">
        <v>41</v>
      </c>
      <c r="AG104" s="335"/>
      <c r="AH104" s="335"/>
      <c r="AI104" s="335"/>
      <c r="AJ104" s="337"/>
      <c r="AK104" s="164"/>
      <c r="AL104" s="164"/>
      <c r="AM104" s="165"/>
      <c r="AN104" s="165"/>
      <c r="AO104" s="166"/>
    </row>
    <row r="105" spans="2:41" ht="26.25" thickBot="1" x14ac:dyDescent="0.25">
      <c r="B105" s="167" t="s">
        <v>153</v>
      </c>
      <c r="C105" s="168"/>
      <c r="D105" s="169"/>
      <c r="E105" s="170" t="s">
        <v>43</v>
      </c>
      <c r="F105" s="174" t="s">
        <v>44</v>
      </c>
      <c r="G105" s="338" t="s">
        <v>45</v>
      </c>
      <c r="H105" s="173" t="s">
        <v>46</v>
      </c>
      <c r="I105" s="173" t="s">
        <v>47</v>
      </c>
      <c r="J105" s="174" t="s">
        <v>48</v>
      </c>
      <c r="K105" s="339" t="s">
        <v>44</v>
      </c>
      <c r="L105" s="338" t="s">
        <v>45</v>
      </c>
      <c r="M105" s="173" t="s">
        <v>46</v>
      </c>
      <c r="N105" s="173" t="s">
        <v>47</v>
      </c>
      <c r="O105" s="174" t="s">
        <v>48</v>
      </c>
      <c r="P105" s="339" t="s">
        <v>44</v>
      </c>
      <c r="Q105" s="338" t="s">
        <v>45</v>
      </c>
      <c r="R105" s="173" t="s">
        <v>46</v>
      </c>
      <c r="S105" s="173" t="s">
        <v>47</v>
      </c>
      <c r="T105" s="174" t="s">
        <v>48</v>
      </c>
      <c r="U105" s="339" t="s">
        <v>44</v>
      </c>
      <c r="V105" s="340" t="s">
        <v>48</v>
      </c>
      <c r="W105" s="339" t="s">
        <v>44</v>
      </c>
      <c r="X105" s="340" t="s">
        <v>48</v>
      </c>
      <c r="Y105" s="339" t="s">
        <v>44</v>
      </c>
      <c r="Z105" s="340" t="s">
        <v>48</v>
      </c>
      <c r="AA105" s="339" t="s">
        <v>44</v>
      </c>
      <c r="AB105" s="338" t="s">
        <v>45</v>
      </c>
      <c r="AC105" s="173" t="s">
        <v>46</v>
      </c>
      <c r="AD105" s="173" t="s">
        <v>47</v>
      </c>
      <c r="AE105" s="174" t="s">
        <v>48</v>
      </c>
      <c r="AF105" s="339" t="s">
        <v>44</v>
      </c>
      <c r="AG105" s="338" t="s">
        <v>45</v>
      </c>
      <c r="AH105" s="173" t="s">
        <v>46</v>
      </c>
      <c r="AI105" s="173" t="s">
        <v>47</v>
      </c>
      <c r="AJ105" s="176" t="s">
        <v>48</v>
      </c>
      <c r="AK105" s="341" t="s">
        <v>44</v>
      </c>
      <c r="AL105" s="171" t="s">
        <v>44</v>
      </c>
      <c r="AM105" s="171" t="s">
        <v>44</v>
      </c>
      <c r="AN105" s="174" t="s">
        <v>44</v>
      </c>
      <c r="AO105" s="178"/>
    </row>
    <row r="106" spans="2:41" x14ac:dyDescent="0.2">
      <c r="B106" s="179"/>
      <c r="C106" s="180"/>
      <c r="D106" s="181"/>
      <c r="E106" s="182"/>
      <c r="F106" s="183">
        <v>1</v>
      </c>
      <c r="G106" s="184">
        <v>2</v>
      </c>
      <c r="H106" s="185">
        <v>3</v>
      </c>
      <c r="I106" s="185">
        <v>4</v>
      </c>
      <c r="J106" s="186">
        <v>5</v>
      </c>
      <c r="K106" s="183">
        <v>6</v>
      </c>
      <c r="L106" s="184">
        <v>7</v>
      </c>
      <c r="M106" s="185">
        <v>8</v>
      </c>
      <c r="N106" s="185">
        <v>9</v>
      </c>
      <c r="O106" s="186">
        <v>10</v>
      </c>
      <c r="P106" s="183">
        <v>11</v>
      </c>
      <c r="Q106" s="184">
        <v>12</v>
      </c>
      <c r="R106" s="185">
        <v>13</v>
      </c>
      <c r="S106" s="185">
        <v>14</v>
      </c>
      <c r="T106" s="186">
        <v>15</v>
      </c>
      <c r="U106" s="183">
        <v>16</v>
      </c>
      <c r="V106" s="186">
        <v>17</v>
      </c>
      <c r="W106" s="183">
        <v>18</v>
      </c>
      <c r="X106" s="186">
        <v>19</v>
      </c>
      <c r="Y106" s="183">
        <v>20</v>
      </c>
      <c r="Z106" s="186">
        <v>21</v>
      </c>
      <c r="AA106" s="183">
        <v>22</v>
      </c>
      <c r="AB106" s="184">
        <v>23</v>
      </c>
      <c r="AC106" s="185">
        <v>24</v>
      </c>
      <c r="AD106" s="185">
        <v>25</v>
      </c>
      <c r="AE106" s="186">
        <v>26</v>
      </c>
      <c r="AF106" s="183">
        <v>27</v>
      </c>
      <c r="AG106" s="184">
        <v>28</v>
      </c>
      <c r="AH106" s="185">
        <v>29</v>
      </c>
      <c r="AI106" s="185">
        <v>30</v>
      </c>
      <c r="AJ106" s="187">
        <v>31</v>
      </c>
      <c r="AK106" s="342">
        <v>32</v>
      </c>
      <c r="AL106" s="189">
        <v>33</v>
      </c>
      <c r="AM106" s="189">
        <v>34</v>
      </c>
      <c r="AN106" s="190">
        <v>35</v>
      </c>
      <c r="AO106" s="191">
        <v>36</v>
      </c>
    </row>
    <row r="107" spans="2:41" x14ac:dyDescent="0.2">
      <c r="B107" s="192" t="s">
        <v>49</v>
      </c>
      <c r="C107" s="260" t="s">
        <v>154</v>
      </c>
      <c r="D107" s="343"/>
      <c r="E107" s="195"/>
      <c r="F107" s="344"/>
      <c r="G107" s="345"/>
      <c r="H107" s="346"/>
      <c r="I107" s="346"/>
      <c r="J107" s="347"/>
      <c r="K107" s="344"/>
      <c r="L107" s="345"/>
      <c r="M107" s="346"/>
      <c r="N107" s="346"/>
      <c r="O107" s="347"/>
      <c r="P107" s="344"/>
      <c r="Q107" s="345"/>
      <c r="R107" s="346"/>
      <c r="S107" s="346"/>
      <c r="T107" s="347"/>
      <c r="U107" s="344"/>
      <c r="V107" s="347"/>
      <c r="W107" s="344"/>
      <c r="X107" s="347"/>
      <c r="Y107" s="344"/>
      <c r="Z107" s="347"/>
      <c r="AA107" s="344"/>
      <c r="AB107" s="345"/>
      <c r="AC107" s="346"/>
      <c r="AD107" s="346"/>
      <c r="AE107" s="347"/>
      <c r="AF107" s="344"/>
      <c r="AG107" s="345"/>
      <c r="AH107" s="346"/>
      <c r="AI107" s="346"/>
      <c r="AJ107" s="348"/>
      <c r="AK107" s="349"/>
      <c r="AL107" s="350"/>
      <c r="AM107" s="350"/>
      <c r="AN107" s="351"/>
      <c r="AO107" s="259"/>
    </row>
    <row r="108" spans="2:41" x14ac:dyDescent="0.2">
      <c r="B108" s="205"/>
      <c r="C108" s="206">
        <v>1.1000000000000001</v>
      </c>
      <c r="D108" s="207" t="s">
        <v>155</v>
      </c>
      <c r="E108" s="208" t="s">
        <v>156</v>
      </c>
      <c r="F108" s="352">
        <v>121869999.51000001</v>
      </c>
      <c r="G108" s="353">
        <f t="shared" ref="G108:G122" si="24">F108</f>
        <v>121869999.51000001</v>
      </c>
      <c r="H108" s="25"/>
      <c r="I108" s="354">
        <v>0</v>
      </c>
      <c r="J108" s="355">
        <f>G108+H108-I108</f>
        <v>121869999.51000001</v>
      </c>
      <c r="K108" s="352">
        <v>6211471280.8599997</v>
      </c>
      <c r="L108" s="353">
        <f>K108</f>
        <v>6211471280.8599997</v>
      </c>
      <c r="M108" s="25"/>
      <c r="N108" s="354">
        <v>0</v>
      </c>
      <c r="O108" s="355">
        <f>L108+M108-N108</f>
        <v>6211471280.8599997</v>
      </c>
      <c r="P108" s="352">
        <v>9811167229.6800003</v>
      </c>
      <c r="Q108" s="353">
        <f>P108</f>
        <v>9811167229.6800003</v>
      </c>
      <c r="R108" s="25"/>
      <c r="S108" s="354">
        <v>0</v>
      </c>
      <c r="T108" s="355">
        <f>Q108+R108-S108</f>
        <v>9811167229.6800003</v>
      </c>
      <c r="U108" s="352">
        <v>3629.19</v>
      </c>
      <c r="V108" s="18">
        <f>U108</f>
        <v>3629.19</v>
      </c>
      <c r="W108" s="352">
        <v>0</v>
      </c>
      <c r="X108" s="18">
        <f>W108</f>
        <v>0</v>
      </c>
      <c r="Y108" s="352">
        <v>0</v>
      </c>
      <c r="Z108" s="18">
        <f>Y108</f>
        <v>0</v>
      </c>
      <c r="AA108" s="352">
        <v>0</v>
      </c>
      <c r="AB108" s="353">
        <f>AA108</f>
        <v>0</v>
      </c>
      <c r="AC108" s="25"/>
      <c r="AD108" s="354">
        <v>0</v>
      </c>
      <c r="AE108" s="355">
        <f>AB108+AC108-AD108</f>
        <v>0</v>
      </c>
      <c r="AF108" s="352">
        <v>207308.56</v>
      </c>
      <c r="AG108" s="353">
        <f>AF108</f>
        <v>207308.56</v>
      </c>
      <c r="AH108" s="25"/>
      <c r="AI108" s="354">
        <v>0</v>
      </c>
      <c r="AJ108" s="356">
        <f>AG108+AH108-AI108</f>
        <v>207308.56</v>
      </c>
      <c r="AK108" s="357">
        <v>12779314341.67</v>
      </c>
      <c r="AL108" s="218">
        <v>8534930549.6400003</v>
      </c>
      <c r="AM108" s="218">
        <v>0</v>
      </c>
      <c r="AN108" s="213" t="s">
        <v>52</v>
      </c>
      <c r="AO108" s="23">
        <f t="shared" ref="AO108:AO122" si="25">SUM($F108,$K108,$P108,$U108,$W108,$Y108,$AA108,$AF108,$AK108,$AL108,$AM108,$AN108)</f>
        <v>37458964339.110001</v>
      </c>
    </row>
    <row r="109" spans="2:41" x14ac:dyDescent="0.2">
      <c r="B109" s="205"/>
      <c r="C109" s="206">
        <v>1.2</v>
      </c>
      <c r="D109" s="207" t="s">
        <v>157</v>
      </c>
      <c r="E109" s="208" t="s">
        <v>158</v>
      </c>
      <c r="F109" s="352">
        <v>267251.46999999997</v>
      </c>
      <c r="G109" s="353">
        <f t="shared" si="24"/>
        <v>267251.46999999997</v>
      </c>
      <c r="H109" s="25"/>
      <c r="I109" s="354">
        <v>0</v>
      </c>
      <c r="J109" s="355">
        <f t="shared" ref="J109:J120" si="26">G109+H109-I109</f>
        <v>267251.46999999997</v>
      </c>
      <c r="K109" s="352">
        <v>5002019.82</v>
      </c>
      <c r="L109" s="353">
        <f>K109</f>
        <v>5002019.82</v>
      </c>
      <c r="M109" s="25"/>
      <c r="N109" s="354">
        <v>0</v>
      </c>
      <c r="O109" s="355">
        <f>L109+M109-N109</f>
        <v>5002019.82</v>
      </c>
      <c r="P109" s="352">
        <v>373747.55</v>
      </c>
      <c r="Q109" s="353">
        <f>P109</f>
        <v>373747.55</v>
      </c>
      <c r="R109" s="25"/>
      <c r="S109" s="354">
        <v>0</v>
      </c>
      <c r="T109" s="355">
        <f>Q109+R109-S109</f>
        <v>373747.55</v>
      </c>
      <c r="U109" s="352">
        <v>0</v>
      </c>
      <c r="V109" s="18">
        <f>U109</f>
        <v>0</v>
      </c>
      <c r="W109" s="352">
        <v>0</v>
      </c>
      <c r="X109" s="18">
        <f>W109</f>
        <v>0</v>
      </c>
      <c r="Y109" s="352">
        <v>0</v>
      </c>
      <c r="Z109" s="18">
        <f>Y109</f>
        <v>0</v>
      </c>
      <c r="AA109" s="352">
        <v>0</v>
      </c>
      <c r="AB109" s="353">
        <f>AA109</f>
        <v>0</v>
      </c>
      <c r="AC109" s="25"/>
      <c r="AD109" s="354">
        <v>0</v>
      </c>
      <c r="AE109" s="355">
        <f>AB109+AC109-AD109</f>
        <v>0</v>
      </c>
      <c r="AF109" s="352">
        <v>0</v>
      </c>
      <c r="AG109" s="353">
        <f>AF109</f>
        <v>0</v>
      </c>
      <c r="AH109" s="25"/>
      <c r="AI109" s="354">
        <v>0</v>
      </c>
      <c r="AJ109" s="356">
        <f>AG109+AH109-AI109</f>
        <v>0</v>
      </c>
      <c r="AK109" s="357">
        <v>0</v>
      </c>
      <c r="AL109" s="218">
        <v>97576688.670000002</v>
      </c>
      <c r="AM109" s="218">
        <v>0</v>
      </c>
      <c r="AN109" s="213" t="s">
        <v>52</v>
      </c>
      <c r="AO109" s="23">
        <f t="shared" si="25"/>
        <v>103219707.51000001</v>
      </c>
    </row>
    <row r="110" spans="2:41" x14ac:dyDescent="0.2">
      <c r="B110" s="205"/>
      <c r="C110" s="206">
        <v>1.3</v>
      </c>
      <c r="D110" s="207" t="s">
        <v>159</v>
      </c>
      <c r="E110" s="208" t="s">
        <v>160</v>
      </c>
      <c r="F110" s="352">
        <v>256119.67999999999</v>
      </c>
      <c r="G110" s="353">
        <f t="shared" si="24"/>
        <v>256119.67999999999</v>
      </c>
      <c r="H110" s="25"/>
      <c r="I110" s="354">
        <v>0</v>
      </c>
      <c r="J110" s="355">
        <f t="shared" si="26"/>
        <v>256119.67999999999</v>
      </c>
      <c r="K110" s="352">
        <v>6607825.3300000001</v>
      </c>
      <c r="L110" s="353">
        <f>K110</f>
        <v>6607825.3300000001</v>
      </c>
      <c r="M110" s="25"/>
      <c r="N110" s="354">
        <v>0</v>
      </c>
      <c r="O110" s="355">
        <f>L110+M110-N110</f>
        <v>6607825.3300000001</v>
      </c>
      <c r="P110" s="352">
        <v>3522025.75</v>
      </c>
      <c r="Q110" s="353">
        <f>P110</f>
        <v>3522025.75</v>
      </c>
      <c r="R110" s="25"/>
      <c r="S110" s="354">
        <v>0</v>
      </c>
      <c r="T110" s="355">
        <f>Q110+R110-S110</f>
        <v>3522025.75</v>
      </c>
      <c r="U110" s="352">
        <v>0</v>
      </c>
      <c r="V110" s="18">
        <f>U110</f>
        <v>0</v>
      </c>
      <c r="W110" s="352">
        <v>0</v>
      </c>
      <c r="X110" s="18">
        <f>W110</f>
        <v>0</v>
      </c>
      <c r="Y110" s="352">
        <v>0</v>
      </c>
      <c r="Z110" s="18">
        <f>Y110</f>
        <v>0</v>
      </c>
      <c r="AA110" s="352">
        <v>0</v>
      </c>
      <c r="AB110" s="353">
        <f>AA110</f>
        <v>0</v>
      </c>
      <c r="AC110" s="25"/>
      <c r="AD110" s="354">
        <v>0</v>
      </c>
      <c r="AE110" s="355">
        <f>AB110+AC110-AD110</f>
        <v>0</v>
      </c>
      <c r="AF110" s="352">
        <v>0</v>
      </c>
      <c r="AG110" s="353">
        <f>AF110</f>
        <v>0</v>
      </c>
      <c r="AH110" s="25"/>
      <c r="AI110" s="354">
        <v>0</v>
      </c>
      <c r="AJ110" s="356">
        <f>AG110+AH110-AI110</f>
        <v>0</v>
      </c>
      <c r="AK110" s="357">
        <v>0</v>
      </c>
      <c r="AL110" s="218">
        <v>93648269.739999995</v>
      </c>
      <c r="AM110" s="218">
        <v>0</v>
      </c>
      <c r="AN110" s="213" t="s">
        <v>52</v>
      </c>
      <c r="AO110" s="23">
        <f t="shared" si="25"/>
        <v>104034240.5</v>
      </c>
    </row>
    <row r="111" spans="2:41" x14ac:dyDescent="0.2">
      <c r="B111" s="205"/>
      <c r="C111" s="206">
        <v>1.4</v>
      </c>
      <c r="D111" s="207" t="str">
        <f>"Change in unearned premium (Lines "&amp;$C$109&amp;" – "&amp;$C$110&amp;")"</f>
        <v>Change in unearned premium (Lines 1.2 – 1.3)</v>
      </c>
      <c r="E111" s="208" t="s">
        <v>161</v>
      </c>
      <c r="F111" s="249">
        <f>F109-F110</f>
        <v>11131.789999999979</v>
      </c>
      <c r="G111" s="353">
        <f>G109-G110</f>
        <v>11131.789999999979</v>
      </c>
      <c r="H111" s="279">
        <f>H109-H110</f>
        <v>0</v>
      </c>
      <c r="I111" s="279">
        <f>I109-I110</f>
        <v>0</v>
      </c>
      <c r="J111" s="355">
        <f t="shared" si="26"/>
        <v>11131.789999999979</v>
      </c>
      <c r="K111" s="249">
        <f>K109-K110</f>
        <v>-1605805.5099999998</v>
      </c>
      <c r="L111" s="353">
        <f>L109-L110</f>
        <v>-1605805.5099999998</v>
      </c>
      <c r="M111" s="279">
        <f>M109-M110</f>
        <v>0</v>
      </c>
      <c r="N111" s="279">
        <f>N109-N110</f>
        <v>0</v>
      </c>
      <c r="O111" s="355">
        <f>L111+M111-N111</f>
        <v>-1605805.5099999998</v>
      </c>
      <c r="P111" s="249">
        <f>P109-P110</f>
        <v>-3148278.2</v>
      </c>
      <c r="Q111" s="353">
        <f>Q109-Q110</f>
        <v>-3148278.2</v>
      </c>
      <c r="R111" s="279">
        <f>R109-R110</f>
        <v>0</v>
      </c>
      <c r="S111" s="279">
        <f>S109-S110</f>
        <v>0</v>
      </c>
      <c r="T111" s="355">
        <f>Q111+R111-S111</f>
        <v>-3148278.2</v>
      </c>
      <c r="U111" s="249">
        <f t="shared" ref="U111:AB111" si="27">U109-U110</f>
        <v>0</v>
      </c>
      <c r="V111" s="18">
        <f t="shared" si="27"/>
        <v>0</v>
      </c>
      <c r="W111" s="249">
        <f t="shared" si="27"/>
        <v>0</v>
      </c>
      <c r="X111" s="18">
        <f t="shared" si="27"/>
        <v>0</v>
      </c>
      <c r="Y111" s="249">
        <f t="shared" si="27"/>
        <v>0</v>
      </c>
      <c r="Z111" s="18">
        <f t="shared" si="27"/>
        <v>0</v>
      </c>
      <c r="AA111" s="249">
        <f t="shared" si="27"/>
        <v>0</v>
      </c>
      <c r="AB111" s="353">
        <f t="shared" si="27"/>
        <v>0</v>
      </c>
      <c r="AC111" s="279">
        <f>AC109-AC110</f>
        <v>0</v>
      </c>
      <c r="AD111" s="279">
        <f>AD109-AD110</f>
        <v>0</v>
      </c>
      <c r="AE111" s="355">
        <f>AB111+AC111-AD111</f>
        <v>0</v>
      </c>
      <c r="AF111" s="249">
        <f>AF109-AF110</f>
        <v>0</v>
      </c>
      <c r="AG111" s="353">
        <f>AG109-AG110</f>
        <v>0</v>
      </c>
      <c r="AH111" s="279">
        <f>AH109-AH110</f>
        <v>0</v>
      </c>
      <c r="AI111" s="279">
        <f>AI109-AI110</f>
        <v>0</v>
      </c>
      <c r="AJ111" s="356">
        <f>AG111+AH111-AI111</f>
        <v>0</v>
      </c>
      <c r="AK111" s="358">
        <f>AK109-AK110</f>
        <v>0</v>
      </c>
      <c r="AL111" s="212">
        <f>AL109-AL110</f>
        <v>3928418.9300000072</v>
      </c>
      <c r="AM111" s="212">
        <f>AM109-AM110</f>
        <v>0</v>
      </c>
      <c r="AN111" s="213" t="s">
        <v>52</v>
      </c>
      <c r="AO111" s="23">
        <f t="shared" si="25"/>
        <v>-814532.98999999277</v>
      </c>
    </row>
    <row r="112" spans="2:41" x14ac:dyDescent="0.2">
      <c r="B112" s="205"/>
      <c r="C112" s="206">
        <v>1.5</v>
      </c>
      <c r="D112" s="207" t="s">
        <v>162</v>
      </c>
      <c r="F112" s="26"/>
      <c r="G112" s="359"/>
      <c r="H112" s="27"/>
      <c r="I112" s="27"/>
      <c r="J112" s="360"/>
      <c r="K112" s="26"/>
      <c r="L112" s="359"/>
      <c r="M112" s="27"/>
      <c r="N112" s="27"/>
      <c r="O112" s="360"/>
      <c r="P112" s="26"/>
      <c r="Q112" s="359"/>
      <c r="R112" s="27"/>
      <c r="S112" s="27"/>
      <c r="T112" s="360"/>
      <c r="U112" s="26"/>
      <c r="V112" s="360"/>
      <c r="W112" s="26"/>
      <c r="X112" s="360"/>
      <c r="Y112" s="26"/>
      <c r="Z112" s="360"/>
      <c r="AA112" s="26"/>
      <c r="AB112" s="359"/>
      <c r="AC112" s="27"/>
      <c r="AD112" s="27"/>
      <c r="AE112" s="360"/>
      <c r="AF112" s="26"/>
      <c r="AG112" s="359"/>
      <c r="AH112" s="27"/>
      <c r="AI112" s="27"/>
      <c r="AJ112" s="361"/>
      <c r="AK112" s="349"/>
      <c r="AL112" s="350"/>
      <c r="AM112" s="350"/>
      <c r="AN112" s="351"/>
      <c r="AO112" s="23">
        <f t="shared" si="25"/>
        <v>0</v>
      </c>
    </row>
    <row r="113" spans="2:41" x14ac:dyDescent="0.2">
      <c r="B113" s="205"/>
      <c r="C113" s="206"/>
      <c r="D113" s="207" t="s">
        <v>163</v>
      </c>
      <c r="E113" s="208" t="s">
        <v>164</v>
      </c>
      <c r="F113" s="352">
        <v>2481905.14</v>
      </c>
      <c r="G113" s="362" t="s">
        <v>52</v>
      </c>
      <c r="H113" s="362" t="s">
        <v>52</v>
      </c>
      <c r="I113" s="362" t="s">
        <v>52</v>
      </c>
      <c r="J113" s="363" t="s">
        <v>52</v>
      </c>
      <c r="K113" s="352">
        <v>0</v>
      </c>
      <c r="L113" s="362" t="s">
        <v>52</v>
      </c>
      <c r="M113" s="362" t="s">
        <v>52</v>
      </c>
      <c r="N113" s="362" t="s">
        <v>52</v>
      </c>
      <c r="O113" s="363" t="s">
        <v>52</v>
      </c>
      <c r="P113" s="352">
        <v>-17467635.120000001</v>
      </c>
      <c r="Q113" s="362" t="s">
        <v>52</v>
      </c>
      <c r="R113" s="362" t="s">
        <v>52</v>
      </c>
      <c r="S113" s="362" t="s">
        <v>52</v>
      </c>
      <c r="T113" s="363" t="s">
        <v>52</v>
      </c>
      <c r="U113" s="352">
        <v>0</v>
      </c>
      <c r="V113" s="363" t="s">
        <v>52</v>
      </c>
      <c r="W113" s="352">
        <v>0</v>
      </c>
      <c r="X113" s="363" t="s">
        <v>52</v>
      </c>
      <c r="Y113" s="352">
        <v>0</v>
      </c>
      <c r="Z113" s="363" t="s">
        <v>52</v>
      </c>
      <c r="AA113" s="352">
        <v>0</v>
      </c>
      <c r="AB113" s="362" t="s">
        <v>52</v>
      </c>
      <c r="AC113" s="362" t="s">
        <v>52</v>
      </c>
      <c r="AD113" s="362" t="s">
        <v>52</v>
      </c>
      <c r="AE113" s="363" t="s">
        <v>52</v>
      </c>
      <c r="AF113" s="352">
        <v>0</v>
      </c>
      <c r="AG113" s="362" t="s">
        <v>52</v>
      </c>
      <c r="AH113" s="362" t="s">
        <v>52</v>
      </c>
      <c r="AI113" s="362" t="s">
        <v>52</v>
      </c>
      <c r="AJ113" s="364" t="s">
        <v>52</v>
      </c>
      <c r="AK113" s="365">
        <v>193096272.97</v>
      </c>
      <c r="AL113" s="366">
        <v>12420111.33</v>
      </c>
      <c r="AM113" s="366">
        <v>0</v>
      </c>
      <c r="AN113" s="213" t="s">
        <v>52</v>
      </c>
      <c r="AO113" s="23">
        <f t="shared" si="25"/>
        <v>190530654.32000002</v>
      </c>
    </row>
    <row r="114" spans="2:41" ht="25.5" x14ac:dyDescent="0.2">
      <c r="B114" s="205"/>
      <c r="C114" s="206"/>
      <c r="D114" s="219" t="s">
        <v>165</v>
      </c>
      <c r="E114" s="208"/>
      <c r="F114" s="367" t="s">
        <v>52</v>
      </c>
      <c r="G114" s="368">
        <v>7153784.7000000002</v>
      </c>
      <c r="H114" s="25"/>
      <c r="I114" s="354">
        <v>0</v>
      </c>
      <c r="J114" s="355">
        <f>G114+H114-I114</f>
        <v>7153784.7000000002</v>
      </c>
      <c r="K114" s="367" t="s">
        <v>52</v>
      </c>
      <c r="L114" s="368">
        <v>0</v>
      </c>
      <c r="M114" s="25"/>
      <c r="N114" s="354">
        <v>0</v>
      </c>
      <c r="O114" s="355">
        <f>L114+M114-N114</f>
        <v>0</v>
      </c>
      <c r="P114" s="367" t="s">
        <v>52</v>
      </c>
      <c r="Q114" s="368">
        <v>-1719865.41</v>
      </c>
      <c r="R114" s="25"/>
      <c r="S114" s="354">
        <v>0</v>
      </c>
      <c r="T114" s="355">
        <f>Q114+R114-S114</f>
        <v>-1719865.41</v>
      </c>
      <c r="U114" s="367" t="s">
        <v>52</v>
      </c>
      <c r="V114" s="369">
        <v>0</v>
      </c>
      <c r="W114" s="367" t="s">
        <v>52</v>
      </c>
      <c r="X114" s="369">
        <v>0</v>
      </c>
      <c r="Y114" s="367" t="s">
        <v>52</v>
      </c>
      <c r="Z114" s="369">
        <v>0</v>
      </c>
      <c r="AA114" s="367" t="s">
        <v>52</v>
      </c>
      <c r="AB114" s="368">
        <v>0</v>
      </c>
      <c r="AC114" s="25"/>
      <c r="AD114" s="354">
        <v>0</v>
      </c>
      <c r="AE114" s="355">
        <f>AB114+AC114-AD114</f>
        <v>0</v>
      </c>
      <c r="AF114" s="367" t="s">
        <v>52</v>
      </c>
      <c r="AG114" s="368">
        <v>0</v>
      </c>
      <c r="AH114" s="25"/>
      <c r="AI114" s="354">
        <v>0</v>
      </c>
      <c r="AJ114" s="356">
        <f>AG114+AH114-AI114</f>
        <v>0</v>
      </c>
      <c r="AK114" s="367" t="s">
        <v>52</v>
      </c>
      <c r="AL114" s="370" t="s">
        <v>52</v>
      </c>
      <c r="AM114" s="370" t="s">
        <v>52</v>
      </c>
      <c r="AN114" s="213" t="s">
        <v>52</v>
      </c>
      <c r="AO114" s="23"/>
    </row>
    <row r="115" spans="2:41" x14ac:dyDescent="0.2">
      <c r="B115" s="205"/>
      <c r="C115" s="206">
        <v>1.6</v>
      </c>
      <c r="D115" s="207" t="s">
        <v>166</v>
      </c>
      <c r="E115" s="208" t="s">
        <v>167</v>
      </c>
      <c r="F115" s="352">
        <v>0</v>
      </c>
      <c r="G115" s="354">
        <v>0</v>
      </c>
      <c r="H115" s="25"/>
      <c r="I115" s="354">
        <v>0</v>
      </c>
      <c r="J115" s="355">
        <f t="shared" si="26"/>
        <v>0</v>
      </c>
      <c r="K115" s="352">
        <v>0</v>
      </c>
      <c r="L115" s="354">
        <v>0</v>
      </c>
      <c r="M115" s="25"/>
      <c r="N115" s="354">
        <v>0</v>
      </c>
      <c r="O115" s="355">
        <f>L115+M115-N115</f>
        <v>0</v>
      </c>
      <c r="P115" s="352">
        <v>35664137.369999997</v>
      </c>
      <c r="Q115" s="354">
        <v>7683785.7000000002</v>
      </c>
      <c r="R115" s="25"/>
      <c r="S115" s="354">
        <v>0</v>
      </c>
      <c r="T115" s="355">
        <f>Q115+R115-S115</f>
        <v>7683785.7000000002</v>
      </c>
      <c r="U115" s="352">
        <v>0</v>
      </c>
      <c r="V115" s="369">
        <v>0</v>
      </c>
      <c r="W115" s="352">
        <v>0</v>
      </c>
      <c r="X115" s="369">
        <v>0</v>
      </c>
      <c r="Y115" s="352">
        <v>0</v>
      </c>
      <c r="Z115" s="369">
        <v>0</v>
      </c>
      <c r="AA115" s="352">
        <v>0</v>
      </c>
      <c r="AB115" s="354">
        <v>0</v>
      </c>
      <c r="AC115" s="25"/>
      <c r="AD115" s="354">
        <v>0</v>
      </c>
      <c r="AE115" s="355">
        <f>AB115+AC115-AD115</f>
        <v>0</v>
      </c>
      <c r="AF115" s="352">
        <v>0</v>
      </c>
      <c r="AG115" s="354">
        <v>0</v>
      </c>
      <c r="AH115" s="25"/>
      <c r="AI115" s="354">
        <v>0</v>
      </c>
      <c r="AJ115" s="356">
        <f>AG115+AH115-AI115</f>
        <v>0</v>
      </c>
      <c r="AK115" s="357">
        <v>110813833.17</v>
      </c>
      <c r="AL115" s="218">
        <v>1450669098.46</v>
      </c>
      <c r="AM115" s="218">
        <v>0</v>
      </c>
      <c r="AN115" s="213" t="s">
        <v>52</v>
      </c>
      <c r="AO115" s="23">
        <f t="shared" si="25"/>
        <v>1597147069</v>
      </c>
    </row>
    <row r="116" spans="2:41" x14ac:dyDescent="0.2">
      <c r="B116" s="205"/>
      <c r="C116" s="206">
        <v>1.7</v>
      </c>
      <c r="D116" s="207" t="s">
        <v>168</v>
      </c>
      <c r="E116" s="208" t="s">
        <v>169</v>
      </c>
      <c r="F116" s="352">
        <v>0</v>
      </c>
      <c r="G116" s="362" t="s">
        <v>52</v>
      </c>
      <c r="H116" s="362" t="s">
        <v>52</v>
      </c>
      <c r="I116" s="362" t="s">
        <v>52</v>
      </c>
      <c r="J116" s="363" t="s">
        <v>52</v>
      </c>
      <c r="K116" s="352">
        <v>0</v>
      </c>
      <c r="L116" s="362" t="s">
        <v>52</v>
      </c>
      <c r="M116" s="362" t="s">
        <v>52</v>
      </c>
      <c r="N116" s="362" t="s">
        <v>52</v>
      </c>
      <c r="O116" s="363" t="s">
        <v>52</v>
      </c>
      <c r="P116" s="352">
        <v>14264040</v>
      </c>
      <c r="Q116" s="362" t="s">
        <v>52</v>
      </c>
      <c r="R116" s="362" t="s">
        <v>52</v>
      </c>
      <c r="S116" s="362" t="s">
        <v>52</v>
      </c>
      <c r="T116" s="363" t="s">
        <v>52</v>
      </c>
      <c r="U116" s="352">
        <v>0</v>
      </c>
      <c r="V116" s="363" t="s">
        <v>52</v>
      </c>
      <c r="W116" s="352">
        <v>0</v>
      </c>
      <c r="X116" s="363" t="s">
        <v>52</v>
      </c>
      <c r="Y116" s="352">
        <v>0</v>
      </c>
      <c r="Z116" s="363" t="s">
        <v>52</v>
      </c>
      <c r="AA116" s="352">
        <v>0</v>
      </c>
      <c r="AB116" s="362" t="s">
        <v>52</v>
      </c>
      <c r="AC116" s="362" t="s">
        <v>52</v>
      </c>
      <c r="AD116" s="362" t="s">
        <v>52</v>
      </c>
      <c r="AE116" s="363" t="s">
        <v>52</v>
      </c>
      <c r="AF116" s="352">
        <v>0</v>
      </c>
      <c r="AG116" s="362" t="s">
        <v>52</v>
      </c>
      <c r="AH116" s="220" t="s">
        <v>52</v>
      </c>
      <c r="AI116" s="220" t="s">
        <v>52</v>
      </c>
      <c r="AJ116" s="364" t="s">
        <v>52</v>
      </c>
      <c r="AK116" s="357">
        <v>208570989.38</v>
      </c>
      <c r="AL116" s="218">
        <v>1398553101.02</v>
      </c>
      <c r="AM116" s="218">
        <v>0</v>
      </c>
      <c r="AN116" s="213" t="s">
        <v>52</v>
      </c>
      <c r="AO116" s="23">
        <f t="shared" si="25"/>
        <v>1621388130.4000001</v>
      </c>
    </row>
    <row r="117" spans="2:41" x14ac:dyDescent="0.2">
      <c r="B117" s="205"/>
      <c r="C117" s="206">
        <v>1.8</v>
      </c>
      <c r="D117" s="207" t="str">
        <f>"Change in reserve for experience rating refunds (Lines "&amp;$C$115&amp;" – "&amp;$C$116&amp;")"</f>
        <v>Change in reserve for experience rating refunds (Lines 1.6 – 1.7)</v>
      </c>
      <c r="E117" s="208" t="s">
        <v>170</v>
      </c>
      <c r="F117" s="249">
        <f>F115-F116</f>
        <v>0</v>
      </c>
      <c r="G117" s="362" t="s">
        <v>52</v>
      </c>
      <c r="H117" s="362" t="s">
        <v>52</v>
      </c>
      <c r="I117" s="362" t="s">
        <v>52</v>
      </c>
      <c r="J117" s="363" t="s">
        <v>52</v>
      </c>
      <c r="K117" s="249">
        <f>K115-K116</f>
        <v>0</v>
      </c>
      <c r="L117" s="362" t="s">
        <v>52</v>
      </c>
      <c r="M117" s="362" t="s">
        <v>52</v>
      </c>
      <c r="N117" s="362" t="s">
        <v>52</v>
      </c>
      <c r="O117" s="363" t="s">
        <v>52</v>
      </c>
      <c r="P117" s="249">
        <f>P115-P116</f>
        <v>21400097.369999997</v>
      </c>
      <c r="Q117" s="362" t="s">
        <v>52</v>
      </c>
      <c r="R117" s="362" t="s">
        <v>52</v>
      </c>
      <c r="S117" s="362" t="s">
        <v>52</v>
      </c>
      <c r="T117" s="363" t="s">
        <v>52</v>
      </c>
      <c r="U117" s="249">
        <f>U115-U116</f>
        <v>0</v>
      </c>
      <c r="V117" s="363" t="s">
        <v>52</v>
      </c>
      <c r="W117" s="249">
        <f>W115-W116</f>
        <v>0</v>
      </c>
      <c r="X117" s="363" t="s">
        <v>52</v>
      </c>
      <c r="Y117" s="249">
        <f>Y115-Y116</f>
        <v>0</v>
      </c>
      <c r="Z117" s="363" t="s">
        <v>52</v>
      </c>
      <c r="AA117" s="249">
        <f>AA115-AA116</f>
        <v>0</v>
      </c>
      <c r="AB117" s="362" t="s">
        <v>52</v>
      </c>
      <c r="AC117" s="362" t="s">
        <v>52</v>
      </c>
      <c r="AD117" s="362" t="s">
        <v>52</v>
      </c>
      <c r="AE117" s="363" t="s">
        <v>52</v>
      </c>
      <c r="AF117" s="249">
        <f>AF115-AF116</f>
        <v>0</v>
      </c>
      <c r="AG117" s="362" t="s">
        <v>52</v>
      </c>
      <c r="AH117" s="220" t="s">
        <v>52</v>
      </c>
      <c r="AI117" s="220" t="s">
        <v>52</v>
      </c>
      <c r="AJ117" s="364" t="s">
        <v>52</v>
      </c>
      <c r="AK117" s="358">
        <f>AK115-AK116</f>
        <v>-97757156.209999993</v>
      </c>
      <c r="AL117" s="212">
        <f>AL115-AL116</f>
        <v>52115997.440000057</v>
      </c>
      <c r="AM117" s="212">
        <f>AM115-AM116</f>
        <v>0</v>
      </c>
      <c r="AN117" s="213" t="s">
        <v>52</v>
      </c>
      <c r="AO117" s="23">
        <f t="shared" si="25"/>
        <v>-24241061.399999946</v>
      </c>
    </row>
    <row r="118" spans="2:41" x14ac:dyDescent="0.2">
      <c r="B118" s="205"/>
      <c r="C118" s="206">
        <v>1.9</v>
      </c>
      <c r="D118" s="207" t="s">
        <v>171</v>
      </c>
      <c r="E118" s="208" t="s">
        <v>172</v>
      </c>
      <c r="F118" s="352">
        <v>0</v>
      </c>
      <c r="G118" s="353">
        <f t="shared" si="24"/>
        <v>0</v>
      </c>
      <c r="H118" s="25"/>
      <c r="I118" s="354">
        <v>0</v>
      </c>
      <c r="J118" s="355">
        <f t="shared" si="26"/>
        <v>0</v>
      </c>
      <c r="K118" s="352">
        <v>4864062.88</v>
      </c>
      <c r="L118" s="353">
        <f>K118</f>
        <v>4864062.88</v>
      </c>
      <c r="M118" s="25"/>
      <c r="N118" s="354">
        <v>0</v>
      </c>
      <c r="O118" s="355">
        <f>L118+M118-N118</f>
        <v>4864062.88</v>
      </c>
      <c r="P118" s="352">
        <v>5452838.7300000004</v>
      </c>
      <c r="Q118" s="353">
        <f>P118</f>
        <v>5452838.7300000004</v>
      </c>
      <c r="R118" s="25"/>
      <c r="S118" s="354">
        <v>0</v>
      </c>
      <c r="T118" s="355">
        <f>Q118+R118-S118</f>
        <v>5452838.7300000004</v>
      </c>
      <c r="U118" s="352">
        <v>0</v>
      </c>
      <c r="V118" s="18">
        <f>U118</f>
        <v>0</v>
      </c>
      <c r="W118" s="352">
        <v>0</v>
      </c>
      <c r="X118" s="18">
        <f>W118</f>
        <v>0</v>
      </c>
      <c r="Y118" s="352">
        <v>0</v>
      </c>
      <c r="Z118" s="18">
        <f>Y118</f>
        <v>0</v>
      </c>
      <c r="AA118" s="352">
        <v>0</v>
      </c>
      <c r="AB118" s="353">
        <f>AA118</f>
        <v>0</v>
      </c>
      <c r="AC118" s="25"/>
      <c r="AD118" s="354">
        <v>0</v>
      </c>
      <c r="AE118" s="355">
        <f>AB118+AC118-AD118</f>
        <v>0</v>
      </c>
      <c r="AF118" s="352">
        <v>0</v>
      </c>
      <c r="AG118" s="353">
        <f>AF118</f>
        <v>0</v>
      </c>
      <c r="AH118" s="25"/>
      <c r="AI118" s="354">
        <v>0</v>
      </c>
      <c r="AJ118" s="356">
        <f>AG118+AH118-AI118</f>
        <v>0</v>
      </c>
      <c r="AK118" s="357">
        <v>93578387.269999996</v>
      </c>
      <c r="AL118" s="218">
        <v>571532.93999999994</v>
      </c>
      <c r="AM118" s="218">
        <v>0</v>
      </c>
      <c r="AN118" s="213" t="s">
        <v>52</v>
      </c>
      <c r="AO118" s="23">
        <f t="shared" si="25"/>
        <v>104466821.81999999</v>
      </c>
    </row>
    <row r="119" spans="2:41" x14ac:dyDescent="0.2">
      <c r="B119" s="205"/>
      <c r="C119" s="371" t="s">
        <v>173</v>
      </c>
      <c r="D119" s="207" t="s">
        <v>174</v>
      </c>
      <c r="E119" s="208" t="s">
        <v>175</v>
      </c>
      <c r="F119" s="352">
        <v>0</v>
      </c>
      <c r="G119" s="353">
        <f t="shared" si="24"/>
        <v>0</v>
      </c>
      <c r="H119" s="25"/>
      <c r="I119" s="354">
        <v>0</v>
      </c>
      <c r="J119" s="355">
        <f t="shared" si="26"/>
        <v>0</v>
      </c>
      <c r="K119" s="352">
        <v>0</v>
      </c>
      <c r="L119" s="353">
        <f>K119</f>
        <v>0</v>
      </c>
      <c r="M119" s="25"/>
      <c r="N119" s="354">
        <v>0</v>
      </c>
      <c r="O119" s="355">
        <f>L119+M119-N119</f>
        <v>0</v>
      </c>
      <c r="P119" s="352">
        <v>0</v>
      </c>
      <c r="Q119" s="353">
        <f>P119</f>
        <v>0</v>
      </c>
      <c r="R119" s="25"/>
      <c r="S119" s="354">
        <v>0</v>
      </c>
      <c r="T119" s="355">
        <f>Q119+R119-S119</f>
        <v>0</v>
      </c>
      <c r="U119" s="352">
        <v>0</v>
      </c>
      <c r="V119" s="18">
        <f>U119</f>
        <v>0</v>
      </c>
      <c r="W119" s="352">
        <v>0</v>
      </c>
      <c r="X119" s="18">
        <f>W119</f>
        <v>0</v>
      </c>
      <c r="Y119" s="352">
        <v>0</v>
      </c>
      <c r="Z119" s="18">
        <f>Y119</f>
        <v>0</v>
      </c>
      <c r="AA119" s="352"/>
      <c r="AB119" s="353">
        <f>AA119</f>
        <v>0</v>
      </c>
      <c r="AC119" s="25"/>
      <c r="AD119" s="354">
        <v>0</v>
      </c>
      <c r="AE119" s="355">
        <f>AB119+AC119-AD119</f>
        <v>0</v>
      </c>
      <c r="AF119" s="352"/>
      <c r="AG119" s="353">
        <f>AF119</f>
        <v>0</v>
      </c>
      <c r="AH119" s="25"/>
      <c r="AI119" s="354">
        <v>0</v>
      </c>
      <c r="AJ119" s="356">
        <f>AG119+AH119-AI119</f>
        <v>0</v>
      </c>
      <c r="AK119" s="357">
        <v>0</v>
      </c>
      <c r="AL119" s="218">
        <v>0</v>
      </c>
      <c r="AM119" s="218">
        <v>0</v>
      </c>
      <c r="AN119" s="213" t="s">
        <v>52</v>
      </c>
      <c r="AO119" s="23">
        <f t="shared" si="25"/>
        <v>0</v>
      </c>
    </row>
    <row r="120" spans="2:41" x14ac:dyDescent="0.2">
      <c r="B120" s="205"/>
      <c r="C120" s="206">
        <v>1.1100000000000001</v>
      </c>
      <c r="D120" s="219" t="str">
        <f>"Total direct premium earned (Lines "&amp;$C$108&amp;" + "&amp;$C$111&amp;" – "&amp;$C$118&amp;" + "&amp;$C$119&amp;")"</f>
        <v>Total direct premium earned (Lines 1.1 + 1.4 – 1.9 + 1.10)</v>
      </c>
      <c r="E120" s="208" t="s">
        <v>176</v>
      </c>
      <c r="F120" s="249">
        <f>F$108+F$109-F$110-F$118+F$119</f>
        <v>121881131.3</v>
      </c>
      <c r="G120" s="279">
        <f>G$108+G$109-G$110-G$118+G$119</f>
        <v>121881131.3</v>
      </c>
      <c r="H120" s="279">
        <f>H$108+H$109-H$110-H$118+H$119</f>
        <v>0</v>
      </c>
      <c r="I120" s="279">
        <f>I$108+I$109-I$110-I$118+I$119</f>
        <v>0</v>
      </c>
      <c r="J120" s="355">
        <f t="shared" si="26"/>
        <v>121881131.3</v>
      </c>
      <c r="K120" s="249">
        <f>K$108+K$109-K$110-K$118+K$119</f>
        <v>6205001412.4699993</v>
      </c>
      <c r="L120" s="279">
        <f>L$108+L$109-L$110-L$118+L$119</f>
        <v>6205001412.4699993</v>
      </c>
      <c r="M120" s="279">
        <f>M$108+M$109-M$110-M$118+M$119</f>
        <v>0</v>
      </c>
      <c r="N120" s="279">
        <f>N$108+N$109-N$110-N$118+N$119</f>
        <v>0</v>
      </c>
      <c r="O120" s="355">
        <f>L120+M120-N120</f>
        <v>6205001412.4699993</v>
      </c>
      <c r="P120" s="249">
        <f>P$108+P$109-P$110-P$118+P$119</f>
        <v>9802566112.75</v>
      </c>
      <c r="Q120" s="279">
        <f>Q$108+Q$109-Q$110-Q$118+Q$119</f>
        <v>9802566112.75</v>
      </c>
      <c r="R120" s="279">
        <f>R$108+R$109-R$110-R$118+R$119</f>
        <v>0</v>
      </c>
      <c r="S120" s="279">
        <f>S$108+S$109-S$110-S$118+S$119</f>
        <v>0</v>
      </c>
      <c r="T120" s="355">
        <f>Q120+R120-S120</f>
        <v>9802566112.75</v>
      </c>
      <c r="U120" s="249">
        <f t="shared" ref="U120:AD120" si="28">U$108+U$109-U$110-U$118+U$119</f>
        <v>3629.19</v>
      </c>
      <c r="V120" s="355">
        <f t="shared" si="28"/>
        <v>3629.19</v>
      </c>
      <c r="W120" s="249">
        <f t="shared" si="28"/>
        <v>0</v>
      </c>
      <c r="X120" s="355">
        <f t="shared" si="28"/>
        <v>0</v>
      </c>
      <c r="Y120" s="249">
        <f t="shared" si="28"/>
        <v>0</v>
      </c>
      <c r="Z120" s="355">
        <f t="shared" si="28"/>
        <v>0</v>
      </c>
      <c r="AA120" s="249">
        <f t="shared" si="28"/>
        <v>0</v>
      </c>
      <c r="AB120" s="279">
        <f t="shared" si="28"/>
        <v>0</v>
      </c>
      <c r="AC120" s="279">
        <f t="shared" si="28"/>
        <v>0</v>
      </c>
      <c r="AD120" s="279">
        <f t="shared" si="28"/>
        <v>0</v>
      </c>
      <c r="AE120" s="355">
        <f>AB120+AC120-AD120</f>
        <v>0</v>
      </c>
      <c r="AF120" s="249">
        <f>AF$108+AF$109-AF$110-AF$118+AF$119</f>
        <v>207308.56</v>
      </c>
      <c r="AG120" s="279">
        <f>AG$108+AG$109-AG$110-AG$118+AG$119</f>
        <v>207308.56</v>
      </c>
      <c r="AH120" s="279">
        <f>AH$108+AH$109-AH$110-AH$118+AH$119</f>
        <v>0</v>
      </c>
      <c r="AI120" s="279">
        <f>AI$108+AI$109-AI$110-AI$118+AI$119</f>
        <v>0</v>
      </c>
      <c r="AJ120" s="356">
        <f>AG120+AH120-AI120</f>
        <v>207308.56</v>
      </c>
      <c r="AK120" s="372">
        <f>AK$108+AK$109-AK$110-AK$118+AK$119</f>
        <v>12685735954.4</v>
      </c>
      <c r="AL120" s="373">
        <f>AL$108+AL$109-AL$110-AL$118+AL$119</f>
        <v>8538287435.6300001</v>
      </c>
      <c r="AM120" s="373">
        <f>AM$108+AM$109-AM$110-AM$118+AM$119</f>
        <v>0</v>
      </c>
      <c r="AN120" s="213" t="s">
        <v>52</v>
      </c>
      <c r="AO120" s="23">
        <f t="shared" si="25"/>
        <v>37353682984.299995</v>
      </c>
    </row>
    <row r="121" spans="2:41" x14ac:dyDescent="0.2">
      <c r="B121" s="205"/>
      <c r="C121" s="206">
        <v>1.1200000000000001</v>
      </c>
      <c r="D121" s="219" t="str">
        <f>"Premium ceded under 100% reinsurance (informational only; excluded from Line "&amp;$C$108&amp;")"</f>
        <v>Premium ceded under 100% reinsurance (informational only; excluded from Line 1.1)</v>
      </c>
      <c r="E121" s="208"/>
      <c r="F121" s="352">
        <v>0</v>
      </c>
      <c r="G121" s="353">
        <f t="shared" si="24"/>
        <v>0</v>
      </c>
      <c r="H121" s="25"/>
      <c r="I121" s="354">
        <v>0</v>
      </c>
      <c r="J121" s="355">
        <f>G121+H121-I121</f>
        <v>0</v>
      </c>
      <c r="K121" s="352">
        <v>0</v>
      </c>
      <c r="L121" s="353">
        <f>K121</f>
        <v>0</v>
      </c>
      <c r="M121" s="25"/>
      <c r="N121" s="354">
        <v>0</v>
      </c>
      <c r="O121" s="355">
        <f>L121+M121-N121</f>
        <v>0</v>
      </c>
      <c r="P121" s="352">
        <v>0</v>
      </c>
      <c r="Q121" s="353">
        <f>P121</f>
        <v>0</v>
      </c>
      <c r="R121" s="25"/>
      <c r="S121" s="354">
        <v>0</v>
      </c>
      <c r="T121" s="355">
        <f>Q121+R121-S121</f>
        <v>0</v>
      </c>
      <c r="U121" s="352">
        <v>0</v>
      </c>
      <c r="V121" s="18">
        <f>U121</f>
        <v>0</v>
      </c>
      <c r="W121" s="352">
        <v>0</v>
      </c>
      <c r="X121" s="18">
        <f>W121</f>
        <v>0</v>
      </c>
      <c r="Y121" s="352">
        <v>0</v>
      </c>
      <c r="Z121" s="18">
        <f>Y121</f>
        <v>0</v>
      </c>
      <c r="AA121" s="352"/>
      <c r="AB121" s="353">
        <f>AA121</f>
        <v>0</v>
      </c>
      <c r="AC121" s="25"/>
      <c r="AD121" s="354">
        <v>0</v>
      </c>
      <c r="AE121" s="355">
        <f>AB121+AC121-AD121</f>
        <v>0</v>
      </c>
      <c r="AF121" s="352"/>
      <c r="AG121" s="353">
        <f>AF121</f>
        <v>0</v>
      </c>
      <c r="AH121" s="25"/>
      <c r="AI121" s="354">
        <v>0</v>
      </c>
      <c r="AJ121" s="356">
        <f>AG121+AH121-AI121</f>
        <v>0</v>
      </c>
      <c r="AK121" s="365">
        <v>0</v>
      </c>
      <c r="AL121" s="366">
        <v>0</v>
      </c>
      <c r="AM121" s="366">
        <v>0</v>
      </c>
      <c r="AN121" s="213" t="s">
        <v>52</v>
      </c>
      <c r="AO121" s="23">
        <f t="shared" si="25"/>
        <v>0</v>
      </c>
    </row>
    <row r="122" spans="2:41" ht="13.5" customHeight="1" x14ac:dyDescent="0.2">
      <c r="B122" s="205"/>
      <c r="C122" s="206">
        <v>1.1299999999999999</v>
      </c>
      <c r="D122" s="219" t="str">
        <f>"Premium assumed under 100% reinsurance (informational only; already included in Line "&amp;$C$108&amp;")"</f>
        <v>Premium assumed under 100% reinsurance (informational only; already included in Line 1.1)</v>
      </c>
      <c r="E122" s="208"/>
      <c r="F122" s="352">
        <v>0</v>
      </c>
      <c r="G122" s="353">
        <f t="shared" si="24"/>
        <v>0</v>
      </c>
      <c r="H122" s="25"/>
      <c r="I122" s="354">
        <v>0</v>
      </c>
      <c r="J122" s="355">
        <f>G122+H122-I122</f>
        <v>0</v>
      </c>
      <c r="K122" s="352">
        <v>19889.099999999999</v>
      </c>
      <c r="L122" s="353">
        <f>K122</f>
        <v>19889.099999999999</v>
      </c>
      <c r="M122" s="25"/>
      <c r="N122" s="354">
        <v>0</v>
      </c>
      <c r="O122" s="355">
        <f>L122+M122-N122</f>
        <v>19889.099999999999</v>
      </c>
      <c r="P122" s="352">
        <v>0</v>
      </c>
      <c r="Q122" s="353">
        <f>P122</f>
        <v>0</v>
      </c>
      <c r="R122" s="25"/>
      <c r="S122" s="354">
        <v>0</v>
      </c>
      <c r="T122" s="355">
        <f>Q122+R122-S122</f>
        <v>0</v>
      </c>
      <c r="U122" s="352">
        <v>0</v>
      </c>
      <c r="V122" s="18">
        <f>U122</f>
        <v>0</v>
      </c>
      <c r="W122" s="352">
        <v>0</v>
      </c>
      <c r="X122" s="18">
        <f>W122</f>
        <v>0</v>
      </c>
      <c r="Y122" s="352">
        <v>0</v>
      </c>
      <c r="Z122" s="18">
        <f>Y122</f>
        <v>0</v>
      </c>
      <c r="AA122" s="352">
        <v>0</v>
      </c>
      <c r="AB122" s="353">
        <f>AA122</f>
        <v>0</v>
      </c>
      <c r="AC122" s="25"/>
      <c r="AD122" s="354">
        <v>0</v>
      </c>
      <c r="AE122" s="355">
        <f>AB122+AC122-AD122</f>
        <v>0</v>
      </c>
      <c r="AF122" s="352">
        <v>0</v>
      </c>
      <c r="AG122" s="353">
        <f>AF122</f>
        <v>0</v>
      </c>
      <c r="AH122" s="25"/>
      <c r="AI122" s="354">
        <v>0</v>
      </c>
      <c r="AJ122" s="356">
        <f>AG122+AH122-AI122</f>
        <v>0</v>
      </c>
      <c r="AK122" s="365">
        <v>0</v>
      </c>
      <c r="AL122" s="366">
        <v>0</v>
      </c>
      <c r="AM122" s="366">
        <v>0</v>
      </c>
      <c r="AN122" s="213" t="s">
        <v>52</v>
      </c>
      <c r="AO122" s="23">
        <f t="shared" si="25"/>
        <v>19889.099999999999</v>
      </c>
    </row>
    <row r="123" spans="2:41" x14ac:dyDescent="0.2">
      <c r="B123" s="374"/>
      <c r="C123" s="375"/>
      <c r="D123" s="281"/>
      <c r="E123" s="230"/>
      <c r="F123" s="376"/>
      <c r="G123" s="377"/>
      <c r="H123" s="378"/>
      <c r="I123" s="378"/>
      <c r="J123" s="379"/>
      <c r="K123" s="376"/>
      <c r="L123" s="377"/>
      <c r="M123" s="378"/>
      <c r="N123" s="378"/>
      <c r="O123" s="379"/>
      <c r="P123" s="376"/>
      <c r="Q123" s="377"/>
      <c r="R123" s="378"/>
      <c r="S123" s="378"/>
      <c r="T123" s="379"/>
      <c r="U123" s="376"/>
      <c r="V123" s="379"/>
      <c r="W123" s="376"/>
      <c r="X123" s="379"/>
      <c r="Y123" s="376"/>
      <c r="Z123" s="379"/>
      <c r="AA123" s="376"/>
      <c r="AB123" s="377"/>
      <c r="AC123" s="378"/>
      <c r="AD123" s="378"/>
      <c r="AE123" s="379"/>
      <c r="AF123" s="376"/>
      <c r="AG123" s="377"/>
      <c r="AH123" s="378"/>
      <c r="AI123" s="378"/>
      <c r="AJ123" s="380"/>
      <c r="AK123" s="381"/>
      <c r="AL123" s="237"/>
      <c r="AM123" s="237"/>
      <c r="AN123" s="238"/>
      <c r="AO123" s="239"/>
    </row>
    <row r="124" spans="2:41" x14ac:dyDescent="0.2">
      <c r="B124" s="205" t="s">
        <v>65</v>
      </c>
      <c r="C124" s="382" t="s">
        <v>177</v>
      </c>
      <c r="D124" s="383"/>
      <c r="E124" s="241"/>
      <c r="F124" s="26"/>
      <c r="G124" s="359"/>
      <c r="H124" s="27"/>
      <c r="I124" s="27"/>
      <c r="J124" s="360"/>
      <c r="K124" s="26"/>
      <c r="L124" s="359"/>
      <c r="M124" s="27"/>
      <c r="N124" s="27"/>
      <c r="O124" s="360"/>
      <c r="P124" s="26"/>
      <c r="Q124" s="359"/>
      <c r="R124" s="27"/>
      <c r="S124" s="27"/>
      <c r="T124" s="360"/>
      <c r="U124" s="26"/>
      <c r="V124" s="360"/>
      <c r="W124" s="26"/>
      <c r="X124" s="360"/>
      <c r="Y124" s="26"/>
      <c r="Z124" s="360"/>
      <c r="AA124" s="26"/>
      <c r="AB124" s="359"/>
      <c r="AC124" s="27"/>
      <c r="AD124" s="27"/>
      <c r="AE124" s="360"/>
      <c r="AF124" s="26"/>
      <c r="AG124" s="359"/>
      <c r="AH124" s="27"/>
      <c r="AI124" s="27"/>
      <c r="AJ124" s="361"/>
      <c r="AK124" s="349"/>
      <c r="AL124" s="350"/>
      <c r="AM124" s="350"/>
      <c r="AN124" s="351"/>
      <c r="AO124" s="259"/>
    </row>
    <row r="125" spans="2:41" x14ac:dyDescent="0.2">
      <c r="B125" s="205"/>
      <c r="C125" s="206">
        <v>2.1</v>
      </c>
      <c r="D125" s="207" t="s">
        <v>178</v>
      </c>
      <c r="E125" s="206"/>
      <c r="F125" s="26"/>
      <c r="G125" s="359"/>
      <c r="H125" s="27"/>
      <c r="I125" s="27"/>
      <c r="J125" s="360"/>
      <c r="K125" s="26"/>
      <c r="L125" s="359"/>
      <c r="M125" s="27"/>
      <c r="N125" s="27"/>
      <c r="O125" s="360"/>
      <c r="P125" s="26"/>
      <c r="Q125" s="359"/>
      <c r="R125" s="27"/>
      <c r="S125" s="27"/>
      <c r="T125" s="360"/>
      <c r="U125" s="26"/>
      <c r="V125" s="360"/>
      <c r="W125" s="26"/>
      <c r="X125" s="360"/>
      <c r="Y125" s="26"/>
      <c r="Z125" s="360"/>
      <c r="AA125" s="26"/>
      <c r="AB125" s="359"/>
      <c r="AC125" s="27"/>
      <c r="AD125" s="27"/>
      <c r="AE125" s="360"/>
      <c r="AF125" s="26"/>
      <c r="AG125" s="359"/>
      <c r="AH125" s="27"/>
      <c r="AI125" s="27"/>
      <c r="AJ125" s="361"/>
      <c r="AK125" s="384"/>
      <c r="AL125" s="21"/>
      <c r="AM125" s="21"/>
      <c r="AN125" s="351"/>
      <c r="AO125" s="259"/>
    </row>
    <row r="126" spans="2:41" x14ac:dyDescent="0.2">
      <c r="B126" s="205"/>
      <c r="C126" s="206"/>
      <c r="D126" s="207" t="str">
        <f>$C$125&amp;"a  Claims with all incurral dates that were paid in the reporting year"</f>
        <v>2.1a  Claims with all incurral dates that were paid in the reporting year</v>
      </c>
      <c r="E126" s="206" t="s">
        <v>179</v>
      </c>
      <c r="F126" s="352">
        <v>116056574.98</v>
      </c>
      <c r="G126" s="362" t="s">
        <v>52</v>
      </c>
      <c r="H126" s="362" t="s">
        <v>52</v>
      </c>
      <c r="I126" s="362" t="s">
        <v>52</v>
      </c>
      <c r="J126" s="363" t="s">
        <v>52</v>
      </c>
      <c r="K126" s="352">
        <v>4515068515.4499998</v>
      </c>
      <c r="L126" s="362" t="s">
        <v>52</v>
      </c>
      <c r="M126" s="362" t="s">
        <v>52</v>
      </c>
      <c r="N126" s="362" t="s">
        <v>52</v>
      </c>
      <c r="O126" s="363" t="s">
        <v>52</v>
      </c>
      <c r="P126" s="352">
        <v>7616067363.71</v>
      </c>
      <c r="Q126" s="362" t="s">
        <v>52</v>
      </c>
      <c r="R126" s="362" t="s">
        <v>52</v>
      </c>
      <c r="S126" s="362" t="s">
        <v>52</v>
      </c>
      <c r="T126" s="363" t="s">
        <v>52</v>
      </c>
      <c r="U126" s="352">
        <v>412.71</v>
      </c>
      <c r="V126" s="363" t="s">
        <v>52</v>
      </c>
      <c r="W126" s="352">
        <v>0</v>
      </c>
      <c r="X126" s="363" t="s">
        <v>52</v>
      </c>
      <c r="Y126" s="352">
        <v>0</v>
      </c>
      <c r="Z126" s="363" t="s">
        <v>52</v>
      </c>
      <c r="AA126" s="352">
        <v>0</v>
      </c>
      <c r="AB126" s="362" t="s">
        <v>52</v>
      </c>
      <c r="AC126" s="362" t="s">
        <v>52</v>
      </c>
      <c r="AD126" s="362" t="s">
        <v>52</v>
      </c>
      <c r="AE126" s="363" t="s">
        <v>52</v>
      </c>
      <c r="AF126" s="352">
        <v>48423.34</v>
      </c>
      <c r="AG126" s="362" t="s">
        <v>52</v>
      </c>
      <c r="AH126" s="362" t="s">
        <v>52</v>
      </c>
      <c r="AI126" s="362" t="s">
        <v>52</v>
      </c>
      <c r="AJ126" s="364" t="s">
        <v>52</v>
      </c>
      <c r="AK126" s="357">
        <v>10304122785.17</v>
      </c>
      <c r="AL126" s="218">
        <v>6802677351.04</v>
      </c>
      <c r="AM126" s="218">
        <v>0</v>
      </c>
      <c r="AN126" s="213" t="s">
        <v>52</v>
      </c>
      <c r="AO126" s="23">
        <f t="shared" ref="AO126:AO152" si="29">SUM($F126,$K126,$P126,$U126,$W126,$Y126,$AA126,$AF126,$AK126,$AL126,$AM126,$AN126)</f>
        <v>29354041426.400002</v>
      </c>
    </row>
    <row r="127" spans="2:41" ht="25.5" x14ac:dyDescent="0.2">
      <c r="B127" s="205"/>
      <c r="C127" s="206"/>
      <c r="D127" s="219" t="str">
        <f>$C$125&amp;"b  Claims incurred only in the reporting year, and paid in the reporting year and through 3/31 of the following year"</f>
        <v>2.1b  Claims incurred only in the reporting year, and paid in the reporting year and through 3/31 of the following year</v>
      </c>
      <c r="E127" s="206"/>
      <c r="F127" s="367" t="s">
        <v>52</v>
      </c>
      <c r="G127" s="368">
        <v>106272561.59999999</v>
      </c>
      <c r="H127" s="25"/>
      <c r="I127" s="354">
        <v>0</v>
      </c>
      <c r="J127" s="355">
        <f t="shared" ref="J127:J151" si="30">G127+H127-I127</f>
        <v>106272561.59999999</v>
      </c>
      <c r="K127" s="367" t="s">
        <v>52</v>
      </c>
      <c r="L127" s="368">
        <v>4511171746.3400002</v>
      </c>
      <c r="M127" s="25"/>
      <c r="N127" s="354">
        <v>0</v>
      </c>
      <c r="O127" s="355">
        <f>L127+M127-N127</f>
        <v>4511171746.3400002</v>
      </c>
      <c r="P127" s="367" t="s">
        <v>52</v>
      </c>
      <c r="Q127" s="368">
        <v>7630212417.2700005</v>
      </c>
      <c r="R127" s="25"/>
      <c r="S127" s="354">
        <v>0</v>
      </c>
      <c r="T127" s="355">
        <f>Q127+R127-S127</f>
        <v>7630212417.2700005</v>
      </c>
      <c r="U127" s="367" t="s">
        <v>52</v>
      </c>
      <c r="V127" s="369">
        <v>412.71</v>
      </c>
      <c r="W127" s="367" t="s">
        <v>52</v>
      </c>
      <c r="X127" s="369">
        <v>0</v>
      </c>
      <c r="Y127" s="367" t="s">
        <v>52</v>
      </c>
      <c r="Z127" s="369">
        <v>0</v>
      </c>
      <c r="AA127" s="367" t="s">
        <v>52</v>
      </c>
      <c r="AB127" s="368">
        <v>0</v>
      </c>
      <c r="AC127" s="25"/>
      <c r="AD127" s="354">
        <v>0</v>
      </c>
      <c r="AE127" s="355">
        <f>AB127+AC127-AD127</f>
        <v>0</v>
      </c>
      <c r="AF127" s="367" t="s">
        <v>52</v>
      </c>
      <c r="AG127" s="368">
        <v>95809.81</v>
      </c>
      <c r="AH127" s="25"/>
      <c r="AI127" s="354">
        <v>0</v>
      </c>
      <c r="AJ127" s="356">
        <f>AG127+AH127-AI127</f>
        <v>95809.81</v>
      </c>
      <c r="AK127" s="367" t="s">
        <v>52</v>
      </c>
      <c r="AL127" s="370" t="s">
        <v>52</v>
      </c>
      <c r="AM127" s="370" t="s">
        <v>52</v>
      </c>
      <c r="AN127" s="213" t="s">
        <v>52</v>
      </c>
      <c r="AO127" s="23"/>
    </row>
    <row r="128" spans="2:41" x14ac:dyDescent="0.2">
      <c r="B128" s="205"/>
      <c r="C128" s="206">
        <v>2.2000000000000002</v>
      </c>
      <c r="D128" s="207" t="s">
        <v>180</v>
      </c>
      <c r="E128" s="206" t="s">
        <v>181</v>
      </c>
      <c r="F128" s="352">
        <v>11960066.380000001</v>
      </c>
      <c r="G128" s="368">
        <v>4184891.27</v>
      </c>
      <c r="H128" s="25"/>
      <c r="I128" s="354">
        <v>0</v>
      </c>
      <c r="J128" s="355">
        <f t="shared" si="30"/>
        <v>4184891.27</v>
      </c>
      <c r="K128" s="352">
        <v>476110044.41000003</v>
      </c>
      <c r="L128" s="368">
        <v>51732095.880000003</v>
      </c>
      <c r="M128" s="25"/>
      <c r="N128" s="354">
        <v>0</v>
      </c>
      <c r="O128" s="355">
        <f>L128+M128-N128</f>
        <v>51732095.880000003</v>
      </c>
      <c r="P128" s="352">
        <v>809626287.09000003</v>
      </c>
      <c r="Q128" s="368">
        <v>51226587.25</v>
      </c>
      <c r="R128" s="25"/>
      <c r="S128" s="354">
        <v>0</v>
      </c>
      <c r="T128" s="355">
        <f>Q128+R128-S128</f>
        <v>51226587.25</v>
      </c>
      <c r="U128" s="352">
        <v>0</v>
      </c>
      <c r="V128" s="369">
        <v>0</v>
      </c>
      <c r="W128" s="352">
        <v>0</v>
      </c>
      <c r="X128" s="369">
        <v>0</v>
      </c>
      <c r="Y128" s="352">
        <v>0</v>
      </c>
      <c r="Z128" s="369">
        <v>0</v>
      </c>
      <c r="AA128" s="352">
        <v>0</v>
      </c>
      <c r="AB128" s="368">
        <v>0</v>
      </c>
      <c r="AC128" s="25"/>
      <c r="AD128" s="354">
        <v>0</v>
      </c>
      <c r="AE128" s="355">
        <f>AB128+AC128-AD128</f>
        <v>0</v>
      </c>
      <c r="AF128" s="352">
        <v>121739.41</v>
      </c>
      <c r="AG128" s="368">
        <v>52915.59</v>
      </c>
      <c r="AH128" s="25"/>
      <c r="AI128" s="354">
        <v>0</v>
      </c>
      <c r="AJ128" s="356">
        <f>AG128+AH128-AI128</f>
        <v>52915.59</v>
      </c>
      <c r="AK128" s="357">
        <v>1073204604.76</v>
      </c>
      <c r="AL128" s="218">
        <v>997868699.22000003</v>
      </c>
      <c r="AM128" s="218">
        <v>0</v>
      </c>
      <c r="AN128" s="213" t="s">
        <v>52</v>
      </c>
      <c r="AO128" s="23">
        <f t="shared" si="29"/>
        <v>3368891441.2700005</v>
      </c>
    </row>
    <row r="129" spans="2:41" x14ac:dyDescent="0.2">
      <c r="B129" s="205"/>
      <c r="C129" s="206">
        <v>2.2999999999999998</v>
      </c>
      <c r="D129" s="207" t="s">
        <v>182</v>
      </c>
      <c r="E129" s="206" t="s">
        <v>183</v>
      </c>
      <c r="F129" s="352">
        <v>12304111.109999999</v>
      </c>
      <c r="G129" s="362" t="s">
        <v>52</v>
      </c>
      <c r="H129" s="362" t="s">
        <v>52</v>
      </c>
      <c r="I129" s="362" t="s">
        <v>52</v>
      </c>
      <c r="J129" s="363" t="s">
        <v>52</v>
      </c>
      <c r="K129" s="352">
        <v>498652692.45999998</v>
      </c>
      <c r="L129" s="362" t="s">
        <v>52</v>
      </c>
      <c r="M129" s="362" t="s">
        <v>52</v>
      </c>
      <c r="N129" s="362" t="s">
        <v>52</v>
      </c>
      <c r="O129" s="363" t="s">
        <v>52</v>
      </c>
      <c r="P129" s="352">
        <v>839332741.10000002</v>
      </c>
      <c r="Q129" s="362" t="s">
        <v>52</v>
      </c>
      <c r="R129" s="362" t="s">
        <v>52</v>
      </c>
      <c r="S129" s="362" t="s">
        <v>52</v>
      </c>
      <c r="T129" s="363" t="s">
        <v>52</v>
      </c>
      <c r="U129" s="352">
        <v>0</v>
      </c>
      <c r="V129" s="363" t="s">
        <v>52</v>
      </c>
      <c r="W129" s="352">
        <v>0</v>
      </c>
      <c r="X129" s="363" t="s">
        <v>52</v>
      </c>
      <c r="Y129" s="352">
        <v>0</v>
      </c>
      <c r="Z129" s="363" t="s">
        <v>52</v>
      </c>
      <c r="AA129" s="352">
        <v>0</v>
      </c>
      <c r="AB129" s="362" t="s">
        <v>52</v>
      </c>
      <c r="AC129" s="362" t="s">
        <v>52</v>
      </c>
      <c r="AD129" s="362" t="s">
        <v>52</v>
      </c>
      <c r="AE129" s="363" t="s">
        <v>52</v>
      </c>
      <c r="AF129" s="352">
        <v>0</v>
      </c>
      <c r="AG129" s="362" t="s">
        <v>52</v>
      </c>
      <c r="AH129" s="362" t="s">
        <v>52</v>
      </c>
      <c r="AI129" s="362" t="s">
        <v>52</v>
      </c>
      <c r="AJ129" s="364" t="s">
        <v>52</v>
      </c>
      <c r="AK129" s="357">
        <v>1206148308.5999999</v>
      </c>
      <c r="AL129" s="218">
        <v>1073647836.83</v>
      </c>
      <c r="AM129" s="218">
        <v>0</v>
      </c>
      <c r="AN129" s="213" t="s">
        <v>52</v>
      </c>
      <c r="AO129" s="23">
        <f t="shared" si="29"/>
        <v>3630085690.0999999</v>
      </c>
    </row>
    <row r="130" spans="2:41" x14ac:dyDescent="0.2">
      <c r="B130" s="205"/>
      <c r="C130" s="206">
        <v>2.4</v>
      </c>
      <c r="D130" s="207" t="s">
        <v>184</v>
      </c>
      <c r="E130" s="206" t="s">
        <v>185</v>
      </c>
      <c r="F130" s="352">
        <v>1394985.51</v>
      </c>
      <c r="G130" s="368">
        <v>0</v>
      </c>
      <c r="H130" s="25"/>
      <c r="I130" s="354">
        <v>0</v>
      </c>
      <c r="J130" s="355">
        <f t="shared" si="30"/>
        <v>0</v>
      </c>
      <c r="K130" s="352">
        <v>19846197.420000002</v>
      </c>
      <c r="L130" s="368">
        <v>-6038.65</v>
      </c>
      <c r="M130" s="25"/>
      <c r="N130" s="354">
        <v>0</v>
      </c>
      <c r="O130" s="355">
        <f>L130+M130-N130</f>
        <v>-6038.65</v>
      </c>
      <c r="P130" s="352">
        <v>33108782.27</v>
      </c>
      <c r="Q130" s="368">
        <v>-21157.23</v>
      </c>
      <c r="R130" s="25"/>
      <c r="S130" s="354">
        <v>0</v>
      </c>
      <c r="T130" s="355">
        <f>Q130+R130-S130</f>
        <v>-21157.23</v>
      </c>
      <c r="U130" s="352">
        <v>0</v>
      </c>
      <c r="V130" s="369">
        <v>0</v>
      </c>
      <c r="W130" s="352">
        <v>0</v>
      </c>
      <c r="X130" s="369">
        <v>0</v>
      </c>
      <c r="Y130" s="352">
        <v>0</v>
      </c>
      <c r="Z130" s="369">
        <v>0</v>
      </c>
      <c r="AA130" s="352">
        <v>0</v>
      </c>
      <c r="AB130" s="368">
        <v>0</v>
      </c>
      <c r="AC130" s="25"/>
      <c r="AD130" s="354">
        <v>0</v>
      </c>
      <c r="AE130" s="355">
        <f>AB130+AC130-AD130</f>
        <v>0</v>
      </c>
      <c r="AF130" s="352">
        <v>634.74</v>
      </c>
      <c r="AG130" s="368">
        <v>0</v>
      </c>
      <c r="AH130" s="25"/>
      <c r="AI130" s="354">
        <v>0</v>
      </c>
      <c r="AJ130" s="356">
        <f>AG130+AH130-AI130</f>
        <v>0</v>
      </c>
      <c r="AK130" s="357">
        <v>7001368.7000000002</v>
      </c>
      <c r="AL130" s="218">
        <v>382617555.75999999</v>
      </c>
      <c r="AM130" s="218">
        <v>0</v>
      </c>
      <c r="AN130" s="213" t="s">
        <v>52</v>
      </c>
      <c r="AO130" s="23">
        <f t="shared" si="29"/>
        <v>443969524.39999998</v>
      </c>
    </row>
    <row r="131" spans="2:41" x14ac:dyDescent="0.2">
      <c r="B131" s="205"/>
      <c r="C131" s="206">
        <v>2.5</v>
      </c>
      <c r="D131" s="207" t="s">
        <v>186</v>
      </c>
      <c r="E131" s="206" t="s">
        <v>187</v>
      </c>
      <c r="F131" s="352">
        <v>1841953.57</v>
      </c>
      <c r="G131" s="362" t="s">
        <v>52</v>
      </c>
      <c r="H131" s="362" t="s">
        <v>52</v>
      </c>
      <c r="I131" s="362" t="s">
        <v>52</v>
      </c>
      <c r="J131" s="363" t="s">
        <v>52</v>
      </c>
      <c r="K131" s="352">
        <v>18524399.469999999</v>
      </c>
      <c r="L131" s="362" t="s">
        <v>52</v>
      </c>
      <c r="M131" s="362" t="s">
        <v>52</v>
      </c>
      <c r="N131" s="362" t="s">
        <v>52</v>
      </c>
      <c r="O131" s="363" t="s">
        <v>52</v>
      </c>
      <c r="P131" s="352">
        <v>28101561.699999999</v>
      </c>
      <c r="Q131" s="362" t="s">
        <v>52</v>
      </c>
      <c r="R131" s="362" t="s">
        <v>52</v>
      </c>
      <c r="S131" s="362" t="s">
        <v>52</v>
      </c>
      <c r="T131" s="363" t="s">
        <v>52</v>
      </c>
      <c r="U131" s="352">
        <v>0</v>
      </c>
      <c r="V131" s="363" t="s">
        <v>52</v>
      </c>
      <c r="W131" s="352">
        <v>0</v>
      </c>
      <c r="X131" s="363" t="s">
        <v>52</v>
      </c>
      <c r="Y131" s="352">
        <v>0</v>
      </c>
      <c r="Z131" s="363" t="s">
        <v>52</v>
      </c>
      <c r="AA131" s="352">
        <v>0</v>
      </c>
      <c r="AB131" s="362" t="s">
        <v>52</v>
      </c>
      <c r="AC131" s="362" t="s">
        <v>52</v>
      </c>
      <c r="AD131" s="362" t="s">
        <v>52</v>
      </c>
      <c r="AE131" s="363" t="s">
        <v>52</v>
      </c>
      <c r="AF131" s="352">
        <v>0</v>
      </c>
      <c r="AG131" s="362" t="s">
        <v>52</v>
      </c>
      <c r="AH131" s="362" t="s">
        <v>52</v>
      </c>
      <c r="AI131" s="362" t="s">
        <v>52</v>
      </c>
      <c r="AJ131" s="364" t="s">
        <v>52</v>
      </c>
      <c r="AK131" s="357">
        <v>3719761.84</v>
      </c>
      <c r="AL131" s="218">
        <v>309840549.14999998</v>
      </c>
      <c r="AM131" s="218">
        <v>0</v>
      </c>
      <c r="AN131" s="213" t="s">
        <v>52</v>
      </c>
      <c r="AO131" s="23">
        <f t="shared" si="29"/>
        <v>362028225.72999996</v>
      </c>
    </row>
    <row r="132" spans="2:41" x14ac:dyDescent="0.2">
      <c r="B132" s="205"/>
      <c r="C132" s="206">
        <v>2.6</v>
      </c>
      <c r="D132" s="207" t="s">
        <v>188</v>
      </c>
      <c r="E132" s="206" t="s">
        <v>189</v>
      </c>
      <c r="F132" s="352">
        <v>37179907</v>
      </c>
      <c r="G132" s="353">
        <f>F132</f>
        <v>37179907</v>
      </c>
      <c r="H132" s="25"/>
      <c r="I132" s="354">
        <v>0</v>
      </c>
      <c r="J132" s="355">
        <f t="shared" si="30"/>
        <v>37179907</v>
      </c>
      <c r="K132" s="352">
        <v>0</v>
      </c>
      <c r="L132" s="353">
        <f>K132</f>
        <v>0</v>
      </c>
      <c r="M132" s="25"/>
      <c r="N132" s="354">
        <v>0</v>
      </c>
      <c r="O132" s="355">
        <f>L132+M132-N132</f>
        <v>0</v>
      </c>
      <c r="P132" s="352">
        <v>0</v>
      </c>
      <c r="Q132" s="353">
        <f>P132</f>
        <v>0</v>
      </c>
      <c r="R132" s="25"/>
      <c r="S132" s="354">
        <v>0</v>
      </c>
      <c r="T132" s="355">
        <f>Q132+R132-S132</f>
        <v>0</v>
      </c>
      <c r="U132" s="352">
        <v>0</v>
      </c>
      <c r="V132" s="18">
        <f>U132</f>
        <v>0</v>
      </c>
      <c r="W132" s="352">
        <v>0</v>
      </c>
      <c r="X132" s="18">
        <f>W132</f>
        <v>0</v>
      </c>
      <c r="Y132" s="352">
        <v>0</v>
      </c>
      <c r="Z132" s="18">
        <f>Y132</f>
        <v>0</v>
      </c>
      <c r="AA132" s="352">
        <v>0</v>
      </c>
      <c r="AB132" s="353">
        <f>AA132</f>
        <v>0</v>
      </c>
      <c r="AC132" s="25"/>
      <c r="AD132" s="354">
        <v>0</v>
      </c>
      <c r="AE132" s="355">
        <f>AB132+AC132-AD132</f>
        <v>0</v>
      </c>
      <c r="AF132" s="352">
        <v>0</v>
      </c>
      <c r="AG132" s="353">
        <f>AF132</f>
        <v>0</v>
      </c>
      <c r="AH132" s="25"/>
      <c r="AI132" s="354">
        <v>0</v>
      </c>
      <c r="AJ132" s="356">
        <f>AG132+AH132-AI132</f>
        <v>0</v>
      </c>
      <c r="AK132" s="357">
        <v>0</v>
      </c>
      <c r="AL132" s="218">
        <v>347841117.06999999</v>
      </c>
      <c r="AM132" s="218">
        <v>0</v>
      </c>
      <c r="AN132" s="213" t="s">
        <v>52</v>
      </c>
      <c r="AO132" s="23">
        <f t="shared" si="29"/>
        <v>385021024.06999999</v>
      </c>
    </row>
    <row r="133" spans="2:41" x14ac:dyDescent="0.2">
      <c r="B133" s="205"/>
      <c r="C133" s="206">
        <v>2.7</v>
      </c>
      <c r="D133" s="207" t="s">
        <v>190</v>
      </c>
      <c r="E133" s="206" t="s">
        <v>191</v>
      </c>
      <c r="F133" s="352">
        <v>34429727.109999999</v>
      </c>
      <c r="G133" s="353">
        <f>F133</f>
        <v>34429727.109999999</v>
      </c>
      <c r="H133" s="362" t="s">
        <v>52</v>
      </c>
      <c r="I133" s="362" t="s">
        <v>52</v>
      </c>
      <c r="J133" s="355">
        <f>G133</f>
        <v>34429727.109999999</v>
      </c>
      <c r="K133" s="352">
        <v>0</v>
      </c>
      <c r="L133" s="353">
        <f>K133</f>
        <v>0</v>
      </c>
      <c r="M133" s="220" t="s">
        <v>52</v>
      </c>
      <c r="N133" s="220" t="s">
        <v>52</v>
      </c>
      <c r="O133" s="355">
        <f>L133</f>
        <v>0</v>
      </c>
      <c r="P133" s="352">
        <v>0</v>
      </c>
      <c r="Q133" s="353">
        <f>P133</f>
        <v>0</v>
      </c>
      <c r="R133" s="220" t="s">
        <v>52</v>
      </c>
      <c r="S133" s="220" t="s">
        <v>52</v>
      </c>
      <c r="T133" s="355">
        <f>Q133</f>
        <v>0</v>
      </c>
      <c r="U133" s="352">
        <v>0</v>
      </c>
      <c r="V133" s="18">
        <f>U133</f>
        <v>0</v>
      </c>
      <c r="W133" s="352">
        <v>0</v>
      </c>
      <c r="X133" s="18">
        <f>W133</f>
        <v>0</v>
      </c>
      <c r="Y133" s="352">
        <v>0</v>
      </c>
      <c r="Z133" s="18">
        <f>Y133</f>
        <v>0</v>
      </c>
      <c r="AA133" s="352">
        <v>0</v>
      </c>
      <c r="AB133" s="353">
        <f>AA133</f>
        <v>0</v>
      </c>
      <c r="AC133" s="220" t="s">
        <v>52</v>
      </c>
      <c r="AD133" s="220" t="s">
        <v>52</v>
      </c>
      <c r="AE133" s="355">
        <f>AB133</f>
        <v>0</v>
      </c>
      <c r="AF133" s="352">
        <v>0</v>
      </c>
      <c r="AG133" s="353">
        <f>AF133</f>
        <v>0</v>
      </c>
      <c r="AH133" s="220" t="s">
        <v>52</v>
      </c>
      <c r="AI133" s="220" t="s">
        <v>52</v>
      </c>
      <c r="AJ133" s="356">
        <f>AG133</f>
        <v>0</v>
      </c>
      <c r="AK133" s="357">
        <v>0</v>
      </c>
      <c r="AL133" s="218">
        <v>302881773.52999997</v>
      </c>
      <c r="AM133" s="218">
        <v>0</v>
      </c>
      <c r="AN133" s="213" t="s">
        <v>52</v>
      </c>
      <c r="AO133" s="23">
        <f t="shared" si="29"/>
        <v>337311500.63999999</v>
      </c>
    </row>
    <row r="134" spans="2:41" x14ac:dyDescent="0.2">
      <c r="B134" s="205"/>
      <c r="C134" s="206">
        <v>2.8</v>
      </c>
      <c r="D134" s="207" t="s">
        <v>162</v>
      </c>
      <c r="E134" s="206"/>
      <c r="F134" s="26"/>
      <c r="G134" s="359"/>
      <c r="H134" s="27"/>
      <c r="I134" s="27"/>
      <c r="J134" s="360"/>
      <c r="K134" s="26"/>
      <c r="L134" s="359"/>
      <c r="M134" s="27"/>
      <c r="N134" s="27"/>
      <c r="O134" s="360"/>
      <c r="P134" s="26"/>
      <c r="Q134" s="359"/>
      <c r="R134" s="27"/>
      <c r="S134" s="27"/>
      <c r="T134" s="360"/>
      <c r="U134" s="26"/>
      <c r="V134" s="360"/>
      <c r="W134" s="26"/>
      <c r="X134" s="360"/>
      <c r="Y134" s="26"/>
      <c r="Z134" s="360"/>
      <c r="AA134" s="26"/>
      <c r="AB134" s="359"/>
      <c r="AC134" s="27"/>
      <c r="AD134" s="27"/>
      <c r="AE134" s="360"/>
      <c r="AF134" s="26"/>
      <c r="AG134" s="359"/>
      <c r="AH134" s="27"/>
      <c r="AI134" s="27"/>
      <c r="AJ134" s="361"/>
      <c r="AK134" s="349"/>
      <c r="AL134" s="350"/>
      <c r="AM134" s="350"/>
      <c r="AN134" s="351"/>
      <c r="AO134" s="23">
        <f t="shared" si="29"/>
        <v>0</v>
      </c>
    </row>
    <row r="135" spans="2:41" x14ac:dyDescent="0.2">
      <c r="B135" s="205"/>
      <c r="C135" s="206"/>
      <c r="D135" s="207" t="s">
        <v>192</v>
      </c>
      <c r="E135" s="206" t="s">
        <v>193</v>
      </c>
      <c r="F135" s="352">
        <v>2481905.14</v>
      </c>
      <c r="G135" s="362" t="s">
        <v>52</v>
      </c>
      <c r="H135" s="362" t="s">
        <v>52</v>
      </c>
      <c r="I135" s="362" t="s">
        <v>52</v>
      </c>
      <c r="J135" s="364" t="s">
        <v>52</v>
      </c>
      <c r="K135" s="352">
        <v>0</v>
      </c>
      <c r="L135" s="362" t="s">
        <v>52</v>
      </c>
      <c r="M135" s="362" t="s">
        <v>52</v>
      </c>
      <c r="N135" s="362" t="s">
        <v>52</v>
      </c>
      <c r="O135" s="364" t="s">
        <v>52</v>
      </c>
      <c r="P135" s="352">
        <v>-17467635.120000001</v>
      </c>
      <c r="Q135" s="362" t="s">
        <v>52</v>
      </c>
      <c r="R135" s="362" t="s">
        <v>52</v>
      </c>
      <c r="S135" s="362" t="s">
        <v>52</v>
      </c>
      <c r="T135" s="364" t="s">
        <v>52</v>
      </c>
      <c r="U135" s="352">
        <v>0</v>
      </c>
      <c r="V135" s="363" t="s">
        <v>52</v>
      </c>
      <c r="W135" s="352">
        <v>0</v>
      </c>
      <c r="X135" s="363" t="s">
        <v>52</v>
      </c>
      <c r="Y135" s="352">
        <v>0</v>
      </c>
      <c r="Z135" s="363" t="s">
        <v>52</v>
      </c>
      <c r="AA135" s="352">
        <v>0</v>
      </c>
      <c r="AB135" s="362" t="s">
        <v>52</v>
      </c>
      <c r="AC135" s="362" t="s">
        <v>52</v>
      </c>
      <c r="AD135" s="362" t="s">
        <v>52</v>
      </c>
      <c r="AE135" s="364" t="s">
        <v>52</v>
      </c>
      <c r="AF135" s="352">
        <v>0</v>
      </c>
      <c r="AG135" s="362" t="s">
        <v>52</v>
      </c>
      <c r="AH135" s="362" t="s">
        <v>52</v>
      </c>
      <c r="AI135" s="362" t="s">
        <v>52</v>
      </c>
      <c r="AJ135" s="364" t="s">
        <v>52</v>
      </c>
      <c r="AK135" s="365">
        <v>193096272.97</v>
      </c>
      <c r="AL135" s="366">
        <v>12420111.33</v>
      </c>
      <c r="AM135" s="366">
        <v>0</v>
      </c>
      <c r="AN135" s="213" t="s">
        <v>52</v>
      </c>
      <c r="AO135" s="23">
        <f t="shared" si="29"/>
        <v>190530654.32000002</v>
      </c>
    </row>
    <row r="136" spans="2:41" ht="25.5" x14ac:dyDescent="0.2">
      <c r="B136" s="205"/>
      <c r="C136" s="206"/>
      <c r="D136" s="219" t="s">
        <v>194</v>
      </c>
      <c r="E136" s="206"/>
      <c r="F136" s="367" t="s">
        <v>52</v>
      </c>
      <c r="G136" s="368">
        <v>7153784.7000000002</v>
      </c>
      <c r="H136" s="25"/>
      <c r="I136" s="354">
        <v>0</v>
      </c>
      <c r="J136" s="355">
        <f t="shared" si="30"/>
        <v>7153784.7000000002</v>
      </c>
      <c r="K136" s="367" t="s">
        <v>52</v>
      </c>
      <c r="L136" s="368">
        <v>0</v>
      </c>
      <c r="M136" s="25"/>
      <c r="N136" s="354">
        <v>0</v>
      </c>
      <c r="O136" s="355">
        <f>L136+M136-N136</f>
        <v>0</v>
      </c>
      <c r="P136" s="367" t="s">
        <v>52</v>
      </c>
      <c r="Q136" s="368">
        <v>-1719865.41</v>
      </c>
      <c r="R136" s="25"/>
      <c r="S136" s="354">
        <v>0</v>
      </c>
      <c r="T136" s="355">
        <f>Q136+R136-S136</f>
        <v>-1719865.41</v>
      </c>
      <c r="U136" s="367" t="s">
        <v>52</v>
      </c>
      <c r="V136" s="369">
        <v>0</v>
      </c>
      <c r="W136" s="385" t="s">
        <v>52</v>
      </c>
      <c r="X136" s="369">
        <v>0</v>
      </c>
      <c r="Y136" s="363" t="s">
        <v>52</v>
      </c>
      <c r="Z136" s="369">
        <v>0</v>
      </c>
      <c r="AA136" s="363" t="s">
        <v>52</v>
      </c>
      <c r="AB136" s="368">
        <v>0</v>
      </c>
      <c r="AC136" s="25"/>
      <c r="AD136" s="354">
        <v>0</v>
      </c>
      <c r="AE136" s="355">
        <f>AB136+AC136-AD136</f>
        <v>0</v>
      </c>
      <c r="AF136" s="363" t="s">
        <v>52</v>
      </c>
      <c r="AG136" s="368">
        <v>0</v>
      </c>
      <c r="AH136" s="25"/>
      <c r="AI136" s="354">
        <v>0</v>
      </c>
      <c r="AJ136" s="356">
        <f>AG136+AH136-AI136</f>
        <v>0</v>
      </c>
      <c r="AK136" s="367" t="s">
        <v>52</v>
      </c>
      <c r="AL136" s="370" t="s">
        <v>52</v>
      </c>
      <c r="AM136" s="370" t="s">
        <v>52</v>
      </c>
      <c r="AN136" s="213" t="s">
        <v>52</v>
      </c>
      <c r="AO136" s="23"/>
    </row>
    <row r="137" spans="2:41" x14ac:dyDescent="0.2">
      <c r="B137" s="205"/>
      <c r="C137" s="206">
        <v>2.9</v>
      </c>
      <c r="D137" s="207" t="s">
        <v>166</v>
      </c>
      <c r="E137" s="206" t="s">
        <v>195</v>
      </c>
      <c r="F137" s="352">
        <v>0</v>
      </c>
      <c r="G137" s="368">
        <v>0</v>
      </c>
      <c r="H137" s="25"/>
      <c r="I137" s="354">
        <v>0</v>
      </c>
      <c r="J137" s="355">
        <f t="shared" si="30"/>
        <v>0</v>
      </c>
      <c r="K137" s="352">
        <v>0</v>
      </c>
      <c r="L137" s="368">
        <v>0</v>
      </c>
      <c r="M137" s="25"/>
      <c r="N137" s="354">
        <v>0</v>
      </c>
      <c r="O137" s="355">
        <f>L137+M137-N137</f>
        <v>0</v>
      </c>
      <c r="P137" s="352">
        <v>35664137.369999997</v>
      </c>
      <c r="Q137" s="368">
        <v>7683785.7000000002</v>
      </c>
      <c r="R137" s="25"/>
      <c r="S137" s="354">
        <v>0</v>
      </c>
      <c r="T137" s="355">
        <f>Q137+R137-S137</f>
        <v>7683785.7000000002</v>
      </c>
      <c r="U137" s="352">
        <v>0</v>
      </c>
      <c r="V137" s="369">
        <v>0</v>
      </c>
      <c r="W137" s="352">
        <v>0</v>
      </c>
      <c r="X137" s="369">
        <v>0</v>
      </c>
      <c r="Y137" s="352">
        <v>0</v>
      </c>
      <c r="Z137" s="369">
        <v>0</v>
      </c>
      <c r="AA137" s="352">
        <v>0</v>
      </c>
      <c r="AB137" s="368">
        <v>0</v>
      </c>
      <c r="AC137" s="25"/>
      <c r="AD137" s="354">
        <v>0</v>
      </c>
      <c r="AE137" s="355">
        <f>AB137+AC137-AD137</f>
        <v>0</v>
      </c>
      <c r="AF137" s="352">
        <v>0</v>
      </c>
      <c r="AG137" s="368">
        <v>0</v>
      </c>
      <c r="AH137" s="25"/>
      <c r="AI137" s="354">
        <v>0</v>
      </c>
      <c r="AJ137" s="356">
        <f>AG137+AH137-AI137</f>
        <v>0</v>
      </c>
      <c r="AK137" s="365">
        <v>110813833.17</v>
      </c>
      <c r="AL137" s="366">
        <v>1450669098.46</v>
      </c>
      <c r="AM137" s="366">
        <v>0</v>
      </c>
      <c r="AN137" s="213" t="s">
        <v>52</v>
      </c>
      <c r="AO137" s="23">
        <f t="shared" si="29"/>
        <v>1597147069</v>
      </c>
    </row>
    <row r="138" spans="2:41" x14ac:dyDescent="0.2">
      <c r="B138" s="205"/>
      <c r="C138" s="371" t="s">
        <v>196</v>
      </c>
      <c r="D138" s="207" t="s">
        <v>168</v>
      </c>
      <c r="E138" s="206" t="s">
        <v>197</v>
      </c>
      <c r="F138" s="352">
        <v>0</v>
      </c>
      <c r="G138" s="362" t="s">
        <v>52</v>
      </c>
      <c r="H138" s="362" t="s">
        <v>52</v>
      </c>
      <c r="I138" s="362" t="s">
        <v>52</v>
      </c>
      <c r="J138" s="364" t="s">
        <v>52</v>
      </c>
      <c r="K138" s="352">
        <v>0</v>
      </c>
      <c r="L138" s="362" t="s">
        <v>52</v>
      </c>
      <c r="M138" s="362" t="s">
        <v>52</v>
      </c>
      <c r="N138" s="362" t="s">
        <v>52</v>
      </c>
      <c r="O138" s="364" t="s">
        <v>52</v>
      </c>
      <c r="P138" s="352">
        <v>14264040</v>
      </c>
      <c r="Q138" s="362" t="s">
        <v>52</v>
      </c>
      <c r="R138" s="362" t="s">
        <v>52</v>
      </c>
      <c r="S138" s="362" t="s">
        <v>52</v>
      </c>
      <c r="T138" s="364" t="s">
        <v>52</v>
      </c>
      <c r="U138" s="352">
        <v>0</v>
      </c>
      <c r="V138" s="363" t="s">
        <v>52</v>
      </c>
      <c r="W138" s="352">
        <v>0</v>
      </c>
      <c r="X138" s="363" t="s">
        <v>52</v>
      </c>
      <c r="Y138" s="352">
        <v>0</v>
      </c>
      <c r="Z138" s="363" t="s">
        <v>52</v>
      </c>
      <c r="AA138" s="352">
        <v>0</v>
      </c>
      <c r="AB138" s="362" t="s">
        <v>52</v>
      </c>
      <c r="AC138" s="362" t="s">
        <v>52</v>
      </c>
      <c r="AD138" s="362" t="s">
        <v>52</v>
      </c>
      <c r="AE138" s="364" t="s">
        <v>52</v>
      </c>
      <c r="AF138" s="352">
        <v>0</v>
      </c>
      <c r="AG138" s="362" t="s">
        <v>52</v>
      </c>
      <c r="AH138" s="362" t="s">
        <v>52</v>
      </c>
      <c r="AI138" s="362" t="s">
        <v>52</v>
      </c>
      <c r="AJ138" s="364" t="s">
        <v>52</v>
      </c>
      <c r="AK138" s="365">
        <v>208570989.38</v>
      </c>
      <c r="AL138" s="366">
        <v>1398553101.02</v>
      </c>
      <c r="AM138" s="366">
        <v>0</v>
      </c>
      <c r="AN138" s="213" t="s">
        <v>52</v>
      </c>
      <c r="AO138" s="23">
        <f t="shared" si="29"/>
        <v>1621388130.4000001</v>
      </c>
    </row>
    <row r="139" spans="2:41" x14ac:dyDescent="0.2">
      <c r="B139" s="205"/>
      <c r="C139" s="206">
        <v>2.11</v>
      </c>
      <c r="D139" s="207" t="s">
        <v>198</v>
      </c>
      <c r="E139" s="206"/>
      <c r="F139" s="26"/>
      <c r="G139" s="27"/>
      <c r="H139" s="27"/>
      <c r="I139" s="27"/>
      <c r="J139" s="360"/>
      <c r="K139" s="26"/>
      <c r="L139" s="27"/>
      <c r="M139" s="27"/>
      <c r="N139" s="27"/>
      <c r="O139" s="360"/>
      <c r="P139" s="26"/>
      <c r="Q139" s="27"/>
      <c r="R139" s="27"/>
      <c r="S139" s="27"/>
      <c r="T139" s="360"/>
      <c r="U139" s="26"/>
      <c r="V139" s="360"/>
      <c r="W139" s="26"/>
      <c r="X139" s="360"/>
      <c r="Y139" s="26"/>
      <c r="Z139" s="360"/>
      <c r="AA139" s="26"/>
      <c r="AB139" s="27"/>
      <c r="AC139" s="27"/>
      <c r="AD139" s="27"/>
      <c r="AE139" s="360"/>
      <c r="AF139" s="26"/>
      <c r="AG139" s="27"/>
      <c r="AH139" s="27"/>
      <c r="AI139" s="27"/>
      <c r="AJ139" s="361"/>
      <c r="AK139" s="349"/>
      <c r="AL139" s="350"/>
      <c r="AM139" s="350"/>
      <c r="AN139" s="351"/>
      <c r="AO139" s="23">
        <f t="shared" si="29"/>
        <v>0</v>
      </c>
    </row>
    <row r="140" spans="2:41" x14ac:dyDescent="0.2">
      <c r="B140" s="205"/>
      <c r="C140" s="206"/>
      <c r="D140" s="219" t="str">
        <f>$C$139&amp;"a  Paid medical incentive pools and bonuses current year"</f>
        <v>2.11a  Paid medical incentive pools and bonuses current year</v>
      </c>
      <c r="E140" s="206" t="s">
        <v>199</v>
      </c>
      <c r="F140" s="352">
        <v>-94.62</v>
      </c>
      <c r="G140" s="354">
        <v>-39.520000000000003</v>
      </c>
      <c r="H140" s="25"/>
      <c r="I140" s="354">
        <v>0</v>
      </c>
      <c r="J140" s="355">
        <f t="shared" si="30"/>
        <v>-39.520000000000003</v>
      </c>
      <c r="K140" s="352">
        <v>2263009.79</v>
      </c>
      <c r="L140" s="354">
        <v>2165352.2999999998</v>
      </c>
      <c r="M140" s="25"/>
      <c r="N140" s="354">
        <v>0</v>
      </c>
      <c r="O140" s="355">
        <f>L140+M140-N140</f>
        <v>2165352.2999999998</v>
      </c>
      <c r="P140" s="352">
        <v>4472353.47</v>
      </c>
      <c r="Q140" s="354">
        <v>3969173.45</v>
      </c>
      <c r="R140" s="25"/>
      <c r="S140" s="354">
        <v>0</v>
      </c>
      <c r="T140" s="355">
        <f>Q140+R140-S140</f>
        <v>3969173.45</v>
      </c>
      <c r="U140" s="352">
        <v>0</v>
      </c>
      <c r="V140" s="369">
        <v>0</v>
      </c>
      <c r="W140" s="352">
        <v>0</v>
      </c>
      <c r="X140" s="369">
        <v>0</v>
      </c>
      <c r="Y140" s="352">
        <v>0</v>
      </c>
      <c r="Z140" s="369">
        <v>0</v>
      </c>
      <c r="AA140" s="352">
        <v>0</v>
      </c>
      <c r="AB140" s="354">
        <v>0</v>
      </c>
      <c r="AC140" s="25"/>
      <c r="AD140" s="354">
        <v>0</v>
      </c>
      <c r="AE140" s="355">
        <f>AB140+AC140-AD140</f>
        <v>0</v>
      </c>
      <c r="AF140" s="352">
        <v>0</v>
      </c>
      <c r="AG140" s="354">
        <v>0</v>
      </c>
      <c r="AH140" s="25"/>
      <c r="AI140" s="354">
        <v>0</v>
      </c>
      <c r="AJ140" s="356">
        <f>AG140+AH140-AI140</f>
        <v>0</v>
      </c>
      <c r="AK140" s="352">
        <v>25154385.140000001</v>
      </c>
      <c r="AL140" s="352">
        <v>60308.11</v>
      </c>
      <c r="AM140" s="352">
        <v>0</v>
      </c>
      <c r="AN140" s="213" t="s">
        <v>52</v>
      </c>
      <c r="AO140" s="23"/>
    </row>
    <row r="141" spans="2:41" x14ac:dyDescent="0.2">
      <c r="B141" s="205"/>
      <c r="C141" s="206"/>
      <c r="D141" s="207" t="str">
        <f>$C$139&amp;"b  Accrued medical incentive pools and bonuses current year"</f>
        <v>2.11b  Accrued medical incentive pools and bonuses current year</v>
      </c>
      <c r="E141" s="206" t="s">
        <v>200</v>
      </c>
      <c r="F141" s="352">
        <v>29.82</v>
      </c>
      <c r="G141" s="354">
        <v>0</v>
      </c>
      <c r="H141" s="25"/>
      <c r="I141" s="354">
        <v>0</v>
      </c>
      <c r="J141" s="355">
        <f t="shared" si="30"/>
        <v>0</v>
      </c>
      <c r="K141" s="352">
        <v>638589.12</v>
      </c>
      <c r="L141" s="354">
        <v>583610.55000000005</v>
      </c>
      <c r="M141" s="25"/>
      <c r="N141" s="354">
        <v>0</v>
      </c>
      <c r="O141" s="355">
        <f>L141+M141-N141</f>
        <v>583610.55000000005</v>
      </c>
      <c r="P141" s="352">
        <v>1080485.48</v>
      </c>
      <c r="Q141" s="354">
        <v>1026941.66</v>
      </c>
      <c r="R141" s="25"/>
      <c r="S141" s="354">
        <v>0</v>
      </c>
      <c r="T141" s="355">
        <f>Q141+R141-S141</f>
        <v>1026941.66</v>
      </c>
      <c r="U141" s="352">
        <v>0</v>
      </c>
      <c r="V141" s="369">
        <v>0</v>
      </c>
      <c r="W141" s="352">
        <v>0</v>
      </c>
      <c r="X141" s="369">
        <v>0</v>
      </c>
      <c r="Y141" s="352">
        <v>0</v>
      </c>
      <c r="Z141" s="369">
        <v>0</v>
      </c>
      <c r="AA141" s="352">
        <v>0</v>
      </c>
      <c r="AB141" s="354">
        <v>0</v>
      </c>
      <c r="AC141" s="25"/>
      <c r="AD141" s="354">
        <v>0</v>
      </c>
      <c r="AE141" s="355">
        <f>AB141+AC141-AD141</f>
        <v>0</v>
      </c>
      <c r="AF141" s="352">
        <v>0</v>
      </c>
      <c r="AG141" s="354">
        <v>0</v>
      </c>
      <c r="AH141" s="25"/>
      <c r="AI141" s="354">
        <v>0</v>
      </c>
      <c r="AJ141" s="356">
        <f>AG141+AH141-AI141</f>
        <v>0</v>
      </c>
      <c r="AK141" s="365">
        <v>13139011.32</v>
      </c>
      <c r="AL141" s="366">
        <v>3454.32</v>
      </c>
      <c r="AM141" s="366">
        <v>0</v>
      </c>
      <c r="AN141" s="213" t="s">
        <v>52</v>
      </c>
      <c r="AO141" s="23">
        <f t="shared" si="29"/>
        <v>14861570.060000001</v>
      </c>
    </row>
    <row r="142" spans="2:41" x14ac:dyDescent="0.2">
      <c r="B142" s="205"/>
      <c r="C142" s="206"/>
      <c r="D142" s="207" t="str">
        <f>$C$139&amp;"c  Accrued medical incentive pools and bonuses prior year"</f>
        <v>2.11c  Accrued medical incentive pools and bonuses prior year</v>
      </c>
      <c r="E142" s="206" t="s">
        <v>201</v>
      </c>
      <c r="F142" s="352">
        <v>0</v>
      </c>
      <c r="G142" s="362" t="s">
        <v>52</v>
      </c>
      <c r="H142" s="362" t="s">
        <v>52</v>
      </c>
      <c r="I142" s="362" t="s">
        <v>52</v>
      </c>
      <c r="J142" s="364" t="s">
        <v>52</v>
      </c>
      <c r="K142" s="352">
        <v>465025.06</v>
      </c>
      <c r="L142" s="362" t="s">
        <v>52</v>
      </c>
      <c r="M142" s="362" t="s">
        <v>52</v>
      </c>
      <c r="N142" s="362" t="s">
        <v>52</v>
      </c>
      <c r="O142" s="364" t="s">
        <v>52</v>
      </c>
      <c r="P142" s="352">
        <v>996426.94</v>
      </c>
      <c r="Q142" s="362" t="s">
        <v>52</v>
      </c>
      <c r="R142" s="362" t="s">
        <v>52</v>
      </c>
      <c r="S142" s="362" t="s">
        <v>52</v>
      </c>
      <c r="T142" s="364" t="s">
        <v>52</v>
      </c>
      <c r="U142" s="352">
        <v>0</v>
      </c>
      <c r="V142" s="363" t="s">
        <v>52</v>
      </c>
      <c r="W142" s="352">
        <v>0</v>
      </c>
      <c r="X142" s="363" t="s">
        <v>52</v>
      </c>
      <c r="Y142" s="352">
        <v>0</v>
      </c>
      <c r="Z142" s="363" t="s">
        <v>52</v>
      </c>
      <c r="AA142" s="352">
        <v>0</v>
      </c>
      <c r="AB142" s="362" t="s">
        <v>52</v>
      </c>
      <c r="AC142" s="362" t="s">
        <v>52</v>
      </c>
      <c r="AD142" s="362" t="s">
        <v>52</v>
      </c>
      <c r="AE142" s="364" t="s">
        <v>52</v>
      </c>
      <c r="AF142" s="352">
        <v>0</v>
      </c>
      <c r="AG142" s="362" t="s">
        <v>52</v>
      </c>
      <c r="AH142" s="362" t="s">
        <v>52</v>
      </c>
      <c r="AI142" s="362" t="s">
        <v>52</v>
      </c>
      <c r="AJ142" s="364" t="s">
        <v>52</v>
      </c>
      <c r="AK142" s="365">
        <v>12713539.289999999</v>
      </c>
      <c r="AL142" s="366">
        <v>0</v>
      </c>
      <c r="AM142" s="366">
        <v>0</v>
      </c>
      <c r="AN142" s="213" t="s">
        <v>52</v>
      </c>
      <c r="AO142" s="23">
        <f t="shared" si="29"/>
        <v>14174991.289999999</v>
      </c>
    </row>
    <row r="143" spans="2:41" x14ac:dyDescent="0.2">
      <c r="B143" s="205"/>
      <c r="C143" s="256">
        <v>2.12</v>
      </c>
      <c r="D143" s="207" t="str">
        <f>"Net healthcare receivables "</f>
        <v xml:space="preserve">Net healthcare receivables </v>
      </c>
      <c r="E143" s="206"/>
      <c r="F143" s="26"/>
      <c r="G143" s="27"/>
      <c r="H143" s="27"/>
      <c r="I143" s="27"/>
      <c r="J143" s="360"/>
      <c r="K143" s="26"/>
      <c r="L143" s="27"/>
      <c r="M143" s="27"/>
      <c r="N143" s="27"/>
      <c r="O143" s="360"/>
      <c r="P143" s="26"/>
      <c r="Q143" s="27"/>
      <c r="R143" s="27"/>
      <c r="S143" s="27"/>
      <c r="T143" s="360"/>
      <c r="U143" s="26"/>
      <c r="V143" s="360"/>
      <c r="W143" s="26"/>
      <c r="X143" s="360"/>
      <c r="Y143" s="26"/>
      <c r="Z143" s="360"/>
      <c r="AA143" s="26"/>
      <c r="AB143" s="27"/>
      <c r="AC143" s="27"/>
      <c r="AD143" s="27"/>
      <c r="AE143" s="360"/>
      <c r="AF143" s="26"/>
      <c r="AG143" s="27"/>
      <c r="AH143" s="27"/>
      <c r="AI143" s="27"/>
      <c r="AJ143" s="361"/>
      <c r="AK143" s="349"/>
      <c r="AL143" s="350"/>
      <c r="AM143" s="350"/>
      <c r="AN143" s="351"/>
      <c r="AO143" s="23">
        <f t="shared" si="29"/>
        <v>0</v>
      </c>
    </row>
    <row r="144" spans="2:41" x14ac:dyDescent="0.2">
      <c r="B144" s="205"/>
      <c r="C144" s="206"/>
      <c r="D144" s="207" t="str">
        <f>$C$143&amp;"a  Healthcare receivables current year"</f>
        <v>2.12a  Healthcare receivables current year</v>
      </c>
      <c r="E144" s="206" t="s">
        <v>202</v>
      </c>
      <c r="F144" s="352">
        <v>234209.94</v>
      </c>
      <c r="G144" s="368">
        <v>48606.82</v>
      </c>
      <c r="H144" s="25"/>
      <c r="I144" s="354">
        <v>0</v>
      </c>
      <c r="J144" s="355">
        <f t="shared" si="30"/>
        <v>48606.82</v>
      </c>
      <c r="K144" s="352">
        <v>15976330.27</v>
      </c>
      <c r="L144" s="368">
        <v>6788157.0800000001</v>
      </c>
      <c r="M144" s="25"/>
      <c r="N144" s="354">
        <v>0</v>
      </c>
      <c r="O144" s="355">
        <f>L144+M144-N144</f>
        <v>6788157.0800000001</v>
      </c>
      <c r="P144" s="352">
        <v>24492970.530000001</v>
      </c>
      <c r="Q144" s="368">
        <v>10830963.17</v>
      </c>
      <c r="R144" s="25"/>
      <c r="S144" s="354">
        <v>0</v>
      </c>
      <c r="T144" s="355">
        <f>Q144+R144-S144</f>
        <v>10830963.17</v>
      </c>
      <c r="U144" s="352">
        <v>0</v>
      </c>
      <c r="V144" s="369">
        <v>0</v>
      </c>
      <c r="W144" s="352">
        <v>0</v>
      </c>
      <c r="X144" s="369">
        <v>0</v>
      </c>
      <c r="Y144" s="352">
        <v>0</v>
      </c>
      <c r="Z144" s="369">
        <v>0</v>
      </c>
      <c r="AA144" s="352">
        <v>0</v>
      </c>
      <c r="AB144" s="368">
        <v>0</v>
      </c>
      <c r="AC144" s="25"/>
      <c r="AD144" s="354">
        <v>0</v>
      </c>
      <c r="AE144" s="355">
        <f>AB144+AC144-AD144</f>
        <v>0</v>
      </c>
      <c r="AF144" s="352">
        <v>0</v>
      </c>
      <c r="AG144" s="368">
        <v>0</v>
      </c>
      <c r="AH144" s="25"/>
      <c r="AI144" s="354">
        <v>0</v>
      </c>
      <c r="AJ144" s="356">
        <f>AG144+AH144-AI144</f>
        <v>0</v>
      </c>
      <c r="AK144" s="365">
        <v>958511609.505</v>
      </c>
      <c r="AL144" s="366">
        <v>843068.96</v>
      </c>
      <c r="AM144" s="366">
        <v>0</v>
      </c>
      <c r="AN144" s="213" t="s">
        <v>52</v>
      </c>
      <c r="AO144" s="23">
        <f t="shared" si="29"/>
        <v>1000058189.205</v>
      </c>
    </row>
    <row r="145" spans="2:41" x14ac:dyDescent="0.2">
      <c r="B145" s="205"/>
      <c r="C145" s="206"/>
      <c r="D145" s="207" t="str">
        <f>$C$143&amp;"b  Healthcare receivables prior year"</f>
        <v>2.12b  Healthcare receivables prior year</v>
      </c>
      <c r="E145" s="206" t="s">
        <v>203</v>
      </c>
      <c r="F145" s="352">
        <v>277214.94</v>
      </c>
      <c r="G145" s="362" t="s">
        <v>52</v>
      </c>
      <c r="H145" s="362" t="s">
        <v>52</v>
      </c>
      <c r="I145" s="362" t="s">
        <v>52</v>
      </c>
      <c r="J145" s="364" t="s">
        <v>52</v>
      </c>
      <c r="K145" s="352">
        <v>19142511.760000002</v>
      </c>
      <c r="L145" s="362" t="s">
        <v>52</v>
      </c>
      <c r="M145" s="362" t="s">
        <v>52</v>
      </c>
      <c r="N145" s="362" t="s">
        <v>52</v>
      </c>
      <c r="O145" s="364" t="s">
        <v>52</v>
      </c>
      <c r="P145" s="352">
        <v>39256424.159999996</v>
      </c>
      <c r="Q145" s="362" t="s">
        <v>52</v>
      </c>
      <c r="R145" s="362" t="s">
        <v>52</v>
      </c>
      <c r="S145" s="362" t="s">
        <v>52</v>
      </c>
      <c r="T145" s="364" t="s">
        <v>52</v>
      </c>
      <c r="U145" s="352">
        <v>0</v>
      </c>
      <c r="V145" s="363" t="s">
        <v>52</v>
      </c>
      <c r="W145" s="352">
        <v>0</v>
      </c>
      <c r="X145" s="363" t="s">
        <v>52</v>
      </c>
      <c r="Y145" s="352">
        <v>0</v>
      </c>
      <c r="Z145" s="363" t="s">
        <v>52</v>
      </c>
      <c r="AA145" s="352">
        <v>0</v>
      </c>
      <c r="AB145" s="362" t="s">
        <v>52</v>
      </c>
      <c r="AC145" s="362" t="s">
        <v>52</v>
      </c>
      <c r="AD145" s="362" t="s">
        <v>52</v>
      </c>
      <c r="AE145" s="364" t="s">
        <v>52</v>
      </c>
      <c r="AF145" s="352">
        <v>0</v>
      </c>
      <c r="AG145" s="362" t="s">
        <v>52</v>
      </c>
      <c r="AH145" s="362" t="s">
        <v>52</v>
      </c>
      <c r="AI145" s="362" t="s">
        <v>52</v>
      </c>
      <c r="AJ145" s="364" t="s">
        <v>52</v>
      </c>
      <c r="AK145" s="365">
        <v>867888892.04499996</v>
      </c>
      <c r="AL145" s="366">
        <v>760379.44</v>
      </c>
      <c r="AM145" s="366">
        <v>0</v>
      </c>
      <c r="AN145" s="213" t="s">
        <v>52</v>
      </c>
      <c r="AO145" s="23">
        <f t="shared" si="29"/>
        <v>927325422.34500003</v>
      </c>
    </row>
    <row r="146" spans="2:41" s="32" customFormat="1" x14ac:dyDescent="0.2">
      <c r="B146" s="386"/>
      <c r="C146" s="387">
        <v>2.13</v>
      </c>
      <c r="D146" s="207" t="s">
        <v>204</v>
      </c>
      <c r="E146" s="206"/>
      <c r="F146" s="352">
        <v>0</v>
      </c>
      <c r="G146" s="368">
        <v>0</v>
      </c>
      <c r="H146" s="25"/>
      <c r="I146" s="354">
        <v>0</v>
      </c>
      <c r="J146" s="355">
        <f t="shared" si="30"/>
        <v>0</v>
      </c>
      <c r="K146" s="352">
        <v>0</v>
      </c>
      <c r="L146" s="368">
        <v>0</v>
      </c>
      <c r="M146" s="25"/>
      <c r="N146" s="354">
        <v>0</v>
      </c>
      <c r="O146" s="355">
        <f t="shared" ref="O146:O151" si="31">L146+M146-N146</f>
        <v>0</v>
      </c>
      <c r="P146" s="352">
        <v>0</v>
      </c>
      <c r="Q146" s="368">
        <v>0</v>
      </c>
      <c r="R146" s="25"/>
      <c r="S146" s="354">
        <v>0</v>
      </c>
      <c r="T146" s="355">
        <f t="shared" ref="T146:T151" si="32">Q146+R146-S146</f>
        <v>0</v>
      </c>
      <c r="U146" s="352">
        <v>0</v>
      </c>
      <c r="V146" s="369">
        <v>0</v>
      </c>
      <c r="W146" s="352">
        <v>0</v>
      </c>
      <c r="X146" s="369">
        <v>0</v>
      </c>
      <c r="Y146" s="352">
        <v>0</v>
      </c>
      <c r="Z146" s="369">
        <v>0</v>
      </c>
      <c r="AA146" s="352"/>
      <c r="AB146" s="368"/>
      <c r="AC146" s="25"/>
      <c r="AD146" s="354">
        <v>0</v>
      </c>
      <c r="AE146" s="355">
        <f t="shared" ref="AE146:AE151" si="33">AB146+AC146-AD146</f>
        <v>0</v>
      </c>
      <c r="AF146" s="352"/>
      <c r="AG146" s="368"/>
      <c r="AH146" s="25"/>
      <c r="AI146" s="354">
        <v>0</v>
      </c>
      <c r="AJ146" s="356">
        <f t="shared" ref="AJ146:AJ151" si="34">AG146+AH146-AI146</f>
        <v>0</v>
      </c>
      <c r="AK146" s="365">
        <v>0</v>
      </c>
      <c r="AL146" s="366">
        <v>0</v>
      </c>
      <c r="AM146" s="366">
        <v>0</v>
      </c>
      <c r="AN146" s="213" t="s">
        <v>52</v>
      </c>
      <c r="AO146" s="23">
        <f t="shared" si="29"/>
        <v>0</v>
      </c>
    </row>
    <row r="147" spans="2:41" x14ac:dyDescent="0.2">
      <c r="B147" s="205"/>
      <c r="C147" s="256">
        <v>2.14</v>
      </c>
      <c r="D147" s="207" t="s">
        <v>174</v>
      </c>
      <c r="E147" s="206" t="s">
        <v>205</v>
      </c>
      <c r="F147" s="352">
        <v>0</v>
      </c>
      <c r="G147" s="368">
        <v>0</v>
      </c>
      <c r="H147" s="25"/>
      <c r="I147" s="354">
        <v>0</v>
      </c>
      <c r="J147" s="355">
        <f t="shared" si="30"/>
        <v>0</v>
      </c>
      <c r="K147" s="352">
        <v>0</v>
      </c>
      <c r="L147" s="368">
        <v>0</v>
      </c>
      <c r="M147" s="25"/>
      <c r="N147" s="354">
        <v>0</v>
      </c>
      <c r="O147" s="355">
        <f t="shared" si="31"/>
        <v>0</v>
      </c>
      <c r="P147" s="352">
        <v>0</v>
      </c>
      <c r="Q147" s="368">
        <v>0</v>
      </c>
      <c r="R147" s="25"/>
      <c r="S147" s="354">
        <v>0</v>
      </c>
      <c r="T147" s="355">
        <f t="shared" si="32"/>
        <v>0</v>
      </c>
      <c r="U147" s="352">
        <v>0</v>
      </c>
      <c r="V147" s="369">
        <v>0</v>
      </c>
      <c r="W147" s="352">
        <v>0</v>
      </c>
      <c r="X147" s="369">
        <v>0</v>
      </c>
      <c r="Y147" s="352">
        <v>0</v>
      </c>
      <c r="Z147" s="369">
        <v>0</v>
      </c>
      <c r="AA147" s="352"/>
      <c r="AB147" s="368"/>
      <c r="AC147" s="25"/>
      <c r="AD147" s="354">
        <v>0</v>
      </c>
      <c r="AE147" s="355">
        <f t="shared" si="33"/>
        <v>0</v>
      </c>
      <c r="AF147" s="352"/>
      <c r="AG147" s="368"/>
      <c r="AH147" s="25"/>
      <c r="AI147" s="354">
        <v>0</v>
      </c>
      <c r="AJ147" s="356">
        <f t="shared" si="34"/>
        <v>0</v>
      </c>
      <c r="AK147" s="365">
        <v>0</v>
      </c>
      <c r="AL147" s="366">
        <v>0</v>
      </c>
      <c r="AM147" s="366">
        <v>0</v>
      </c>
      <c r="AN147" s="213" t="s">
        <v>52</v>
      </c>
      <c r="AO147" s="23">
        <f t="shared" si="29"/>
        <v>0</v>
      </c>
    </row>
    <row r="148" spans="2:41" x14ac:dyDescent="0.2">
      <c r="B148" s="205"/>
      <c r="C148" s="256">
        <v>2.15</v>
      </c>
      <c r="D148" s="207" t="s">
        <v>206</v>
      </c>
      <c r="E148" s="206" t="s">
        <v>207</v>
      </c>
      <c r="F148" s="352">
        <v>0</v>
      </c>
      <c r="G148" s="368">
        <v>0</v>
      </c>
      <c r="H148" s="25"/>
      <c r="I148" s="354">
        <v>0</v>
      </c>
      <c r="J148" s="355">
        <f t="shared" si="30"/>
        <v>0</v>
      </c>
      <c r="K148" s="352">
        <v>0</v>
      </c>
      <c r="L148" s="368">
        <v>0</v>
      </c>
      <c r="M148" s="25"/>
      <c r="N148" s="354">
        <v>0</v>
      </c>
      <c r="O148" s="355">
        <f t="shared" si="31"/>
        <v>0</v>
      </c>
      <c r="P148" s="352">
        <v>0</v>
      </c>
      <c r="Q148" s="368">
        <v>0</v>
      </c>
      <c r="R148" s="25"/>
      <c r="S148" s="354">
        <v>0</v>
      </c>
      <c r="T148" s="355">
        <f t="shared" si="32"/>
        <v>0</v>
      </c>
      <c r="U148" s="352">
        <v>0</v>
      </c>
      <c r="V148" s="369">
        <v>0</v>
      </c>
      <c r="W148" s="352">
        <v>0</v>
      </c>
      <c r="X148" s="369">
        <v>0</v>
      </c>
      <c r="Y148" s="352">
        <v>0</v>
      </c>
      <c r="Z148" s="369">
        <v>0</v>
      </c>
      <c r="AA148" s="352"/>
      <c r="AB148" s="368"/>
      <c r="AC148" s="25"/>
      <c r="AD148" s="354">
        <v>0</v>
      </c>
      <c r="AE148" s="355">
        <f t="shared" si="33"/>
        <v>0</v>
      </c>
      <c r="AF148" s="352"/>
      <c r="AG148" s="368"/>
      <c r="AH148" s="25"/>
      <c r="AI148" s="354">
        <v>0</v>
      </c>
      <c r="AJ148" s="356">
        <f t="shared" si="34"/>
        <v>0</v>
      </c>
      <c r="AK148" s="365">
        <v>0</v>
      </c>
      <c r="AL148" s="366">
        <v>0</v>
      </c>
      <c r="AM148" s="366">
        <v>0</v>
      </c>
      <c r="AN148" s="213" t="s">
        <v>52</v>
      </c>
      <c r="AO148" s="23">
        <f t="shared" si="29"/>
        <v>0</v>
      </c>
    </row>
    <row r="149" spans="2:41" x14ac:dyDescent="0.2">
      <c r="B149" s="205"/>
      <c r="C149" s="256">
        <v>2.16</v>
      </c>
      <c r="D149" s="219" t="str">
        <f>"Allowable fraud reduction expense (the smaller of Lines "&amp;$C$149&amp;"a or "&amp;$C$149&amp;"b)"</f>
        <v>Allowable fraud reduction expense (the smaller of Lines 2.16a or 2.16b)</v>
      </c>
      <c r="E149" s="388" t="s">
        <v>208</v>
      </c>
      <c r="F149" s="249">
        <f>MIN(F$150,F$151)</f>
        <v>787.02</v>
      </c>
      <c r="G149" s="279">
        <f>MIN(G$150,G$151)</f>
        <v>787.02</v>
      </c>
      <c r="H149" s="279">
        <f>MIN(H$150,H$151)</f>
        <v>0</v>
      </c>
      <c r="I149" s="279">
        <f>MIN(I$150,I$151)</f>
        <v>0</v>
      </c>
      <c r="J149" s="355">
        <f t="shared" si="30"/>
        <v>787.02</v>
      </c>
      <c r="K149" s="249">
        <f>MIN(K$150,K$151)</f>
        <v>266544.99</v>
      </c>
      <c r="L149" s="279">
        <f>MIN(L$150,L$151)</f>
        <v>266544.99</v>
      </c>
      <c r="M149" s="279">
        <f>MIN(M$150,M$151)</f>
        <v>0</v>
      </c>
      <c r="N149" s="279">
        <f>MIN(N$150,N$151)</f>
        <v>0</v>
      </c>
      <c r="O149" s="355">
        <f t="shared" si="31"/>
        <v>266544.99</v>
      </c>
      <c r="P149" s="249">
        <f>MIN(P$150,P$151)</f>
        <v>446678.18</v>
      </c>
      <c r="Q149" s="279">
        <f>MIN(Q$150,Q$151)</f>
        <v>446678.18</v>
      </c>
      <c r="R149" s="279">
        <f>MIN(R$150,R$151)</f>
        <v>0</v>
      </c>
      <c r="S149" s="279">
        <f>MIN(S$150,S$151)</f>
        <v>0</v>
      </c>
      <c r="T149" s="355">
        <f t="shared" si="32"/>
        <v>446678.18</v>
      </c>
      <c r="U149" s="249">
        <f t="shared" ref="U149:AD149" si="35">MIN(U$150,U$151)</f>
        <v>0</v>
      </c>
      <c r="V149" s="355">
        <f t="shared" si="35"/>
        <v>0</v>
      </c>
      <c r="W149" s="249">
        <f t="shared" si="35"/>
        <v>0</v>
      </c>
      <c r="X149" s="355">
        <f t="shared" si="35"/>
        <v>0</v>
      </c>
      <c r="Y149" s="249">
        <f t="shared" si="35"/>
        <v>0</v>
      </c>
      <c r="Z149" s="355">
        <f t="shared" si="35"/>
        <v>0</v>
      </c>
      <c r="AA149" s="249">
        <f t="shared" si="35"/>
        <v>0</v>
      </c>
      <c r="AB149" s="279">
        <f t="shared" si="35"/>
        <v>0</v>
      </c>
      <c r="AC149" s="279">
        <f t="shared" si="35"/>
        <v>0</v>
      </c>
      <c r="AD149" s="279">
        <f t="shared" si="35"/>
        <v>0</v>
      </c>
      <c r="AE149" s="355">
        <f t="shared" si="33"/>
        <v>0</v>
      </c>
      <c r="AF149" s="249">
        <f>MIN(AF$150,AF$151)</f>
        <v>0</v>
      </c>
      <c r="AG149" s="279">
        <f>MIN(AG$150,AG$151)</f>
        <v>0</v>
      </c>
      <c r="AH149" s="279">
        <f>MIN(AH$150,AH$151)</f>
        <v>0</v>
      </c>
      <c r="AI149" s="279">
        <f>MIN(AI$150,AI$151)</f>
        <v>0</v>
      </c>
      <c r="AJ149" s="356">
        <f t="shared" si="34"/>
        <v>0</v>
      </c>
      <c r="AK149" s="372">
        <f>MIN(AK$150,AK$151)</f>
        <v>364847.63</v>
      </c>
      <c r="AL149" s="373">
        <f>MIN(AL$150,AL$151)</f>
        <v>0</v>
      </c>
      <c r="AM149" s="373">
        <f>MIN(AM$150,AM$151)</f>
        <v>0</v>
      </c>
      <c r="AN149" s="213" t="s">
        <v>52</v>
      </c>
      <c r="AO149" s="23">
        <f t="shared" si="29"/>
        <v>1078857.8199999998</v>
      </c>
    </row>
    <row r="150" spans="2:41" ht="26.25" customHeight="1" x14ac:dyDescent="0.2">
      <c r="B150" s="205"/>
      <c r="C150" s="256"/>
      <c r="D150" s="207" t="str">
        <f>$C$149&amp;"a  Total fraud reduction expense"</f>
        <v>2.16a  Total fraud reduction expense</v>
      </c>
      <c r="E150" s="388" t="s">
        <v>209</v>
      </c>
      <c r="F150" s="352">
        <v>787.02</v>
      </c>
      <c r="G150" s="354">
        <v>787.02</v>
      </c>
      <c r="H150" s="25"/>
      <c r="I150" s="354">
        <v>0</v>
      </c>
      <c r="J150" s="355">
        <f t="shared" si="30"/>
        <v>787.02</v>
      </c>
      <c r="K150" s="352">
        <v>266544.99</v>
      </c>
      <c r="L150" s="354">
        <v>266544.99</v>
      </c>
      <c r="M150" s="25"/>
      <c r="N150" s="354">
        <v>0</v>
      </c>
      <c r="O150" s="355">
        <f t="shared" si="31"/>
        <v>266544.99</v>
      </c>
      <c r="P150" s="352">
        <v>446678.18</v>
      </c>
      <c r="Q150" s="354">
        <v>446678.18</v>
      </c>
      <c r="R150" s="25"/>
      <c r="S150" s="354">
        <v>0</v>
      </c>
      <c r="T150" s="355">
        <f t="shared" si="32"/>
        <v>446678.18</v>
      </c>
      <c r="U150" s="352">
        <v>0</v>
      </c>
      <c r="V150" s="369">
        <v>0</v>
      </c>
      <c r="W150" s="352">
        <v>0</v>
      </c>
      <c r="X150" s="369">
        <v>0</v>
      </c>
      <c r="Y150" s="352">
        <v>0</v>
      </c>
      <c r="Z150" s="369">
        <v>0</v>
      </c>
      <c r="AA150" s="352">
        <v>0</v>
      </c>
      <c r="AB150" s="354">
        <v>0</v>
      </c>
      <c r="AC150" s="25"/>
      <c r="AD150" s="354">
        <v>0</v>
      </c>
      <c r="AE150" s="355">
        <f t="shared" si="33"/>
        <v>0</v>
      </c>
      <c r="AF150" s="352">
        <v>0</v>
      </c>
      <c r="AG150" s="354">
        <v>0</v>
      </c>
      <c r="AH150" s="25"/>
      <c r="AI150" s="354">
        <v>0</v>
      </c>
      <c r="AJ150" s="356">
        <f t="shared" si="34"/>
        <v>0</v>
      </c>
      <c r="AK150" s="365">
        <v>6923440.1600000001</v>
      </c>
      <c r="AL150" s="366">
        <v>6286004.75</v>
      </c>
      <c r="AM150" s="366">
        <v>0</v>
      </c>
      <c r="AN150" s="389">
        <v>18826.79</v>
      </c>
      <c r="AO150" s="23">
        <f t="shared" si="29"/>
        <v>13942281.889999999</v>
      </c>
    </row>
    <row r="151" spans="2:41" x14ac:dyDescent="0.2">
      <c r="B151" s="205"/>
      <c r="C151" s="256"/>
      <c r="D151" s="207" t="str">
        <f>$C$149&amp;"b  Total fraud recoveries that reduced paid claims"</f>
        <v>2.16b  Total fraud recoveries that reduced paid claims</v>
      </c>
      <c r="E151" s="388" t="s">
        <v>210</v>
      </c>
      <c r="F151" s="352">
        <v>5600.99</v>
      </c>
      <c r="G151" s="354">
        <v>5600.99</v>
      </c>
      <c r="H151" s="25"/>
      <c r="I151" s="354">
        <v>0</v>
      </c>
      <c r="J151" s="355">
        <f t="shared" si="30"/>
        <v>5600.99</v>
      </c>
      <c r="K151" s="352">
        <v>2083882.37</v>
      </c>
      <c r="L151" s="354">
        <v>2083882.37</v>
      </c>
      <c r="M151" s="25"/>
      <c r="N151" s="354">
        <v>0</v>
      </c>
      <c r="O151" s="355">
        <f t="shared" si="31"/>
        <v>2083882.37</v>
      </c>
      <c r="P151" s="352">
        <v>3761924.19</v>
      </c>
      <c r="Q151" s="354">
        <v>3761924.19</v>
      </c>
      <c r="R151" s="25"/>
      <c r="S151" s="354">
        <v>0</v>
      </c>
      <c r="T151" s="355">
        <f t="shared" si="32"/>
        <v>3761924.19</v>
      </c>
      <c r="U151" s="352">
        <v>0</v>
      </c>
      <c r="V151" s="369">
        <v>0</v>
      </c>
      <c r="W151" s="352">
        <v>0</v>
      </c>
      <c r="X151" s="369">
        <v>0</v>
      </c>
      <c r="Y151" s="352">
        <v>0</v>
      </c>
      <c r="Z151" s="369">
        <v>0</v>
      </c>
      <c r="AA151" s="352">
        <v>0</v>
      </c>
      <c r="AB151" s="354">
        <v>0</v>
      </c>
      <c r="AC151" s="25"/>
      <c r="AD151" s="354">
        <v>0</v>
      </c>
      <c r="AE151" s="355">
        <f t="shared" si="33"/>
        <v>0</v>
      </c>
      <c r="AF151" s="352">
        <v>0</v>
      </c>
      <c r="AG151" s="354">
        <v>0</v>
      </c>
      <c r="AH151" s="25"/>
      <c r="AI151" s="354">
        <v>0</v>
      </c>
      <c r="AJ151" s="356">
        <f t="shared" si="34"/>
        <v>0</v>
      </c>
      <c r="AK151" s="365">
        <v>364847.63</v>
      </c>
      <c r="AL151" s="366">
        <v>0</v>
      </c>
      <c r="AM151" s="366">
        <v>0</v>
      </c>
      <c r="AN151" s="389">
        <v>0</v>
      </c>
      <c r="AO151" s="23">
        <f t="shared" si="29"/>
        <v>6216255.1799999997</v>
      </c>
    </row>
    <row r="152" spans="2:41" ht="27" customHeight="1" x14ac:dyDescent="0.2">
      <c r="B152" s="205"/>
      <c r="C152" s="256">
        <v>2.17</v>
      </c>
      <c r="D152" s="219"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206"/>
      <c r="F152" s="249">
        <f>SUM(F$126+F$128-F$129+F$130-F$131+F$132-F$133+F$135+F$137-F$138+F$140+F$141-F$142-F$144+F$145+F$146+F$147+F$148+F$149)</f>
        <v>120541374.43999998</v>
      </c>
      <c r="G152" s="362" t="s">
        <v>52</v>
      </c>
      <c r="H152" s="362" t="s">
        <v>52</v>
      </c>
      <c r="I152" s="362" t="s">
        <v>52</v>
      </c>
      <c r="J152" s="363" t="s">
        <v>52</v>
      </c>
      <c r="K152" s="249">
        <f>SUM(K$126+K$128-K$129+K$130-K$131+K$132-K$133+K$135+K$137-K$138+$K140+K$141-K$142-K$144+K$145+K$146+K$147+K$148+K$149)</f>
        <v>4499716965.6799984</v>
      </c>
      <c r="L152" s="362" t="s">
        <v>52</v>
      </c>
      <c r="M152" s="362" t="s">
        <v>52</v>
      </c>
      <c r="N152" s="362" t="s">
        <v>52</v>
      </c>
      <c r="O152" s="363" t="s">
        <v>52</v>
      </c>
      <c r="P152" s="249">
        <f>SUM(P$126+P$128-P$129+P$130-P$131+P$132-P$133+P$135+P$137-P$138+P$140+P$141-P$142-P$144+P$145+P$146+P$147+P$148+P$149)</f>
        <v>7615067136.3400011</v>
      </c>
      <c r="Q152" s="362" t="s">
        <v>52</v>
      </c>
      <c r="R152" s="362" t="s">
        <v>52</v>
      </c>
      <c r="S152" s="362" t="s">
        <v>52</v>
      </c>
      <c r="T152" s="363" t="s">
        <v>52</v>
      </c>
      <c r="U152" s="249">
        <f>SUM(U$126+U$128-U$129+U$130-U$131+U$132-U$133+U$135+U$137-U$138+U$140+U$141-U$142-U$144+U$145+U$146+U$147+U$148+U$149)</f>
        <v>412.71</v>
      </c>
      <c r="V152" s="363" t="s">
        <v>52</v>
      </c>
      <c r="W152" s="249">
        <f>SUM(W$126+W$128-W$129+W$130-W$131+W$132-W$133+W$135+W$137-W$138+W$140+W$141-W$142-W$144+W$145+W$146+W$147+W$148+W$149)</f>
        <v>0</v>
      </c>
      <c r="X152" s="363" t="s">
        <v>52</v>
      </c>
      <c r="Y152" s="249">
        <f>SUM(Y$126+Y$128-Y$129+Y$130-Y$131+Y$132-Y$133+Y$135+Y$137-Y$138+Y$140+Y$141-Y$142-Y$144+Y$145+Y$146+Y$147+Y$148+Y$149)</f>
        <v>0</v>
      </c>
      <c r="Z152" s="363" t="s">
        <v>52</v>
      </c>
      <c r="AA152" s="249">
        <f>SUM(AA$126+AA$128-AA$129+AA$130-AA$131+AA$132-AA$133+AA$135+AA$137-AA$138+AA$140+AA$141-AA$142-AA$144+AA$145+AA$146+AA$147+AA$148+AA$149)</f>
        <v>0</v>
      </c>
      <c r="AB152" s="362" t="s">
        <v>52</v>
      </c>
      <c r="AC152" s="362" t="s">
        <v>52</v>
      </c>
      <c r="AD152" s="362" t="s">
        <v>52</v>
      </c>
      <c r="AE152" s="363" t="s">
        <v>52</v>
      </c>
      <c r="AF152" s="249">
        <f>SUM(AF$126+AF$128-AF$129+AF$130-AF$131+AF$132-AF$133+AF$135+AF$137-AF$138+AF$140+AF$141-AF$142-AF$144+AF$145+AF$146+AF$147+AF$148+AF$149)</f>
        <v>170797.49</v>
      </c>
      <c r="AG152" s="362" t="s">
        <v>52</v>
      </c>
      <c r="AH152" s="362" t="s">
        <v>52</v>
      </c>
      <c r="AI152" s="362" t="s">
        <v>52</v>
      </c>
      <c r="AJ152" s="364" t="s">
        <v>52</v>
      </c>
      <c r="AK152" s="249">
        <f>SUM(AK$126+AK$128-AK$129+AK$130-AK$131+AK$132-AK$133+AK$135+AK$137-AK$138+AK$140+AK$141-AK$142-AK$144+AK$145+AK$146+AK$147+AK$148+AK$149)</f>
        <v>10205121792.289999</v>
      </c>
      <c r="AL152" s="249">
        <f>SUM(AL$126+AL$128-AL$129+AL$130-AL$131+AL$132-AL$133+AL$135+AL$137-AL$138+AL$140+AL$141-AL$142-AL$144+AL$145+AL$146+AL$147+AL$148+AL$149)</f>
        <v>6909151745.2599993</v>
      </c>
      <c r="AM152" s="249">
        <f>SUM(AM$126+AM$128-AM$129+AM$130-AM$131+AM$132-AM$133+AM$135+AM$137-AM$138+AM$140+AM$141-AM$142-AM$144+AM$145+AM$146+AM$147+AM$148+AM$149)</f>
        <v>0</v>
      </c>
      <c r="AN152" s="213" t="s">
        <v>52</v>
      </c>
      <c r="AO152" s="23">
        <f t="shared" si="29"/>
        <v>29349770224.209995</v>
      </c>
    </row>
    <row r="153" spans="2:41" ht="25.5" x14ac:dyDescent="0.2">
      <c r="B153" s="205"/>
      <c r="C153" s="256">
        <v>2.1800000000000002</v>
      </c>
      <c r="D153" s="219"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206"/>
      <c r="F153" s="367" t="s">
        <v>52</v>
      </c>
      <c r="G153" s="279">
        <f>SUM(G$127+G$128+G$130+G$132-G$133+G$136+G$137+G$140+G$141-G$144+G$146+G$147+G$148+G$149)</f>
        <v>120313558.14000002</v>
      </c>
      <c r="H153" s="279">
        <f>SUM(H$127+H$128+H$130+H$132+H$136+H$137+H$140+H$141-H$144+H$146+H$147+H$148+H$149)</f>
        <v>0</v>
      </c>
      <c r="I153" s="279">
        <f>SUM(I$127+I$128+I$130+I$132+I$136+I$137+I$140+I$141-I$144+I$146+I$147+I$148+I$149)</f>
        <v>0</v>
      </c>
      <c r="J153" s="390">
        <f>SUM(J$127+J$128+J$130+J$132-J$133+J$136+J$137+J$140+J$141-J$144+J$146+J$147+J$148+J$149)</f>
        <v>120313558.14000002</v>
      </c>
      <c r="K153" s="367" t="s">
        <v>52</v>
      </c>
      <c r="L153" s="279">
        <f>SUM(L$127+L$128+L$130+L$132-L$133+L$136+L$137+L$140+L$141-L$144+L$146+L$147+L$148+L$149)</f>
        <v>4559125154.3300009</v>
      </c>
      <c r="M153" s="279">
        <f>SUM(M$127+M$128+M$130+M$132+M$136+M$137+M$140+M$141-M$144+M$146+M$147+M$148+M$149)</f>
        <v>0</v>
      </c>
      <c r="N153" s="279">
        <f>SUM(N$127+N$128+N$130+N$132+N$136+N$137+N$140+N$141-N$144+N$146+N$147+N$148+N$149)</f>
        <v>0</v>
      </c>
      <c r="O153" s="390">
        <f>SUM(O$127+O$128+O$130+O$132-O$133+O$136+O$137+O$140+O$141-O$144+O$146+O$147+O$148+O$149)</f>
        <v>4559125154.3300009</v>
      </c>
      <c r="P153" s="367" t="s">
        <v>52</v>
      </c>
      <c r="Q153" s="279">
        <f>SUM(Q$127+Q$128+Q$130+Q$132-Q$133+Q$136+Q$137+Q$140+Q$141-Q$144+Q$146+Q$147+Q$148+Q$149)</f>
        <v>7681993597.7000008</v>
      </c>
      <c r="R153" s="279">
        <f>SUM(R$127+R$128+R$130+R$132+R$136+R$137+R$140+R$141-R$144+R$146+R$147+R$148+R$149)</f>
        <v>0</v>
      </c>
      <c r="S153" s="279">
        <f>SUM(S$127+S$128+S$130+S$132+S$136+S$137+S$140+S$141-S$144+S$146+S$147+S$148+S$149)</f>
        <v>0</v>
      </c>
      <c r="T153" s="390">
        <f>SUM(T$127+T$128+T$130+T$132-T$133+T$136+T$137+T$140+T$141-T$144+T$146+T$147+T$148+T$149)</f>
        <v>7681993597.7000008</v>
      </c>
      <c r="U153" s="367" t="s">
        <v>52</v>
      </c>
      <c r="V153" s="390">
        <f>SUM(V$127+V$128+V$130+V$132-V$133+V$136+V$137+V$140+V$141-V$144+V$146+V$147+V$148+V$149)</f>
        <v>412.71</v>
      </c>
      <c r="W153" s="367" t="s">
        <v>52</v>
      </c>
      <c r="X153" s="390">
        <f>SUM(X$127+X$128+X$130+X$132-X$133+X$136+X$137+X$140+X$141-X$144+X$146+X$147+X$148+X$149)</f>
        <v>0</v>
      </c>
      <c r="Y153" s="367" t="s">
        <v>52</v>
      </c>
      <c r="Z153" s="390">
        <f>SUM(Z$127+Z$128+Z$130+Z$132-Z$133+Z$136+Z$137+Z$140+Z$141-Z$144+Z$146+Z$147+Z$148+Z$149)</f>
        <v>0</v>
      </c>
      <c r="AA153" s="367" t="s">
        <v>52</v>
      </c>
      <c r="AB153" s="279">
        <f>SUM(AB$127+AB$128+AB$130+AB$132-AB$133+AB$136+AB$137+AB$140+AB$141-AB$144+AB$146+AB$147+AB$148+AB$149)</f>
        <v>0</v>
      </c>
      <c r="AC153" s="279">
        <f>SUM(AC$127+AC$128+AC$130+AC$132+AC$136+AC$137+AC$140+AC$141-AC$144+AC$146+AC$147+AC$148+AC$149)</f>
        <v>0</v>
      </c>
      <c r="AD153" s="279">
        <f>SUM(AD$127+AD$128+AD$130+AD$132+AD$136+AD$137+AD$140+AD$141-AD$144+AD$146+AD$147+AD$148+AD$149)</f>
        <v>0</v>
      </c>
      <c r="AE153" s="390">
        <f>SUM(AE$127+AE$128+AE$130+AE$132-AE$133+AE$136+AE$137+AE$140+AE$141-AE$144+AE$146+AE$147+AE$148+AE$149)</f>
        <v>0</v>
      </c>
      <c r="AF153" s="367" t="s">
        <v>52</v>
      </c>
      <c r="AG153" s="279">
        <f>SUM(AG$127+AG$128+AG$130+AG$132-AG$133+AG$136+AG$137+AG$140+AG$141-AG$144+AG$146+AG$147+AG$148+AG$149)</f>
        <v>148725.4</v>
      </c>
      <c r="AH153" s="279">
        <f>SUM(AH$127+AH$128+AH$130+AH$132+AH$136+AH$137+AH$140+AH$141-AH$144+AH$146+AH$147+AH$148+AH$149)</f>
        <v>0</v>
      </c>
      <c r="AI153" s="279">
        <f>SUM(AI$127+AI$128+AI$130+AI$132+AI$136+AI$137+AI$140+AI$141-AI$144+AI$146+AI$147+AI$148+AI$149)</f>
        <v>0</v>
      </c>
      <c r="AJ153" s="391">
        <f>SUM(AJ$127+AJ$128+AJ$130+AJ$132-AJ$133+AJ$136+AJ$137+AJ$140+AJ$141-AJ$144+AJ$146+AJ$147+AJ$148+AJ$149)</f>
        <v>148725.4</v>
      </c>
      <c r="AK153" s="367" t="s">
        <v>52</v>
      </c>
      <c r="AL153" s="370" t="s">
        <v>52</v>
      </c>
      <c r="AM153" s="370" t="s">
        <v>52</v>
      </c>
      <c r="AN153" s="213" t="s">
        <v>52</v>
      </c>
      <c r="AO153" s="23"/>
    </row>
    <row r="154" spans="2:41" ht="13.5" thickBot="1" x14ac:dyDescent="0.25">
      <c r="B154" s="374"/>
      <c r="C154" s="280"/>
      <c r="D154" s="392"/>
      <c r="E154" s="230"/>
      <c r="F154" s="393"/>
      <c r="G154" s="394"/>
      <c r="H154" s="395"/>
      <c r="I154" s="395"/>
      <c r="J154" s="396"/>
      <c r="K154" s="393"/>
      <c r="L154" s="394"/>
      <c r="M154" s="395"/>
      <c r="N154" s="395"/>
      <c r="O154" s="396"/>
      <c r="P154" s="393"/>
      <c r="Q154" s="394"/>
      <c r="R154" s="395"/>
      <c r="S154" s="395"/>
      <c r="T154" s="396"/>
      <c r="U154" s="393"/>
      <c r="V154" s="396"/>
      <c r="W154" s="393"/>
      <c r="X154" s="396"/>
      <c r="Y154" s="393"/>
      <c r="Z154" s="396"/>
      <c r="AA154" s="393"/>
      <c r="AB154" s="394"/>
      <c r="AC154" s="395"/>
      <c r="AD154" s="395"/>
      <c r="AE154" s="396"/>
      <c r="AF154" s="393"/>
      <c r="AG154" s="394"/>
      <c r="AH154" s="395"/>
      <c r="AI154" s="395"/>
      <c r="AJ154" s="397"/>
      <c r="AK154" s="398"/>
      <c r="AL154" s="399"/>
      <c r="AM154" s="399"/>
      <c r="AN154" s="400"/>
      <c r="AO154" s="401"/>
    </row>
    <row r="156" spans="2:41" x14ac:dyDescent="0.2">
      <c r="B156" s="402" t="s">
        <v>148</v>
      </c>
      <c r="C156" s="402"/>
      <c r="D156" s="402"/>
      <c r="AN156" s="403" t="s">
        <v>211</v>
      </c>
      <c r="AO156" s="404">
        <v>41022.520833333336</v>
      </c>
    </row>
    <row r="157" spans="2:41" x14ac:dyDescent="0.2">
      <c r="B157" s="402"/>
      <c r="C157" s="405" t="s">
        <v>149</v>
      </c>
      <c r="D157" s="405"/>
    </row>
    <row r="158" spans="2:41" x14ac:dyDescent="0.2">
      <c r="B158" s="402"/>
      <c r="C158" s="402" t="s">
        <v>150</v>
      </c>
      <c r="D158" s="402"/>
    </row>
    <row r="159" spans="2:41" x14ac:dyDescent="0.2">
      <c r="B159" s="402"/>
      <c r="C159" s="402" t="s">
        <v>151</v>
      </c>
      <c r="D159" s="402"/>
    </row>
    <row r="160" spans="2:41" x14ac:dyDescent="0.2">
      <c r="B160" s="402"/>
      <c r="C160" s="402" t="s">
        <v>152</v>
      </c>
      <c r="D160" s="402"/>
    </row>
  </sheetData>
  <sheetProtection password="D429" sheet="1" objects="1" scenarios="1"/>
  <mergeCells count="48">
    <mergeCell ref="B105:D106"/>
    <mergeCell ref="E105:E106"/>
    <mergeCell ref="C157:D157"/>
    <mergeCell ref="AN103:AN104"/>
    <mergeCell ref="AO103:AO105"/>
    <mergeCell ref="F104:J104"/>
    <mergeCell ref="K104:O104"/>
    <mergeCell ref="P104:T104"/>
    <mergeCell ref="U104:V104"/>
    <mergeCell ref="W104:X104"/>
    <mergeCell ref="Y104:Z104"/>
    <mergeCell ref="AA104:AE104"/>
    <mergeCell ref="AF104:AJ104"/>
    <mergeCell ref="F103:T103"/>
    <mergeCell ref="U103:Z103"/>
    <mergeCell ref="AA103:AJ103"/>
    <mergeCell ref="AK103:AK104"/>
    <mergeCell ref="AL103:AL104"/>
    <mergeCell ref="AM103:AM104"/>
    <mergeCell ref="Y16:Z16"/>
    <mergeCell ref="AA16:AE16"/>
    <mergeCell ref="AF16:AJ16"/>
    <mergeCell ref="B17:D18"/>
    <mergeCell ref="E17:E18"/>
    <mergeCell ref="C85:D85"/>
    <mergeCell ref="AK15:AK16"/>
    <mergeCell ref="AL15:AL16"/>
    <mergeCell ref="AM15:AM16"/>
    <mergeCell ref="AN15:AN16"/>
    <mergeCell ref="AO15:AO17"/>
    <mergeCell ref="F16:J16"/>
    <mergeCell ref="K16:O16"/>
    <mergeCell ref="P16:T16"/>
    <mergeCell ref="U16:V16"/>
    <mergeCell ref="W16:X16"/>
    <mergeCell ref="F12:G12"/>
    <mergeCell ref="I12:J12"/>
    <mergeCell ref="L12:M12"/>
    <mergeCell ref="F15:T15"/>
    <mergeCell ref="U15:Z15"/>
    <mergeCell ref="AA15:AJ15"/>
    <mergeCell ref="F6:G6"/>
    <mergeCell ref="F8:G8"/>
    <mergeCell ref="I8:J8"/>
    <mergeCell ref="L8:M8"/>
    <mergeCell ref="F10:G10"/>
    <mergeCell ref="I10:J10"/>
    <mergeCell ref="L10:M10"/>
  </mergeCells>
  <conditionalFormatting sqref="F21:F22 F24:F26 AK24:AM26 K21:K22 K24:K26 M21:N22 P21:P22 P24:P26 R21:S22 U21:U22 U24:U26 W21:W22 W24:W26 Y21:Y22 AA21:AA22 Y24:Y26 AA24:AA26 AC21:AD22 AF21:AF22 AH21:AI22 AF24:AF26 AK21:AM22 H22:I22 F31:F39 G31:G33 K31:K39 L31:L33 P31:P39 Q31:Q33 U31:AB33 U34:U39 W34:W39 Y34:Y39 AA34:AA39 AF31:AF39 AG31:AG33 AK31:AM39 F43 F45:F48 H43:I43 H45:I48 K43 M43:N43 K45:K48 M45:N48 P43 P45:P48 R43:S43 R45:S48 U43 U45:U48 W43 W45:W48 Y43 Y45:Y48 AA43 AA45:AA48 AC43:AD43 AC45:AD48 AF43 AH43:AI43 AF45:AF48 AH45:AI48 AK43:AN43 AK45:AN48 F62:F63 F65:F68 F70 H62:I63 H65:I68 K62:K63 K65:K68 K70 M62:N63 M65:N68 P62:P63 P65:P68 P70 R62:S63 R65:S68 U62:U63 W62:W63 U65:U68 U70 W70 W65:W68 Y62:Y63 Y65:Y68 Y70 AA62:AA63 AA65:AA68 AA70 AC62:AD63 AC65:AD68 AF62:AF63 AF65:AF68 AF70 AH62:AI63 AH65:AI68 AK62:AN63 AK65:AN68 AK70:AN70 AO74:AO75 AN73 AK78:AN81 AH78:AI81 AF78:AF81 AC78:AD81 AA78:AA81 Y78:Y81 W78:W81 U78:U79 U81 R78:S81 P78:P81 M78:N81 K78:K81 H78:I79 H81:I81 F81 F78:F79 F108:F110 F113 H108:I110 G114:I115 F115:F116 F118:F119 H118:I119 F121:F122 H121:I122 F126 G127:I128 F128:F133 G130:I130 H132:I132 F135 G136:I137 F137:F138 F140:I141 F142 F144:F148 G146:I148 G144:I144 F150:I151 K108:K110 M108:N110 K113 L114:N115 K115:K116 K118:K119 M118:N119 K121:K122 M121:N122 K126 L127:N128 K128:K133 L130:N130 M132:N132 L136:N137 K137:K138 K140:N141 K142 K144:N144 K145 K146:N148 K150:N151 P150:S151 P146:S148 P144:S144 P145 P142 P140:S141 Q136:S137 P137:P138 P128:P133 Q127:S128 Q130:S130 R132:S132 P121:P122 R121:S122 R118:S119 P118:P119 P115:P116 Q114:S115 R108:S110 P108:P110 P113 U108:U110 W108:W110 Y108:Y110 Y113 W113 U113 V114:V115 U115:U116 U118:U119 U121:U122 W121:W122 W118:W119 W115:W116 X114:X115 Z114:Z115 Y115:Y116 Y118:Y119 Y121:Y122 U126 W126 Y126 Z127:Z128 Z130 Z136:Z137 Z140:Z141 Z144 Y144:Y148 Y140:Y142 Y137:Y138 Y135 Y128:Y133 X127:X128 X130 X136:X137 X140:X141 X144 X146:X148 U146:V148 W144:W148 W140:W142 W137:W138 W135 W128:W133 V127:V128 V130 U128:U133 U135 V136:V137 U137:U138 U140:V141 U142 U144:U145 V144 AA108:AA110 AC108:AD110 AF108:AF110 AH108:AI110 AK108:AM110 AK113:AM113 AK115:AM116 AK118:AM119 AK121:AM122 AK126:AM126 AK128:AM133 AK135:AM135 AK137:AM138 AK140:AM142 AK144:AM148 AK150:AN151 Z146:AD148 U150:AD151 AF146:AI148 AF150:AI151 AA113 AA115:AA116 AA118:AA119 AA121:AA122 AA126 AA128:AA133 AA135 AA137:AA138 AA140:AA142 AA144:AA145 AB144:AD144 AF144:AI144 AF145 AF140:AI141 AF142 AF137:AF138 AG136:AI137 AF135 AB136:AD137 AC132:AD132 AB130:AD130 AB127:AD128 AC121:AD122 AC118:AD119 AB114:AD115 AF113 AG114:AI115 AF115:AF116 AF118:AF119 AF121:AF122 AH118:AI119 AH121:AI122 AF126 AG127:AI128 AF128:AF133 AG130:AI130 AH132:AI132">
    <cfRule type="cellIs" dxfId="3" priority="1" stopIfTrue="1" operator="lessThan">
      <formula>0</formula>
    </cfRule>
  </conditionalFormatting>
  <dataValidations count="16">
    <dataValidation type="list" allowBlank="1" showErrorMessage="1" promptTitle="Optional" prompt="This field is only accessible when &quot;Business in State of&quot; selection = Massachusetts." sqref="L8:M8">
      <formula1>YES_NO_LIST</formula1>
    </dataValidation>
    <dataValidation type="custom" allowBlank="1" showInputMessage="1" showErrorMessage="1" errorTitle="Invalid Entry" error="Accepts only a value with up to 10T." sqref="AH81">
      <formula1>" =AND(ISNUMBER(AH81),IF((AH81&gt;10000000000000),FALSE,TRUE),IF(LEN(AH81)-LEN(INT(AH81))&lt;&gt;0,FALSE,TRUE))"</formula1>
    </dataValidation>
    <dataValidation type="list" allowBlank="1" showErrorMessage="1" prompt="_x000a_" sqref="I10:J10">
      <formula1>BUSINESS_STATE_LIST</formula1>
    </dataValidation>
    <dataValidation type="custom" allowBlank="1" showInputMessage="1" showErrorMessage="1" errorTitle="Invalid Entry" error="Accepts only a value with up to 10T." sqref="F78:F79 AK78:AN81 AH78:AI80 AF78:AF81 AC78:AD81 AA78:AA81 Y78:Y81 W78:W81 U81 U78:U79 R78:S81 P78:P81 M78:N81 K78:K81 H81:I81 H78:I79 F81 AI81">
      <formula1>AND(ISNUMBER(F78),IF((F78&gt;10000000000000),FALSE,TRUE),IF(LEN(F78)-LEN(INT(F78))&lt;&gt;0,FALSE,TRUE))</formula1>
    </dataValidation>
    <dataValidation type="custom" allowBlank="1" showInputMessage="1" showErrorMessage="1" errorTitle="Invalid  Entry" error="Accepts only a dollar value with up to 15 decimals and up to 10T." sqref="W24:W26">
      <formula1>AND(ISNUMBER(W24),IF((W24&gt;10000000000000),FALSE,TRUE),IF((LEN(W24)-LEN(INT(W24))-1)&lt;=15,TRUE,FALSE))</formula1>
    </dataValidation>
    <dataValidation type="custom" allowBlank="1" showInputMessage="1" showErrorMessage="1" errorTitle="Invalid Entry" error="Accepts only a dollar value with up to 15 decimals and up to 10T." sqref="AK70:AN70 X114:X115 Y115:Y116 Z114:Z115 Y121:Y122 Y118:Y119 W121:W122 W118:W119 W115:W116 V114:V115 U115:U116 U118:U119 U121:U122 U126 V130 V127:V128 W126 X127:X128 X130 Z130 Z127:Z128 Y128:Y133 W128:W133 U128:U133 U135 W135 Y135 Z136 Y138 X136 W138 V136 U138 U137:Z137 Y142 W142 U145 W145 Y145 U144:AD144 U142 U140:AD141 U146:AD148 U150:AD151 AA145 AA142 AA137:AA138 AB136:AD137 AA135 AC132:AD132 AB130:AD130 AA128:AA133 AB127:AD128 AA126 AC121:AD122 AA121:AA122 AA118:AA119 AC118:AD119 AA115:AA116 AB114:AD115 AF115:AF116 AG114:AI115 AH118:AI119 AF118:AF119 AF121:AF122 AH121:AI122 AF126 AG127:AI128 AH132:AI132 AG130:AI130 AF128:AF133 AF135 AF137:AF138 AG136:AI137 AG140:AI141 AF140:AF142 AF144:AI144 AF145 AF146:AI148 AF150:AI151 AK150:AN151 AK144:AM148 AK140:AM142 AK137:AM138 AK135:AM135 AK128:AM133 AK126:AM126 AK121:AM122 AK118:AM119 AK115:AM116 AK113:AM113 AF113 AA113 Y113 W113 U113 AK108:AM110 AH108:AI110 AF108:AF110 AC108:AD110 AA108:AA110 Y108:Y110 W108:W110 U108:U110 R108:S110 P108:P110 P118:P119 P115:P116 Q114:S115 R118:S119 R121:S122 P121:P122 P126 Q130:S130 P128:P133 Q127:S128 R132:S132 P135 Q136:S137 P137:P138 P142 P140:S141 P144:S144 P145 P146:S148 P150:S151 K150:N151 L144:N144 L146:N148 K144:K148 K142 K140:N141 K137:K138 L136:N137 K135 M132:N132 L130:N130 K128:K133 L127:N128 K126 M121:N122 K121:K122 M118:N119 K118:K119 K115:K116 L114:N115 K113 M108:N110 K108:K110 F150:I151 G144:I144 G146:I148 F144:F148 G140:I141 F140:F142 F137:F138 G136:I137 F135 H132:I132 G130:I130 F128:F133 G127:I128 F126 H121:I122 F121:F122 F118:F119 H118:I119 F115:F116 G114:I115 F113 H108:I110 F108:F110 H21:I22 AB49:AE49 Z49 X49 V49 Q49:T49 L49:O49 G49:J49 AK65:AN68 AK62:AN63 AH62:AI63 AH65:AI68 AF70 AF65:AF68 AF62:AF63 AC65:AD68 AC62:AD63 AA70 AA65:AA68 AA62:AA63 Y62:Y63 Y65:Y68 Y70 W70 W65:W68 W62:W63 U70 U65:U68 U62:U63 R65:S68 R62:S63 P70 P65:P68 P62:P63 M65:N68 M62:N63 K70 K65:K68 K62:K63 F70 H65:I68 H62:I63 F65:F68 F62:F63 AG31:AG33 AF31:AF39 Y34:Y39 AO74:AO75 AN73 AK45:AN48 AK43:AN43 AH45:AI48 AH43:AI43 AF45:AF49 AF43 AC43:AD43 AC45:AD48 AA45:AA49 AA43 Y45:Y49 Y43 W45:W49 U45:U49 W43 U43 R45:S48 R43:S43 P45:P49 P43 M45:N48 M43:N43 K45:K49 K43 H45:I48 H43:I43 F45:F49 F43 AK31:AM39 W34:W39 AA34:AA39 V31:AB33 U31:U39 L31:L33 K31:K39 G31:G33 F31:F39 F21:F22 AK21:AM22 AH21:AI22 AF24:AF26 AF21:AF22 AC21:AD22 AA24:AA26 AA21:AA22 Y24:Y26 Y21:Y22 W21:W22 U24:U26 U21:U22 R21:S22 P24:P26 P21:P22 M21:N22 K24:K26 K21:K22 AK24:AM26 AG49:AN49 F24:F26 P31:Q33 P34:P39 Q68 T68 P113 Y126 AB68 AE68 AG68 AJ68 Z68 X68 V68 O68 L68">
      <formula1>AND(ISNUMBER(F21),IF((F21&gt;10000000000000),FALSE,TRUE),IF((LEN(F21)-LEN(INT(F21))-1)&lt;=15,TRUE,FALSE))</formula1>
    </dataValidation>
    <dataValidation type="custom" allowBlank="1" showInputMessage="1" showErrorMessage="1" errorTitle="Invalid Entry" error="The maximum field size is 100 characters. Cannot accept special characters &lt;&gt;;" sqref="D10">
      <formula1>AND(IF((LEN(D10)&gt;250),FALSE,TRUE),IF(ISERROR(FIND("&lt;",D10,1)),TRUE,FALSE),IF(ISERROR(FIND("&gt;",D10,1)),TRUE,FALSE),IF(ISERROR(FIND(";",D10,1)),TRUE,FALSE))</formula1>
    </dataValidation>
    <dataValidation type="list" allowBlank="1" showErrorMessage="1" prompt="MLR Reporting Year field is required." sqref="L12:M12">
      <formula1>YEARS_LIST</formula1>
    </dataValidation>
    <dataValidation type="custom" allowBlank="1" showInputMessage="1" showErrorMessage="1" errorTitle="Invalid Entry" error="The maximum field size is 20 characters.  Cannot accept special characters &lt;&gt;;" sqref="I8:J8">
      <formula1>AND(IF((LEN(I8)&gt;8),FALSE,TRUE),IF(ISERROR(FIND("&lt;",I8,1)),TRUE,FALSE),IF(ISERROR(FIND("&gt;",I8,1)),TRUE,FALSE),IF(ISERROR(FIND(";",I8,1)),TRUE,FALSE))</formula1>
    </dataValidation>
    <dataValidation type="custom" allowBlank="1" showInputMessage="1" showErrorMessage="1" errorTitle="Invalid Entry" error="The maximum field size is 5 characters. Cannot accept special characters &lt;&gt;;" sqref="F12:G12 F10:G10">
      <formula1>AND(IF((LEN(F10)&gt;5),FALSE,TRUE),IF(ISERROR(FIND("&lt;",F10,1)),TRUE,FALSE),IF(ISERROR(FIND("&gt;",F10,1)),TRUE,FALSE),IF(ISERROR(FIND(";",F10,1)),TRUE,FALSE))</formula1>
    </dataValidation>
    <dataValidation type="custom" allowBlank="1" showInputMessage="1" showErrorMessage="1" errorTitle="Invalid Entry" error="The maximum  field size is 6 characters. Cannot accept special characters &lt;&gt;;" sqref="F8:G8">
      <formula1>AND(IF((LEN(F8)&gt;6),FALSE,TRUE),IF(ISERROR(FIND("&lt;",F8,1)),TRUE,FALSE),IF(ISERROR(FIND("&gt;",F8,1)),TRUE,FALSE),IF(ISERROR(FIND(";",F8,1)),TRUE,FALSE))</formula1>
    </dataValidation>
    <dataValidation type="custom" allowBlank="1" showInputMessage="1" showErrorMessage="1" errorTitle="Invalid Entry" error="The maximum field size is 10 characters. Cannot accept special characters &lt;&gt;;" sqref="F6:G6">
      <formula1>AND(IF((LEN(F6)&gt;10),FALSE,TRUE),IF(ISERROR(FIND("&lt;",F6,1)),TRUE,FALSE),IF(ISERROR(FIND("&gt;",F6,1)),TRUE,FALSE),IF(ISERROR(FIND(";",F6,1)),TRUE,FALSE))</formula1>
    </dataValidation>
    <dataValidation type="custom" allowBlank="1" showInputMessage="1" showErrorMessage="1" errorTitle="Invalid Entry" error="The maximum  field size is 250 characters. Cannot accept special characters &lt;&gt;;" sqref="D12">
      <formula1>AND(IF((LEN(D12)&gt;250),FALSE,TRUE),IF(ISERROR(FIND("&lt;",D12,1)),TRUE,FALSE),IF(ISERROR(FIND("&gt;",D12,1)),TRUE,FALSE),IF(ISERROR(FIND(";",D12,1)),TRUE,FALSE))</formula1>
    </dataValidation>
    <dataValidation type="custom" allowBlank="1" showInputMessage="1" showErrorMessage="1" errorTitle="Invalid Entry" error="The maximum  field size is 100 characters. Cannot accept special characters &lt;&gt;;" sqref="D8 D6">
      <formula1>AND(IF((LEN(D6)&gt;250),FALSE,TRUE),IF(ISERROR(FIND("&lt;",D6,1)),TRUE,FALSE),IF(ISERROR(FIND("&gt;",D6,1)),TRUE,FALSE),IF(ISERROR(FIND(";",D6,1)),TRUE,FALSE))</formula1>
    </dataValidation>
    <dataValidation type="list" allowBlank="1" showErrorMessage="1" prompt="Not-For-Profit Field is required." sqref="L10:M10">
      <formula1>YES_NO_LIST</formula1>
    </dataValidation>
    <dataValidation type="list" allowBlank="1" showErrorMessage="1" prompt="_x000a_" sqref="I12:J12">
      <formula1>STATES_ONLY_LIST</formula1>
    </dataValidation>
  </dataValidations>
  <pageMargins left="0.2" right="0.2" top="0.35" bottom="0.45" header="0.2" footer="0.2"/>
  <pageSetup paperSize="5" scale="45" fitToWidth="2" fitToHeight="2" pageOrder="overThenDown" orientation="landscape" cellComments="asDisplayed"/>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4"/>
  </sheetPr>
  <dimension ref="B1:N60"/>
  <sheetViews>
    <sheetView zoomScale="85" zoomScaleNormal="85" workbookViewId="0"/>
  </sheetViews>
  <sheetFormatPr defaultRowHeight="12.75" x14ac:dyDescent="0.2"/>
  <cols>
    <col min="1" max="1" width="2.140625" style="29" customWidth="1"/>
    <col min="2" max="2" width="3.5703125" style="29" customWidth="1"/>
    <col min="3" max="3" width="5.42578125" style="29" customWidth="1"/>
    <col min="4" max="4" width="38" style="29" customWidth="1"/>
    <col min="5" max="5" width="5.42578125" style="29" customWidth="1"/>
    <col min="6" max="14" width="19.42578125" style="29" customWidth="1"/>
    <col min="15" max="16384" width="9.140625" style="29"/>
  </cols>
  <sheetData>
    <row r="1" spans="2:14" x14ac:dyDescent="0.2">
      <c r="B1" s="28" t="s">
        <v>0</v>
      </c>
      <c r="C1" s="28"/>
      <c r="F1" s="29" t="s">
        <v>6</v>
      </c>
      <c r="H1" s="28"/>
      <c r="I1" s="29" t="s">
        <v>17</v>
      </c>
      <c r="J1" s="28"/>
    </row>
    <row r="2" spans="2:14" x14ac:dyDescent="0.2">
      <c r="B2" s="28" t="s">
        <v>1</v>
      </c>
      <c r="F2" s="30" t="str">
        <f>'Pt 1 and 2'!F6:G6&amp;""</f>
        <v>362739571</v>
      </c>
      <c r="G2" s="30"/>
      <c r="H2" s="31"/>
      <c r="I2" s="30" t="str">
        <f>'Pt 1 and 2'!D10&amp;""</f>
        <v>UnitedHealthcare Insurance Company</v>
      </c>
      <c r="J2" s="30"/>
    </row>
    <row r="3" spans="2:14" x14ac:dyDescent="0.2">
      <c r="B3" s="28" t="s">
        <v>212</v>
      </c>
      <c r="F3" s="29" t="s">
        <v>10</v>
      </c>
      <c r="H3" s="32"/>
      <c r="I3" s="29" t="s">
        <v>11</v>
      </c>
      <c r="L3" s="8" t="s">
        <v>12</v>
      </c>
      <c r="M3" s="33"/>
      <c r="N3" s="33"/>
    </row>
    <row r="4" spans="2:14" ht="13.5" customHeight="1" x14ac:dyDescent="0.2">
      <c r="F4" s="30" t="str">
        <f>'Pt 1 and 2'!F8:G8&amp;""</f>
        <v>008290</v>
      </c>
      <c r="G4" s="30"/>
      <c r="H4" s="32"/>
      <c r="I4" s="30" t="str">
        <f>'Pt 1 and 2'!I8:J8&amp;""</f>
        <v/>
      </c>
      <c r="J4" s="30"/>
      <c r="L4" s="34" t="str">
        <f>'Pt 1 and 2'!L8:M8&amp;""</f>
        <v>No</v>
      </c>
      <c r="M4" s="34"/>
      <c r="N4" s="33"/>
    </row>
    <row r="5" spans="2:14" s="33" customFormat="1" x14ac:dyDescent="0.2">
      <c r="B5" s="35" t="s">
        <v>5</v>
      </c>
      <c r="C5" s="36"/>
      <c r="F5" s="37" t="s">
        <v>18</v>
      </c>
      <c r="G5" s="37"/>
      <c r="H5" s="37"/>
      <c r="I5" s="8" t="s">
        <v>19</v>
      </c>
      <c r="J5" s="29"/>
      <c r="L5" s="8" t="s">
        <v>20</v>
      </c>
    </row>
    <row r="6" spans="2:14" s="33" customFormat="1" x14ac:dyDescent="0.2">
      <c r="B6" s="38" t="str">
        <f>'Pt 1 and 2'!D6&amp;""</f>
        <v>UnitedHealth Group</v>
      </c>
      <c r="C6" s="38"/>
      <c r="D6" s="38"/>
      <c r="F6" s="34" t="str">
        <f>'Pt 1 and 2'!NAIC_GROUP_CODE&amp;""</f>
        <v>00707</v>
      </c>
      <c r="G6" s="34"/>
      <c r="H6" s="39"/>
      <c r="I6" s="40" t="str">
        <f>'Pt 1 and 2'!I10:J10&amp;""</f>
        <v>Grand Total</v>
      </c>
      <c r="J6" s="40"/>
      <c r="L6" s="34" t="str">
        <f>'Pt 1 and 2'!L10:M10&amp;""</f>
        <v>No</v>
      </c>
      <c r="M6" s="34"/>
    </row>
    <row r="7" spans="2:14" s="33" customFormat="1" x14ac:dyDescent="0.2">
      <c r="B7" s="36" t="s">
        <v>9</v>
      </c>
      <c r="C7" s="36"/>
      <c r="F7" s="37" t="s">
        <v>24</v>
      </c>
      <c r="G7" s="37"/>
      <c r="H7" s="39"/>
      <c r="I7" s="8" t="s">
        <v>25</v>
      </c>
      <c r="J7" s="37"/>
      <c r="L7" s="41" t="s">
        <v>26</v>
      </c>
    </row>
    <row r="8" spans="2:14" s="33" customFormat="1" x14ac:dyDescent="0.2">
      <c r="B8" s="38" t="str">
        <f>'Pt 1 and 2'!D8&amp;""</f>
        <v>UnitedHealthcare Insurance Company</v>
      </c>
      <c r="C8" s="38"/>
      <c r="D8" s="38"/>
      <c r="F8" s="34" t="str">
        <f>'Pt 1 and 2'!NAIC_COMPANY_CODE&amp;""</f>
        <v>79413</v>
      </c>
      <c r="G8" s="34"/>
      <c r="H8" s="39"/>
      <c r="I8" s="40" t="str">
        <f>'Pt 1 and 2'!DOMICILIARY_STATE&amp;""</f>
        <v>Connecticut</v>
      </c>
      <c r="J8" s="40"/>
      <c r="L8" s="42" t="str">
        <f>'Pt 1 and 2'!L12:M12&amp;""</f>
        <v>2011</v>
      </c>
      <c r="M8" s="42"/>
    </row>
    <row r="9" spans="2:14" s="44" customFormat="1" x14ac:dyDescent="0.2">
      <c r="B9" s="8" t="s">
        <v>23</v>
      </c>
      <c r="C9" s="8"/>
      <c r="D9" s="43"/>
      <c r="F9" s="45"/>
      <c r="G9" s="45"/>
      <c r="H9" s="39"/>
      <c r="I9" s="46"/>
      <c r="J9" s="46"/>
      <c r="L9" s="47"/>
      <c r="M9" s="47"/>
    </row>
    <row r="10" spans="2:14" s="44" customFormat="1" x14ac:dyDescent="0.2">
      <c r="B10" s="30" t="str">
        <f>'Pt 1 and 2'!D12&amp;""</f>
        <v>185 Asylum Street Hartford, CT 06103-0450</v>
      </c>
      <c r="C10" s="30"/>
      <c r="D10" s="30"/>
      <c r="F10" s="45"/>
      <c r="G10" s="45"/>
      <c r="H10" s="39"/>
      <c r="I10" s="46"/>
      <c r="J10" s="46"/>
      <c r="L10" s="47"/>
      <c r="M10" s="47"/>
    </row>
    <row r="11" spans="2:14" ht="13.5" thickBot="1" x14ac:dyDescent="0.25">
      <c r="B11" s="48"/>
      <c r="C11" s="48"/>
      <c r="D11" s="48"/>
    </row>
    <row r="12" spans="2:14" s="406" customFormat="1" ht="12.75" customHeight="1" thickBot="1" x14ac:dyDescent="0.25">
      <c r="D12" s="407"/>
      <c r="E12" s="407"/>
      <c r="F12" s="408" t="s">
        <v>213</v>
      </c>
      <c r="G12" s="409"/>
      <c r="H12" s="409"/>
      <c r="I12" s="409"/>
      <c r="J12" s="409"/>
      <c r="K12" s="410" t="s">
        <v>214</v>
      </c>
      <c r="L12" s="411"/>
      <c r="M12" s="157" t="s">
        <v>215</v>
      </c>
      <c r="N12" s="157" t="s">
        <v>216</v>
      </c>
    </row>
    <row r="13" spans="2:14" s="419" customFormat="1" ht="56.25" customHeight="1" x14ac:dyDescent="0.2">
      <c r="B13" s="412" t="s">
        <v>217</v>
      </c>
      <c r="C13" s="413"/>
      <c r="D13" s="413"/>
      <c r="E13" s="414"/>
      <c r="F13" s="415" t="s">
        <v>218</v>
      </c>
      <c r="G13" s="416" t="s">
        <v>101</v>
      </c>
      <c r="H13" s="416" t="s">
        <v>103</v>
      </c>
      <c r="I13" s="416" t="s">
        <v>105</v>
      </c>
      <c r="J13" s="417" t="s">
        <v>219</v>
      </c>
      <c r="K13" s="415" t="s">
        <v>220</v>
      </c>
      <c r="L13" s="417" t="s">
        <v>221</v>
      </c>
      <c r="M13" s="418"/>
      <c r="N13" s="418"/>
    </row>
    <row r="14" spans="2:14" x14ac:dyDescent="0.2">
      <c r="B14" s="420"/>
      <c r="C14" s="421"/>
      <c r="D14" s="421"/>
      <c r="E14" s="422"/>
      <c r="F14" s="423">
        <v>1</v>
      </c>
      <c r="G14" s="424">
        <v>2</v>
      </c>
      <c r="H14" s="424">
        <v>3</v>
      </c>
      <c r="I14" s="424">
        <v>4</v>
      </c>
      <c r="J14" s="425">
        <v>5</v>
      </c>
      <c r="K14" s="423">
        <v>6</v>
      </c>
      <c r="L14" s="425">
        <v>7</v>
      </c>
      <c r="M14" s="426">
        <v>8</v>
      </c>
      <c r="N14" s="426">
        <v>9</v>
      </c>
    </row>
    <row r="15" spans="2:14" s="406" customFormat="1" x14ac:dyDescent="0.2">
      <c r="B15" s="427" t="s">
        <v>49</v>
      </c>
      <c r="C15" s="428" t="s">
        <v>31</v>
      </c>
      <c r="D15" s="429"/>
      <c r="E15" s="430"/>
      <c r="F15" s="431"/>
      <c r="G15" s="432"/>
      <c r="H15" s="432"/>
      <c r="I15" s="432"/>
      <c r="J15" s="433"/>
      <c r="K15" s="431"/>
      <c r="L15" s="434"/>
      <c r="M15" s="435"/>
      <c r="N15" s="435"/>
    </row>
    <row r="16" spans="2:14" s="406" customFormat="1" x14ac:dyDescent="0.2">
      <c r="B16" s="436"/>
      <c r="C16" s="437" t="s">
        <v>222</v>
      </c>
      <c r="D16" s="438" t="s">
        <v>39</v>
      </c>
      <c r="E16" s="439"/>
      <c r="F16" s="440">
        <v>519619.16</v>
      </c>
      <c r="G16" s="441">
        <v>13701.48</v>
      </c>
      <c r="H16" s="441">
        <v>12580.09</v>
      </c>
      <c r="I16" s="441">
        <v>2089.4699999999998</v>
      </c>
      <c r="J16" s="442">
        <v>15019.25</v>
      </c>
      <c r="K16" s="440">
        <v>782672.22</v>
      </c>
      <c r="L16" s="443">
        <v>1344164.76</v>
      </c>
      <c r="M16" s="444">
        <v>14671294.130000001</v>
      </c>
      <c r="N16" s="445">
        <f>SUM(F16:M16)</f>
        <v>17361140.560000002</v>
      </c>
    </row>
    <row r="17" spans="2:14" s="406" customFormat="1" x14ac:dyDescent="0.2">
      <c r="B17" s="436"/>
      <c r="C17" s="437" t="s">
        <v>223</v>
      </c>
      <c r="D17" s="446" t="s">
        <v>224</v>
      </c>
      <c r="E17" s="447"/>
      <c r="F17" s="49"/>
      <c r="G17" s="50"/>
      <c r="H17" s="50"/>
      <c r="I17" s="50"/>
      <c r="J17" s="51"/>
      <c r="K17" s="49"/>
      <c r="L17" s="52"/>
      <c r="M17" s="53"/>
      <c r="N17" s="445">
        <f>SUM(F17:M17)</f>
        <v>0</v>
      </c>
    </row>
    <row r="18" spans="2:14" s="406" customFormat="1" x14ac:dyDescent="0.2">
      <c r="B18" s="436"/>
      <c r="C18" s="437" t="s">
        <v>225</v>
      </c>
      <c r="D18" s="446" t="s">
        <v>226</v>
      </c>
      <c r="E18" s="447"/>
      <c r="F18" s="448">
        <v>0</v>
      </c>
      <c r="G18" s="449">
        <v>0</v>
      </c>
      <c r="H18" s="449">
        <v>0</v>
      </c>
      <c r="I18" s="449">
        <v>0</v>
      </c>
      <c r="J18" s="450">
        <v>0</v>
      </c>
      <c r="K18" s="448">
        <v>0</v>
      </c>
      <c r="L18" s="451">
        <v>0</v>
      </c>
      <c r="M18" s="452">
        <v>0</v>
      </c>
      <c r="N18" s="445">
        <f>SUM(F18:M18)</f>
        <v>0</v>
      </c>
    </row>
    <row r="19" spans="2:14" s="406" customFormat="1" x14ac:dyDescent="0.2">
      <c r="B19" s="436"/>
      <c r="C19" s="437" t="s">
        <v>227</v>
      </c>
      <c r="D19" s="446" t="s">
        <v>228</v>
      </c>
      <c r="E19" s="447"/>
      <c r="F19" s="453">
        <f>SUM(F16+F17-F18)</f>
        <v>519619.16</v>
      </c>
      <c r="G19" s="454">
        <f t="shared" ref="G19:M19" si="0">SUM(G16+G17-G18)</f>
        <v>13701.48</v>
      </c>
      <c r="H19" s="455">
        <f t="shared" si="0"/>
        <v>12580.09</v>
      </c>
      <c r="I19" s="455">
        <f t="shared" si="0"/>
        <v>2089.4699999999998</v>
      </c>
      <c r="J19" s="455">
        <f t="shared" si="0"/>
        <v>15019.25</v>
      </c>
      <c r="K19" s="453">
        <f t="shared" si="0"/>
        <v>782672.22</v>
      </c>
      <c r="L19" s="455">
        <f t="shared" si="0"/>
        <v>1344164.76</v>
      </c>
      <c r="M19" s="453">
        <f t="shared" si="0"/>
        <v>14671294.130000001</v>
      </c>
      <c r="N19" s="445">
        <f>SUM(N16+N17-N18)</f>
        <v>17361140.560000002</v>
      </c>
    </row>
    <row r="20" spans="2:14" s="406" customFormat="1" x14ac:dyDescent="0.2">
      <c r="B20" s="436"/>
      <c r="C20" s="456"/>
      <c r="D20" s="457"/>
      <c r="E20" s="458"/>
      <c r="F20" s="459"/>
      <c r="G20" s="460"/>
      <c r="H20" s="460"/>
      <c r="I20" s="460"/>
      <c r="J20" s="461"/>
      <c r="K20" s="459"/>
      <c r="L20" s="461"/>
      <c r="M20" s="462"/>
      <c r="N20" s="462"/>
    </row>
    <row r="21" spans="2:14" s="406" customFormat="1" x14ac:dyDescent="0.2">
      <c r="B21" s="436"/>
      <c r="C21" s="437" t="s">
        <v>229</v>
      </c>
      <c r="D21" s="438" t="s">
        <v>230</v>
      </c>
      <c r="E21" s="439"/>
      <c r="F21" s="448">
        <v>49229753.810000002</v>
      </c>
      <c r="G21" s="449">
        <v>4697029.51</v>
      </c>
      <c r="H21" s="449">
        <v>3411650.42</v>
      </c>
      <c r="I21" s="449">
        <v>1556477.06</v>
      </c>
      <c r="J21" s="450">
        <v>4597099.22</v>
      </c>
      <c r="K21" s="448">
        <v>30637438.879999999</v>
      </c>
      <c r="L21" s="450">
        <v>67600522.310000002</v>
      </c>
      <c r="M21" s="452">
        <v>737759607.78999996</v>
      </c>
      <c r="N21" s="445">
        <f>SUM(F21:M21)</f>
        <v>899489579</v>
      </c>
    </row>
    <row r="22" spans="2:14" s="406" customFormat="1" x14ac:dyDescent="0.2">
      <c r="B22" s="436"/>
      <c r="C22" s="437" t="s">
        <v>231</v>
      </c>
      <c r="D22" s="446" t="s">
        <v>224</v>
      </c>
      <c r="E22" s="447"/>
      <c r="F22" s="49"/>
      <c r="G22" s="50"/>
      <c r="H22" s="50"/>
      <c r="I22" s="50"/>
      <c r="J22" s="51"/>
      <c r="K22" s="49"/>
      <c r="L22" s="51"/>
      <c r="M22" s="53"/>
      <c r="N22" s="445">
        <f>SUM(F22:M22)</f>
        <v>0</v>
      </c>
    </row>
    <row r="23" spans="2:14" s="406" customFormat="1" x14ac:dyDescent="0.2">
      <c r="B23" s="436"/>
      <c r="C23" s="437" t="s">
        <v>232</v>
      </c>
      <c r="D23" s="446" t="s">
        <v>226</v>
      </c>
      <c r="E23" s="447"/>
      <c r="F23" s="448">
        <v>0</v>
      </c>
      <c r="G23" s="449">
        <v>0</v>
      </c>
      <c r="H23" s="449">
        <v>0</v>
      </c>
      <c r="I23" s="449">
        <v>0</v>
      </c>
      <c r="J23" s="450">
        <v>0</v>
      </c>
      <c r="K23" s="448">
        <v>0</v>
      </c>
      <c r="L23" s="450">
        <v>0</v>
      </c>
      <c r="M23" s="452">
        <v>0</v>
      </c>
      <c r="N23" s="445">
        <f>SUM(F23:M23)</f>
        <v>0</v>
      </c>
    </row>
    <row r="24" spans="2:14" s="406" customFormat="1" x14ac:dyDescent="0.2">
      <c r="B24" s="436"/>
      <c r="C24" s="437" t="s">
        <v>233</v>
      </c>
      <c r="D24" s="446" t="s">
        <v>228</v>
      </c>
      <c r="E24" s="447"/>
      <c r="F24" s="453">
        <f t="shared" ref="F24:N24" si="1">SUM(F21+F22-F23)</f>
        <v>49229753.810000002</v>
      </c>
      <c r="G24" s="454">
        <f t="shared" si="1"/>
        <v>4697029.51</v>
      </c>
      <c r="H24" s="454">
        <f t="shared" si="1"/>
        <v>3411650.42</v>
      </c>
      <c r="I24" s="454">
        <f t="shared" si="1"/>
        <v>1556477.06</v>
      </c>
      <c r="J24" s="455">
        <f t="shared" si="1"/>
        <v>4597099.22</v>
      </c>
      <c r="K24" s="453">
        <f t="shared" si="1"/>
        <v>30637438.879999999</v>
      </c>
      <c r="L24" s="455">
        <f t="shared" si="1"/>
        <v>67600522.310000002</v>
      </c>
      <c r="M24" s="453">
        <f t="shared" si="1"/>
        <v>737759607.78999996</v>
      </c>
      <c r="N24" s="445">
        <f t="shared" si="1"/>
        <v>899489579</v>
      </c>
    </row>
    <row r="25" spans="2:14" s="406" customFormat="1" x14ac:dyDescent="0.2">
      <c r="B25" s="436"/>
      <c r="C25" s="456"/>
      <c r="D25" s="457"/>
      <c r="E25" s="458"/>
      <c r="F25" s="459"/>
      <c r="G25" s="463"/>
      <c r="H25" s="463"/>
      <c r="I25" s="463"/>
      <c r="J25" s="461"/>
      <c r="K25" s="459"/>
      <c r="L25" s="461"/>
      <c r="M25" s="462"/>
      <c r="N25" s="462"/>
    </row>
    <row r="26" spans="2:14" s="406" customFormat="1" x14ac:dyDescent="0.2">
      <c r="B26" s="436"/>
      <c r="C26" s="437" t="s">
        <v>234</v>
      </c>
      <c r="D26" s="438" t="s">
        <v>235</v>
      </c>
      <c r="E26" s="439"/>
      <c r="F26" s="448">
        <v>82617978.930000007</v>
      </c>
      <c r="G26" s="464">
        <v>8008921.8799999999</v>
      </c>
      <c r="H26" s="464">
        <v>5622915.5300000003</v>
      </c>
      <c r="I26" s="464">
        <v>23925407.280000001</v>
      </c>
      <c r="J26" s="450">
        <v>9528005.5199999996</v>
      </c>
      <c r="K26" s="448">
        <v>49751679.990000002</v>
      </c>
      <c r="L26" s="450">
        <v>94320707.689999998</v>
      </c>
      <c r="M26" s="452">
        <v>979682125.38</v>
      </c>
      <c r="N26" s="445">
        <f>SUM(F26:M26)</f>
        <v>1253457742.2</v>
      </c>
    </row>
    <row r="27" spans="2:14" s="406" customFormat="1" x14ac:dyDescent="0.2">
      <c r="B27" s="436"/>
      <c r="C27" s="437" t="s">
        <v>236</v>
      </c>
      <c r="D27" s="446" t="s">
        <v>224</v>
      </c>
      <c r="E27" s="447"/>
      <c r="F27" s="49"/>
      <c r="G27" s="54"/>
      <c r="H27" s="54"/>
      <c r="I27" s="54"/>
      <c r="J27" s="51"/>
      <c r="K27" s="49"/>
      <c r="L27" s="51"/>
      <c r="M27" s="53"/>
      <c r="N27" s="445">
        <f>SUM(F27:M27)</f>
        <v>0</v>
      </c>
    </row>
    <row r="28" spans="2:14" s="406" customFormat="1" x14ac:dyDescent="0.2">
      <c r="B28" s="436"/>
      <c r="C28" s="437" t="s">
        <v>237</v>
      </c>
      <c r="D28" s="446" t="s">
        <v>226</v>
      </c>
      <c r="E28" s="447"/>
      <c r="F28" s="448">
        <v>0</v>
      </c>
      <c r="G28" s="464">
        <v>0</v>
      </c>
      <c r="H28" s="464">
        <v>0</v>
      </c>
      <c r="I28" s="464">
        <v>0</v>
      </c>
      <c r="J28" s="450">
        <v>0</v>
      </c>
      <c r="K28" s="448">
        <v>0</v>
      </c>
      <c r="L28" s="450">
        <v>0</v>
      </c>
      <c r="M28" s="452">
        <v>0</v>
      </c>
      <c r="N28" s="445">
        <f>SUM(F28:M28)</f>
        <v>0</v>
      </c>
    </row>
    <row r="29" spans="2:14" s="406" customFormat="1" x14ac:dyDescent="0.2">
      <c r="B29" s="436"/>
      <c r="C29" s="437" t="s">
        <v>238</v>
      </c>
      <c r="D29" s="446" t="s">
        <v>228</v>
      </c>
      <c r="E29" s="447"/>
      <c r="F29" s="453">
        <f t="shared" ref="F29:N29" si="2">SUM(F26+F27-F28)</f>
        <v>82617978.930000007</v>
      </c>
      <c r="G29" s="454">
        <f t="shared" si="2"/>
        <v>8008921.8799999999</v>
      </c>
      <c r="H29" s="454">
        <f t="shared" si="2"/>
        <v>5622915.5300000003</v>
      </c>
      <c r="I29" s="454">
        <f t="shared" si="2"/>
        <v>23925407.280000001</v>
      </c>
      <c r="J29" s="455">
        <f t="shared" si="2"/>
        <v>9528005.5199999996</v>
      </c>
      <c r="K29" s="453">
        <f t="shared" si="2"/>
        <v>49751679.990000002</v>
      </c>
      <c r="L29" s="455">
        <f t="shared" si="2"/>
        <v>94320707.689999998</v>
      </c>
      <c r="M29" s="453">
        <f t="shared" si="2"/>
        <v>979682125.38</v>
      </c>
      <c r="N29" s="445">
        <f t="shared" si="2"/>
        <v>1253457742.2</v>
      </c>
    </row>
    <row r="30" spans="2:14" s="406" customFormat="1" x14ac:dyDescent="0.2">
      <c r="B30" s="465"/>
      <c r="C30" s="466"/>
      <c r="D30" s="467"/>
      <c r="E30" s="468"/>
      <c r="F30" s="469"/>
      <c r="G30" s="470"/>
      <c r="H30" s="470"/>
      <c r="I30" s="470"/>
      <c r="J30" s="471"/>
      <c r="K30" s="469"/>
      <c r="L30" s="471"/>
      <c r="M30" s="472"/>
      <c r="N30" s="472"/>
    </row>
    <row r="31" spans="2:14" s="406" customFormat="1" x14ac:dyDescent="0.2">
      <c r="B31" s="427" t="s">
        <v>65</v>
      </c>
      <c r="C31" s="428" t="s">
        <v>32</v>
      </c>
      <c r="D31" s="429"/>
      <c r="E31" s="430"/>
      <c r="F31" s="459"/>
      <c r="G31" s="463"/>
      <c r="H31" s="463"/>
      <c r="I31" s="463"/>
      <c r="J31" s="461"/>
      <c r="K31" s="459"/>
      <c r="L31" s="461"/>
      <c r="M31" s="462"/>
      <c r="N31" s="462"/>
    </row>
    <row r="32" spans="2:14" s="406" customFormat="1" x14ac:dyDescent="0.2">
      <c r="B32" s="436"/>
      <c r="C32" s="456">
        <v>2.1</v>
      </c>
      <c r="D32" s="438" t="s">
        <v>39</v>
      </c>
      <c r="E32" s="439"/>
      <c r="F32" s="440">
        <v>0</v>
      </c>
      <c r="G32" s="473">
        <v>0</v>
      </c>
      <c r="H32" s="473">
        <v>0</v>
      </c>
      <c r="I32" s="473">
        <v>0</v>
      </c>
      <c r="J32" s="442">
        <v>0</v>
      </c>
      <c r="K32" s="440">
        <v>0</v>
      </c>
      <c r="L32" s="442">
        <v>0</v>
      </c>
      <c r="M32" s="444">
        <v>0</v>
      </c>
      <c r="N32" s="445">
        <f>SUM(F32:M32)</f>
        <v>0</v>
      </c>
    </row>
    <row r="33" spans="2:14" s="406" customFormat="1" x14ac:dyDescent="0.2">
      <c r="B33" s="436"/>
      <c r="C33" s="456">
        <v>2.2000000000000002</v>
      </c>
      <c r="D33" s="438" t="s">
        <v>230</v>
      </c>
      <c r="E33" s="439"/>
      <c r="F33" s="440">
        <v>0</v>
      </c>
      <c r="G33" s="473">
        <v>0</v>
      </c>
      <c r="H33" s="473">
        <v>0</v>
      </c>
      <c r="I33" s="473">
        <v>0</v>
      </c>
      <c r="J33" s="442">
        <v>0</v>
      </c>
      <c r="K33" s="440">
        <v>0</v>
      </c>
      <c r="L33" s="442">
        <v>0</v>
      </c>
      <c r="M33" s="444">
        <v>0</v>
      </c>
      <c r="N33" s="445">
        <f>SUM(F33:M33)</f>
        <v>0</v>
      </c>
    </row>
    <row r="34" spans="2:14" s="406" customFormat="1" x14ac:dyDescent="0.2">
      <c r="B34" s="436"/>
      <c r="C34" s="456">
        <v>2.2999999999999998</v>
      </c>
      <c r="D34" s="438" t="s">
        <v>235</v>
      </c>
      <c r="E34" s="439"/>
      <c r="F34" s="440">
        <v>0</v>
      </c>
      <c r="G34" s="473">
        <v>0</v>
      </c>
      <c r="H34" s="473">
        <v>0</v>
      </c>
      <c r="I34" s="473">
        <v>0</v>
      </c>
      <c r="J34" s="442">
        <v>0</v>
      </c>
      <c r="K34" s="440">
        <v>0</v>
      </c>
      <c r="L34" s="442">
        <v>0</v>
      </c>
      <c r="M34" s="444">
        <v>0</v>
      </c>
      <c r="N34" s="445">
        <f>SUM(F34:M34)</f>
        <v>0</v>
      </c>
    </row>
    <row r="35" spans="2:14" s="406" customFormat="1" x14ac:dyDescent="0.2">
      <c r="B35" s="465"/>
      <c r="C35" s="466"/>
      <c r="D35" s="467"/>
      <c r="E35" s="468"/>
      <c r="F35" s="469"/>
      <c r="G35" s="470"/>
      <c r="H35" s="470"/>
      <c r="I35" s="470"/>
      <c r="J35" s="471"/>
      <c r="K35" s="469"/>
      <c r="L35" s="471"/>
      <c r="M35" s="472"/>
      <c r="N35" s="472"/>
    </row>
    <row r="36" spans="2:14" s="406" customFormat="1" x14ac:dyDescent="0.2">
      <c r="B36" s="427" t="s">
        <v>86</v>
      </c>
      <c r="C36" s="428" t="s">
        <v>33</v>
      </c>
      <c r="D36" s="429"/>
      <c r="E36" s="430"/>
      <c r="F36" s="459"/>
      <c r="G36" s="463"/>
      <c r="H36" s="463"/>
      <c r="I36" s="463"/>
      <c r="J36" s="461"/>
      <c r="K36" s="459"/>
      <c r="L36" s="461"/>
      <c r="M36" s="462"/>
      <c r="N36" s="462"/>
    </row>
    <row r="37" spans="2:14" s="406" customFormat="1" x14ac:dyDescent="0.2">
      <c r="B37" s="436"/>
      <c r="C37" s="437" t="s">
        <v>239</v>
      </c>
      <c r="D37" s="438" t="s">
        <v>230</v>
      </c>
      <c r="E37" s="439"/>
      <c r="F37" s="448">
        <v>0</v>
      </c>
      <c r="G37" s="464">
        <v>0</v>
      </c>
      <c r="H37" s="464">
        <v>0</v>
      </c>
      <c r="I37" s="464">
        <v>0</v>
      </c>
      <c r="J37" s="450">
        <v>0</v>
      </c>
      <c r="K37" s="448">
        <v>0</v>
      </c>
      <c r="L37" s="450">
        <v>0</v>
      </c>
      <c r="M37" s="452">
        <v>0</v>
      </c>
      <c r="N37" s="445">
        <f>SUM(F37:M37)</f>
        <v>0</v>
      </c>
    </row>
    <row r="38" spans="2:14" s="406" customFormat="1" x14ac:dyDescent="0.2">
      <c r="B38" s="436"/>
      <c r="C38" s="437" t="s">
        <v>240</v>
      </c>
      <c r="D38" s="446" t="s">
        <v>224</v>
      </c>
      <c r="E38" s="447"/>
      <c r="F38" s="49"/>
      <c r="G38" s="54"/>
      <c r="H38" s="54"/>
      <c r="I38" s="54"/>
      <c r="J38" s="51"/>
      <c r="K38" s="49"/>
      <c r="L38" s="51"/>
      <c r="M38" s="53"/>
      <c r="N38" s="445">
        <f>SUM(F38:M38)</f>
        <v>0</v>
      </c>
    </row>
    <row r="39" spans="2:14" s="406" customFormat="1" x14ac:dyDescent="0.2">
      <c r="B39" s="436"/>
      <c r="C39" s="437" t="s">
        <v>241</v>
      </c>
      <c r="D39" s="446" t="s">
        <v>226</v>
      </c>
      <c r="E39" s="447"/>
      <c r="F39" s="448">
        <v>0</v>
      </c>
      <c r="G39" s="464">
        <v>0</v>
      </c>
      <c r="H39" s="464">
        <v>0</v>
      </c>
      <c r="I39" s="464">
        <v>0</v>
      </c>
      <c r="J39" s="450">
        <v>0</v>
      </c>
      <c r="K39" s="448">
        <v>0</v>
      </c>
      <c r="L39" s="450">
        <v>0</v>
      </c>
      <c r="M39" s="452">
        <v>0</v>
      </c>
      <c r="N39" s="445">
        <f>SUM(F39:M39)</f>
        <v>0</v>
      </c>
    </row>
    <row r="40" spans="2:14" s="406" customFormat="1" x14ac:dyDescent="0.2">
      <c r="B40" s="436"/>
      <c r="C40" s="437" t="s">
        <v>242</v>
      </c>
      <c r="D40" s="446" t="s">
        <v>228</v>
      </c>
      <c r="E40" s="447"/>
      <c r="F40" s="453">
        <f t="shared" ref="F40:N40" si="3">SUM(F37+F38-F39)</f>
        <v>0</v>
      </c>
      <c r="G40" s="454">
        <f t="shared" si="3"/>
        <v>0</v>
      </c>
      <c r="H40" s="454">
        <f t="shared" si="3"/>
        <v>0</v>
      </c>
      <c r="I40" s="454">
        <f t="shared" si="3"/>
        <v>0</v>
      </c>
      <c r="J40" s="455">
        <f t="shared" si="3"/>
        <v>0</v>
      </c>
      <c r="K40" s="453">
        <f t="shared" si="3"/>
        <v>0</v>
      </c>
      <c r="L40" s="455">
        <f t="shared" si="3"/>
        <v>0</v>
      </c>
      <c r="M40" s="453">
        <f t="shared" si="3"/>
        <v>0</v>
      </c>
      <c r="N40" s="445">
        <f t="shared" si="3"/>
        <v>0</v>
      </c>
    </row>
    <row r="41" spans="2:14" s="406" customFormat="1" x14ac:dyDescent="0.2">
      <c r="B41" s="436"/>
      <c r="C41" s="437"/>
      <c r="D41" s="457"/>
      <c r="E41" s="458"/>
      <c r="F41" s="459"/>
      <c r="G41" s="463"/>
      <c r="H41" s="463"/>
      <c r="I41" s="463"/>
      <c r="J41" s="461"/>
      <c r="K41" s="459"/>
      <c r="L41" s="461"/>
      <c r="M41" s="462"/>
      <c r="N41" s="462"/>
    </row>
    <row r="42" spans="2:14" s="406" customFormat="1" x14ac:dyDescent="0.2">
      <c r="B42" s="436"/>
      <c r="C42" s="437" t="s">
        <v>243</v>
      </c>
      <c r="D42" s="438" t="s">
        <v>235</v>
      </c>
      <c r="E42" s="439"/>
      <c r="F42" s="448">
        <v>256.11</v>
      </c>
      <c r="G42" s="464">
        <v>72150</v>
      </c>
      <c r="H42" s="464">
        <v>0</v>
      </c>
      <c r="I42" s="464">
        <v>0</v>
      </c>
      <c r="J42" s="450">
        <v>0</v>
      </c>
      <c r="K42" s="448">
        <v>0</v>
      </c>
      <c r="L42" s="450">
        <v>59257.71</v>
      </c>
      <c r="M42" s="452">
        <v>6867085.6799999997</v>
      </c>
      <c r="N42" s="445">
        <f>SUM(F42:M42)</f>
        <v>6998749.5</v>
      </c>
    </row>
    <row r="43" spans="2:14" s="406" customFormat="1" x14ac:dyDescent="0.2">
      <c r="B43" s="436"/>
      <c r="C43" s="437" t="s">
        <v>244</v>
      </c>
      <c r="D43" s="446" t="s">
        <v>224</v>
      </c>
      <c r="E43" s="447"/>
      <c r="F43" s="49"/>
      <c r="G43" s="54"/>
      <c r="H43" s="54"/>
      <c r="I43" s="54"/>
      <c r="J43" s="51"/>
      <c r="K43" s="49"/>
      <c r="L43" s="51"/>
      <c r="M43" s="53"/>
      <c r="N43" s="445">
        <f>SUM(F43:M43)</f>
        <v>0</v>
      </c>
    </row>
    <row r="44" spans="2:14" s="406" customFormat="1" x14ac:dyDescent="0.2">
      <c r="B44" s="436"/>
      <c r="C44" s="437" t="s">
        <v>245</v>
      </c>
      <c r="D44" s="446" t="s">
        <v>226</v>
      </c>
      <c r="E44" s="447"/>
      <c r="F44" s="448">
        <v>0</v>
      </c>
      <c r="G44" s="464">
        <v>0</v>
      </c>
      <c r="H44" s="464">
        <v>0</v>
      </c>
      <c r="I44" s="464">
        <v>0</v>
      </c>
      <c r="J44" s="450">
        <v>0</v>
      </c>
      <c r="K44" s="448">
        <v>0</v>
      </c>
      <c r="L44" s="450">
        <v>0</v>
      </c>
      <c r="M44" s="452">
        <v>0</v>
      </c>
      <c r="N44" s="445">
        <f>SUM(F44:M44)</f>
        <v>0</v>
      </c>
    </row>
    <row r="45" spans="2:14" s="406" customFormat="1" x14ac:dyDescent="0.2">
      <c r="B45" s="436"/>
      <c r="C45" s="437" t="s">
        <v>246</v>
      </c>
      <c r="D45" s="446" t="s">
        <v>228</v>
      </c>
      <c r="E45" s="447"/>
      <c r="F45" s="453">
        <f t="shared" ref="F45:N45" si="4">SUM(F42+F43-F44)</f>
        <v>256.11</v>
      </c>
      <c r="G45" s="454">
        <f t="shared" si="4"/>
        <v>72150</v>
      </c>
      <c r="H45" s="454">
        <f t="shared" si="4"/>
        <v>0</v>
      </c>
      <c r="I45" s="454">
        <f t="shared" si="4"/>
        <v>0</v>
      </c>
      <c r="J45" s="455">
        <f t="shared" si="4"/>
        <v>0</v>
      </c>
      <c r="K45" s="453">
        <f t="shared" si="4"/>
        <v>0</v>
      </c>
      <c r="L45" s="455">
        <f t="shared" si="4"/>
        <v>59257.71</v>
      </c>
      <c r="M45" s="453">
        <f t="shared" si="4"/>
        <v>6867085.6799999997</v>
      </c>
      <c r="N45" s="445">
        <f t="shared" si="4"/>
        <v>6998749.5</v>
      </c>
    </row>
    <row r="46" spans="2:14" s="406" customFormat="1" x14ac:dyDescent="0.2">
      <c r="B46" s="465"/>
      <c r="C46" s="466"/>
      <c r="D46" s="467"/>
      <c r="E46" s="468"/>
      <c r="F46" s="469"/>
      <c r="G46" s="470"/>
      <c r="H46" s="470"/>
      <c r="I46" s="470"/>
      <c r="J46" s="471"/>
      <c r="K46" s="469"/>
      <c r="L46" s="471"/>
      <c r="M46" s="472"/>
      <c r="N46" s="472"/>
    </row>
    <row r="47" spans="2:14" s="406" customFormat="1" x14ac:dyDescent="0.2">
      <c r="B47" s="427" t="s">
        <v>97</v>
      </c>
      <c r="C47" s="428" t="s">
        <v>247</v>
      </c>
      <c r="D47" s="429"/>
      <c r="E47" s="430"/>
      <c r="F47" s="459"/>
      <c r="G47" s="463"/>
      <c r="H47" s="463"/>
      <c r="I47" s="463"/>
      <c r="J47" s="461"/>
      <c r="K47" s="459"/>
      <c r="L47" s="461"/>
      <c r="M47" s="462"/>
      <c r="N47" s="462"/>
    </row>
    <row r="48" spans="2:14" s="406" customFormat="1" x14ac:dyDescent="0.2">
      <c r="B48" s="436"/>
      <c r="C48" s="456">
        <v>4.0999999999999996</v>
      </c>
      <c r="D48" s="438" t="s">
        <v>248</v>
      </c>
      <c r="E48" s="439"/>
      <c r="F48" s="440">
        <v>69870960.799999997</v>
      </c>
      <c r="G48" s="473">
        <v>11196110.66</v>
      </c>
      <c r="H48" s="473">
        <v>16908485.09</v>
      </c>
      <c r="I48" s="473">
        <v>12921766.800000001</v>
      </c>
      <c r="J48" s="442">
        <v>39730262.539999999</v>
      </c>
      <c r="K48" s="440">
        <v>219073980.02000001</v>
      </c>
      <c r="L48" s="442">
        <v>314337970.76999998</v>
      </c>
      <c r="M48" s="444">
        <v>859408978.92999995</v>
      </c>
      <c r="N48" s="445">
        <f>SUM(F48:M48)</f>
        <v>1543448515.6099999</v>
      </c>
    </row>
    <row r="49" spans="2:14" s="406" customFormat="1" x14ac:dyDescent="0.2">
      <c r="B49" s="436"/>
      <c r="C49" s="456">
        <v>4.2</v>
      </c>
      <c r="D49" s="438" t="s">
        <v>249</v>
      </c>
      <c r="E49" s="439"/>
      <c r="F49" s="440">
        <v>34154144.600000001</v>
      </c>
      <c r="G49" s="473">
        <v>2422245.59</v>
      </c>
      <c r="H49" s="473">
        <v>2251338.25</v>
      </c>
      <c r="I49" s="473">
        <v>25252982.07</v>
      </c>
      <c r="J49" s="442">
        <v>5566267.5099999998</v>
      </c>
      <c r="K49" s="440">
        <v>31557494.100000001</v>
      </c>
      <c r="L49" s="442">
        <v>151108338.81</v>
      </c>
      <c r="M49" s="444">
        <v>981295825.88</v>
      </c>
      <c r="N49" s="445">
        <f>SUM(F49:M49)</f>
        <v>1233608636.8099999</v>
      </c>
    </row>
    <row r="50" spans="2:14" s="406" customFormat="1" x14ac:dyDescent="0.2">
      <c r="B50" s="436"/>
      <c r="C50" s="456">
        <v>4.3</v>
      </c>
      <c r="D50" s="438" t="s">
        <v>250</v>
      </c>
      <c r="E50" s="439"/>
      <c r="F50" s="440">
        <v>0</v>
      </c>
      <c r="G50" s="473">
        <v>0</v>
      </c>
      <c r="H50" s="473">
        <v>0</v>
      </c>
      <c r="I50" s="473">
        <v>0</v>
      </c>
      <c r="J50" s="442">
        <v>0</v>
      </c>
      <c r="K50" s="440">
        <v>0</v>
      </c>
      <c r="L50" s="442">
        <v>0</v>
      </c>
      <c r="M50" s="444">
        <v>0</v>
      </c>
      <c r="N50" s="445">
        <f>SUM(F50:M50)</f>
        <v>0</v>
      </c>
    </row>
    <row r="51" spans="2:14" s="406" customFormat="1" x14ac:dyDescent="0.2">
      <c r="B51" s="436"/>
      <c r="C51" s="456">
        <v>4.4000000000000004</v>
      </c>
      <c r="D51" s="438" t="s">
        <v>251</v>
      </c>
      <c r="E51" s="439"/>
      <c r="F51" s="440">
        <v>3694411.11</v>
      </c>
      <c r="G51" s="473">
        <v>1140017.8500000001</v>
      </c>
      <c r="H51" s="473">
        <v>767832.88</v>
      </c>
      <c r="I51" s="473">
        <v>194443.73</v>
      </c>
      <c r="J51" s="442">
        <v>1515794.94</v>
      </c>
      <c r="K51" s="440">
        <v>4056961.81</v>
      </c>
      <c r="L51" s="442">
        <v>7449100.8899999997</v>
      </c>
      <c r="M51" s="444">
        <v>30739981.280000001</v>
      </c>
      <c r="N51" s="445">
        <f>SUM(F51:M51)</f>
        <v>49558544.490000002</v>
      </c>
    </row>
    <row r="52" spans="2:14" s="406" customFormat="1" x14ac:dyDescent="0.2">
      <c r="B52" s="465"/>
      <c r="C52" s="466"/>
      <c r="D52" s="467"/>
      <c r="E52" s="468"/>
      <c r="F52" s="469"/>
      <c r="G52" s="470"/>
      <c r="H52" s="470"/>
      <c r="I52" s="470"/>
      <c r="J52" s="471"/>
      <c r="K52" s="469"/>
      <c r="L52" s="471"/>
      <c r="M52" s="472"/>
      <c r="N52" s="472"/>
    </row>
    <row r="53" spans="2:14" s="406" customFormat="1" x14ac:dyDescent="0.2">
      <c r="B53" s="474" t="s">
        <v>110</v>
      </c>
      <c r="C53" s="475" t="s">
        <v>228</v>
      </c>
      <c r="D53" s="476"/>
      <c r="E53" s="477"/>
      <c r="F53" s="453">
        <f t="shared" ref="F53:N53" si="5">SUM(F19+F24+F29+F32+F33+F34+F40+F45+F48+F49+F50+F51)</f>
        <v>240087124.52000001</v>
      </c>
      <c r="G53" s="454">
        <f t="shared" si="5"/>
        <v>27550176.970000003</v>
      </c>
      <c r="H53" s="454">
        <f t="shared" si="5"/>
        <v>28974802.259999998</v>
      </c>
      <c r="I53" s="454">
        <f t="shared" si="5"/>
        <v>63853166.409999996</v>
      </c>
      <c r="J53" s="455">
        <f t="shared" si="5"/>
        <v>60952448.979999997</v>
      </c>
      <c r="K53" s="453">
        <f t="shared" si="5"/>
        <v>335860227.02000004</v>
      </c>
      <c r="L53" s="455">
        <f>SUM(L19+L24+L29+L32+L33+L34+L40+L45+L48+L49+L50+L51)</f>
        <v>636220062.93999994</v>
      </c>
      <c r="M53" s="453">
        <f t="shared" si="5"/>
        <v>3610424899.0700002</v>
      </c>
      <c r="N53" s="453">
        <f t="shared" si="5"/>
        <v>5003922908.1700001</v>
      </c>
    </row>
    <row r="54" spans="2:14" ht="13.5" thickBot="1" x14ac:dyDescent="0.25">
      <c r="B54" s="478"/>
      <c r="C54" s="479"/>
      <c r="D54" s="480"/>
      <c r="E54" s="481"/>
      <c r="F54" s="482"/>
      <c r="G54" s="483"/>
      <c r="H54" s="484"/>
      <c r="I54" s="484"/>
      <c r="J54" s="485"/>
      <c r="K54" s="482"/>
      <c r="L54" s="486"/>
      <c r="M54" s="487"/>
      <c r="N54" s="487"/>
    </row>
    <row r="56" spans="2:14" x14ac:dyDescent="0.2">
      <c r="B56" s="488" t="s">
        <v>148</v>
      </c>
      <c r="C56" s="488"/>
      <c r="D56" s="488"/>
    </row>
    <row r="57" spans="2:14" x14ac:dyDescent="0.2">
      <c r="B57" s="488"/>
      <c r="C57" s="489" t="s">
        <v>149</v>
      </c>
      <c r="D57" s="489"/>
    </row>
    <row r="58" spans="2:14" x14ac:dyDescent="0.2">
      <c r="B58" s="488"/>
      <c r="C58" s="488" t="s">
        <v>150</v>
      </c>
      <c r="D58" s="488"/>
    </row>
    <row r="59" spans="2:14" x14ac:dyDescent="0.2">
      <c r="B59" s="488"/>
      <c r="C59" s="488" t="s">
        <v>151</v>
      </c>
      <c r="D59" s="488"/>
    </row>
    <row r="60" spans="2:14" x14ac:dyDescent="0.2">
      <c r="B60" s="488"/>
      <c r="C60" s="488" t="s">
        <v>152</v>
      </c>
      <c r="D60" s="488"/>
    </row>
  </sheetData>
  <sheetProtection password="D429" sheet="1" objects="1" scenarios="1"/>
  <mergeCells count="42">
    <mergeCell ref="C57:D57"/>
    <mergeCell ref="D49:E49"/>
    <mergeCell ref="D50:E50"/>
    <mergeCell ref="D51:E51"/>
    <mergeCell ref="D52:E52"/>
    <mergeCell ref="C53:E53"/>
    <mergeCell ref="C54:E54"/>
    <mergeCell ref="C36:E36"/>
    <mergeCell ref="D37:E37"/>
    <mergeCell ref="D42:E42"/>
    <mergeCell ref="D46:E46"/>
    <mergeCell ref="C47:E47"/>
    <mergeCell ref="D48:E48"/>
    <mergeCell ref="D30:E30"/>
    <mergeCell ref="C31:E31"/>
    <mergeCell ref="D32:E32"/>
    <mergeCell ref="D33:E33"/>
    <mergeCell ref="D34:E34"/>
    <mergeCell ref="D35:E35"/>
    <mergeCell ref="N12:N13"/>
    <mergeCell ref="B13:E14"/>
    <mergeCell ref="C15:E15"/>
    <mergeCell ref="D16:E16"/>
    <mergeCell ref="D21:E21"/>
    <mergeCell ref="D26:E26"/>
    <mergeCell ref="B8:D8"/>
    <mergeCell ref="F8:G8"/>
    <mergeCell ref="I8:J8"/>
    <mergeCell ref="L8:M8"/>
    <mergeCell ref="B10:D10"/>
    <mergeCell ref="F12:J12"/>
    <mergeCell ref="K12:L12"/>
    <mergeCell ref="M12:M13"/>
    <mergeCell ref="F2:G2"/>
    <mergeCell ref="I2:J2"/>
    <mergeCell ref="F4:G4"/>
    <mergeCell ref="I4:J4"/>
    <mergeCell ref="L4:M4"/>
    <mergeCell ref="B6:D6"/>
    <mergeCell ref="F6:G6"/>
    <mergeCell ref="I6:J6"/>
    <mergeCell ref="L6:M6"/>
  </mergeCells>
  <conditionalFormatting sqref="F16:M18 F20:M23 F25:M28 F32:M34 F37:M39 F42:M44 F48:M51">
    <cfRule type="cellIs" dxfId="2" priority="1" stopIfTrue="1" operator="lessThan">
      <formula>0</formula>
    </cfRule>
  </conditionalFormatting>
  <dataValidations count="2">
    <dataValidation type="custom" allowBlank="1" showInputMessage="1" showErrorMessage="1" errorTitle="Invalid Entry" error="Accepts only a dollar value with up to 15 decimals and up to 10T." sqref="F16:M18 F48:M51 F42:M44 F37:M39 F32:M34 F26:M28 F21:M23">
      <formula1>AND(ISNUMBER(F16),IF((F16&gt;10000000000000),FALSE,TRUE),IF((LEN(F16)-LEN(INT(F16))-1)&lt;=15,TRUE,FALSE))</formula1>
    </dataValidation>
    <dataValidation allowBlank="1" showInputMessage="1" showErrorMessage="1" promptTitle="     State" prompt="Select State_x000a_" sqref="I10"/>
  </dataValidations>
  <pageMargins left="0.25" right="0.25" top="0.5" bottom="0.35" header="0.3" footer="0.2"/>
  <pageSetup scale="61" fitToWidth="0" fitToHeight="0" orientation="landscape"/>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4"/>
    <pageSetUpPr fitToPage="1"/>
  </sheetPr>
  <dimension ref="B1:P181"/>
  <sheetViews>
    <sheetView zoomScale="70" zoomScaleNormal="70" workbookViewId="0"/>
  </sheetViews>
  <sheetFormatPr defaultRowHeight="12.75" x14ac:dyDescent="0.2"/>
  <cols>
    <col min="1" max="1" width="2.28515625" style="29" customWidth="1"/>
    <col min="2" max="2" width="65.140625" style="29" customWidth="1"/>
    <col min="3" max="3" width="9.28515625" style="29" customWidth="1"/>
    <col min="4" max="12" width="12.5703125" style="29" customWidth="1"/>
    <col min="13" max="16384" width="9.140625" style="29"/>
  </cols>
  <sheetData>
    <row r="1" spans="2:13" x14ac:dyDescent="0.2">
      <c r="B1" s="28" t="s">
        <v>0</v>
      </c>
      <c r="C1" s="28"/>
      <c r="E1" s="29" t="s">
        <v>6</v>
      </c>
      <c r="H1" s="29" t="s">
        <v>17</v>
      </c>
      <c r="I1" s="28"/>
    </row>
    <row r="2" spans="2:13" x14ac:dyDescent="0.2">
      <c r="B2" s="28" t="s">
        <v>1</v>
      </c>
      <c r="C2" s="28"/>
      <c r="E2" s="30" t="str">
        <f>'Pt 1 and 2'!F6&amp;""</f>
        <v>362739571</v>
      </c>
      <c r="F2" s="30"/>
      <c r="H2" s="30" t="str">
        <f>'Pt 1 and 2'!D10&amp;""</f>
        <v>UnitedHealthcare Insurance Company</v>
      </c>
      <c r="I2" s="30"/>
    </row>
    <row r="3" spans="2:13" x14ac:dyDescent="0.2">
      <c r="B3" s="28" t="s">
        <v>252</v>
      </c>
      <c r="C3" s="28"/>
      <c r="E3" s="29" t="s">
        <v>10</v>
      </c>
      <c r="H3" s="29" t="s">
        <v>11</v>
      </c>
      <c r="K3" s="8" t="s">
        <v>12</v>
      </c>
      <c r="L3" s="37"/>
    </row>
    <row r="4" spans="2:13" x14ac:dyDescent="0.2">
      <c r="B4" s="28"/>
      <c r="C4" s="28"/>
      <c r="E4" s="30" t="str">
        <f>'Pt 1 and 2'!F8&amp;""</f>
        <v>008290</v>
      </c>
      <c r="F4" s="30"/>
      <c r="H4" s="30" t="str">
        <f>'Pt 1 and 2'!I8&amp;""</f>
        <v/>
      </c>
      <c r="I4" s="30"/>
      <c r="K4" s="34" t="str">
        <f>'Pt 1 and 2'!L8&amp;""</f>
        <v>No</v>
      </c>
      <c r="L4" s="34"/>
    </row>
    <row r="5" spans="2:13" s="37" customFormat="1" x14ac:dyDescent="0.2">
      <c r="B5" s="35" t="s">
        <v>5</v>
      </c>
      <c r="C5" s="35"/>
      <c r="E5" s="37" t="s">
        <v>18</v>
      </c>
      <c r="H5" s="8" t="s">
        <v>19</v>
      </c>
      <c r="I5" s="29"/>
      <c r="K5" s="8" t="s">
        <v>20</v>
      </c>
    </row>
    <row r="6" spans="2:13" s="37" customFormat="1" x14ac:dyDescent="0.2">
      <c r="B6" s="55" t="str">
        <f>'Pt 1 and 2'!D6&amp;""</f>
        <v>UnitedHealth Group</v>
      </c>
      <c r="C6" s="56"/>
      <c r="E6" s="34" t="str">
        <f>'Pt 1 and 2'!F10&amp;""</f>
        <v>00707</v>
      </c>
      <c r="F6" s="34"/>
      <c r="H6" s="40" t="str">
        <f>'Pt 1 and 2'!I10&amp;""</f>
        <v>Grand Total</v>
      </c>
      <c r="I6" s="40"/>
      <c r="K6" s="34" t="str">
        <f>'Pt 1 and 2'!L10&amp;""</f>
        <v>No</v>
      </c>
      <c r="L6" s="34"/>
    </row>
    <row r="7" spans="2:13" s="37" customFormat="1" x14ac:dyDescent="0.2">
      <c r="B7" s="35" t="s">
        <v>9</v>
      </c>
      <c r="C7" s="35"/>
      <c r="E7" s="37" t="s">
        <v>24</v>
      </c>
      <c r="H7" s="8" t="s">
        <v>25</v>
      </c>
      <c r="K7" s="41" t="s">
        <v>26</v>
      </c>
    </row>
    <row r="8" spans="2:13" s="37" customFormat="1" x14ac:dyDescent="0.2">
      <c r="B8" s="55" t="str">
        <f>'Pt 1 and 2'!D8&amp;""</f>
        <v>UnitedHealthcare Insurance Company</v>
      </c>
      <c r="C8" s="57"/>
      <c r="E8" s="34" t="str">
        <f>'Pt 1 and 2'!F12&amp;""</f>
        <v>79413</v>
      </c>
      <c r="F8" s="34"/>
      <c r="H8" s="40" t="str">
        <f>'Pt 1 and 2'!I12&amp;""</f>
        <v>Connecticut</v>
      </c>
      <c r="I8" s="40"/>
      <c r="K8" s="58" t="str">
        <f>'Pt 1 and 2'!L12&amp;""</f>
        <v>2011</v>
      </c>
      <c r="L8" s="58"/>
    </row>
    <row r="9" spans="2:13" s="8" customFormat="1" x14ac:dyDescent="0.2">
      <c r="B9" s="43"/>
      <c r="C9" s="43"/>
      <c r="I9" s="59"/>
    </row>
    <row r="10" spans="2:13" s="77" customFormat="1" ht="13.5" thickBot="1" x14ac:dyDescent="0.25"/>
    <row r="11" spans="2:13" ht="13.5" thickBot="1" x14ac:dyDescent="0.25">
      <c r="B11" s="490" t="s">
        <v>217</v>
      </c>
      <c r="C11" s="491" t="s">
        <v>253</v>
      </c>
      <c r="D11" s="492" t="s">
        <v>254</v>
      </c>
      <c r="E11" s="493"/>
      <c r="F11" s="493"/>
      <c r="G11" s="493"/>
      <c r="H11" s="493"/>
      <c r="I11" s="493"/>
      <c r="J11" s="493"/>
      <c r="K11" s="493"/>
      <c r="L11" s="494"/>
      <c r="M11" s="495"/>
    </row>
    <row r="12" spans="2:13" s="501" customFormat="1" ht="13.5" thickBot="1" x14ac:dyDescent="0.25">
      <c r="B12" s="496">
        <v>1</v>
      </c>
      <c r="C12" s="497">
        <v>2</v>
      </c>
      <c r="D12" s="498">
        <v>3</v>
      </c>
      <c r="E12" s="499"/>
      <c r="F12" s="499"/>
      <c r="G12" s="499"/>
      <c r="H12" s="499"/>
      <c r="I12" s="499"/>
      <c r="J12" s="499"/>
      <c r="K12" s="499"/>
      <c r="L12" s="500"/>
    </row>
    <row r="13" spans="2:13" x14ac:dyDescent="0.2">
      <c r="B13" s="502" t="s">
        <v>255</v>
      </c>
      <c r="C13" s="503"/>
      <c r="D13" s="504"/>
      <c r="E13" s="505"/>
      <c r="F13" s="505"/>
      <c r="G13" s="505"/>
      <c r="H13" s="505"/>
      <c r="I13" s="505"/>
      <c r="J13" s="505"/>
      <c r="K13" s="505"/>
      <c r="L13" s="506"/>
      <c r="M13" s="495"/>
    </row>
    <row r="14" spans="2:13" ht="13.15" customHeight="1" x14ac:dyDescent="0.2">
      <c r="B14" s="507"/>
      <c r="C14" s="508"/>
      <c r="D14" s="509"/>
      <c r="E14" s="510"/>
      <c r="F14" s="510"/>
      <c r="G14" s="510"/>
      <c r="H14" s="510"/>
      <c r="I14" s="510"/>
      <c r="J14" s="510"/>
      <c r="K14" s="510"/>
      <c r="L14" s="511"/>
      <c r="M14" s="495"/>
    </row>
    <row r="15" spans="2:13" ht="39.6" customHeight="1" x14ac:dyDescent="0.2">
      <c r="B15" s="512" t="s">
        <v>256</v>
      </c>
      <c r="C15" s="508"/>
      <c r="D15" s="513" t="s">
        <v>257</v>
      </c>
      <c r="E15" s="514"/>
      <c r="F15" s="514"/>
      <c r="G15" s="514"/>
      <c r="H15" s="514"/>
      <c r="I15" s="514"/>
      <c r="J15" s="514"/>
      <c r="K15" s="514"/>
      <c r="L15" s="515"/>
      <c r="M15" s="495"/>
    </row>
    <row r="16" spans="2:13" ht="13.15" customHeight="1" x14ac:dyDescent="0.2">
      <c r="B16" s="507"/>
      <c r="C16" s="508"/>
      <c r="D16" s="513"/>
      <c r="E16" s="514"/>
      <c r="F16" s="514"/>
      <c r="G16" s="514"/>
      <c r="H16" s="514"/>
      <c r="I16" s="514"/>
      <c r="J16" s="514"/>
      <c r="K16" s="514"/>
      <c r="L16" s="515"/>
      <c r="M16" s="495"/>
    </row>
    <row r="17" spans="2:13" ht="39.6" customHeight="1" x14ac:dyDescent="0.2">
      <c r="B17" s="507" t="s">
        <v>258</v>
      </c>
      <c r="C17" s="508"/>
      <c r="D17" s="513" t="s">
        <v>259</v>
      </c>
      <c r="E17" s="514"/>
      <c r="F17" s="514"/>
      <c r="G17" s="514"/>
      <c r="H17" s="514"/>
      <c r="I17" s="514"/>
      <c r="J17" s="514"/>
      <c r="K17" s="514"/>
      <c r="L17" s="515"/>
      <c r="M17" s="495"/>
    </row>
    <row r="18" spans="2:13" ht="13.15" customHeight="1" x14ac:dyDescent="0.2">
      <c r="B18" s="507"/>
      <c r="C18" s="508"/>
      <c r="D18" s="513"/>
      <c r="E18" s="514"/>
      <c r="F18" s="514"/>
      <c r="G18" s="514"/>
      <c r="H18" s="514"/>
      <c r="I18" s="514"/>
      <c r="J18" s="514"/>
      <c r="K18" s="514"/>
      <c r="L18" s="515"/>
      <c r="M18" s="495"/>
    </row>
    <row r="19" spans="2:13" ht="26.45" customHeight="1" x14ac:dyDescent="0.2">
      <c r="B19" s="507" t="s">
        <v>260</v>
      </c>
      <c r="C19" s="508"/>
      <c r="D19" s="513" t="s">
        <v>261</v>
      </c>
      <c r="E19" s="514"/>
      <c r="F19" s="514"/>
      <c r="G19" s="514"/>
      <c r="H19" s="514"/>
      <c r="I19" s="514"/>
      <c r="J19" s="514"/>
      <c r="K19" s="514"/>
      <c r="L19" s="515"/>
      <c r="M19" s="495"/>
    </row>
    <row r="20" spans="2:13" ht="13.15" customHeight="1" x14ac:dyDescent="0.2">
      <c r="B20" s="507"/>
      <c r="C20" s="508"/>
      <c r="D20" s="513"/>
      <c r="E20" s="514"/>
      <c r="F20" s="514"/>
      <c r="G20" s="514"/>
      <c r="H20" s="514"/>
      <c r="I20" s="514"/>
      <c r="J20" s="514"/>
      <c r="K20" s="514"/>
      <c r="L20" s="515"/>
      <c r="M20" s="495"/>
    </row>
    <row r="21" spans="2:13" ht="52.9" customHeight="1" x14ac:dyDescent="0.2">
      <c r="B21" s="516" t="s">
        <v>262</v>
      </c>
      <c r="C21" s="508"/>
      <c r="D21" s="513" t="s">
        <v>263</v>
      </c>
      <c r="E21" s="514"/>
      <c r="F21" s="514"/>
      <c r="G21" s="514"/>
      <c r="H21" s="514"/>
      <c r="I21" s="514"/>
      <c r="J21" s="514"/>
      <c r="K21" s="514"/>
      <c r="L21" s="515"/>
      <c r="M21" s="495"/>
    </row>
    <row r="22" spans="2:13" ht="13.15" customHeight="1" x14ac:dyDescent="0.2">
      <c r="B22" s="507"/>
      <c r="C22" s="508"/>
      <c r="D22" s="513"/>
      <c r="E22" s="514"/>
      <c r="F22" s="514"/>
      <c r="G22" s="514"/>
      <c r="H22" s="514"/>
      <c r="I22" s="514"/>
      <c r="J22" s="514"/>
      <c r="K22" s="514"/>
      <c r="L22" s="515"/>
      <c r="M22" s="495"/>
    </row>
    <row r="23" spans="2:13" ht="39.6" customHeight="1" x14ac:dyDescent="0.2">
      <c r="B23" s="507" t="s">
        <v>264</v>
      </c>
      <c r="C23" s="508"/>
      <c r="D23" s="513" t="s">
        <v>265</v>
      </c>
      <c r="E23" s="514"/>
      <c r="F23" s="514"/>
      <c r="G23" s="514"/>
      <c r="H23" s="514"/>
      <c r="I23" s="514"/>
      <c r="J23" s="514"/>
      <c r="K23" s="514"/>
      <c r="L23" s="515"/>
      <c r="M23" s="495"/>
    </row>
    <row r="24" spans="2:13" ht="13.15" customHeight="1" x14ac:dyDescent="0.2">
      <c r="B24" s="507"/>
      <c r="C24" s="508"/>
      <c r="D24" s="513"/>
      <c r="E24" s="514"/>
      <c r="F24" s="514"/>
      <c r="G24" s="514"/>
      <c r="H24" s="514"/>
      <c r="I24" s="514"/>
      <c r="J24" s="514"/>
      <c r="K24" s="514"/>
      <c r="L24" s="515"/>
      <c r="M24" s="495"/>
    </row>
    <row r="25" spans="2:13" ht="52.9" customHeight="1" x14ac:dyDescent="0.2">
      <c r="B25" s="507" t="s">
        <v>266</v>
      </c>
      <c r="C25" s="508"/>
      <c r="D25" s="517" t="s">
        <v>267</v>
      </c>
      <c r="E25" s="514"/>
      <c r="F25" s="514"/>
      <c r="G25" s="514"/>
      <c r="H25" s="514"/>
      <c r="I25" s="514"/>
      <c r="J25" s="514"/>
      <c r="K25" s="514"/>
      <c r="L25" s="515"/>
      <c r="M25" s="495"/>
    </row>
    <row r="26" spans="2:13" ht="13.15" customHeight="1" x14ac:dyDescent="0.2">
      <c r="B26" s="507"/>
      <c r="C26" s="508"/>
      <c r="D26" s="513"/>
      <c r="E26" s="514"/>
      <c r="F26" s="514"/>
      <c r="G26" s="514"/>
      <c r="H26" s="514"/>
      <c r="I26" s="514"/>
      <c r="J26" s="514"/>
      <c r="K26" s="514"/>
      <c r="L26" s="515"/>
      <c r="M26" s="495"/>
    </row>
    <row r="27" spans="2:13" ht="52.9" customHeight="1" x14ac:dyDescent="0.2">
      <c r="B27" s="507" t="s">
        <v>268</v>
      </c>
      <c r="C27" s="508"/>
      <c r="D27" s="513" t="s">
        <v>269</v>
      </c>
      <c r="E27" s="514"/>
      <c r="F27" s="514"/>
      <c r="G27" s="514"/>
      <c r="H27" s="514"/>
      <c r="I27" s="514"/>
      <c r="J27" s="514"/>
      <c r="K27" s="514"/>
      <c r="L27" s="515"/>
      <c r="M27" s="495"/>
    </row>
    <row r="28" spans="2:13" ht="13.15" customHeight="1" x14ac:dyDescent="0.2">
      <c r="B28" s="507"/>
      <c r="C28" s="508"/>
      <c r="D28" s="513"/>
      <c r="E28" s="514"/>
      <c r="F28" s="514"/>
      <c r="G28" s="514"/>
      <c r="H28" s="514"/>
      <c r="I28" s="514"/>
      <c r="J28" s="514"/>
      <c r="K28" s="514"/>
      <c r="L28" s="515"/>
      <c r="M28" s="495"/>
    </row>
    <row r="29" spans="2:13" ht="52.9" customHeight="1" x14ac:dyDescent="0.2">
      <c r="B29" s="507" t="s">
        <v>270</v>
      </c>
      <c r="C29" s="508"/>
      <c r="D29" s="517" t="s">
        <v>271</v>
      </c>
      <c r="E29" s="514"/>
      <c r="F29" s="514"/>
      <c r="G29" s="514"/>
      <c r="H29" s="514"/>
      <c r="I29" s="514"/>
      <c r="J29" s="514"/>
      <c r="K29" s="514"/>
      <c r="L29" s="515"/>
      <c r="M29" s="495"/>
    </row>
    <row r="30" spans="2:13" ht="13.15" customHeight="1" x14ac:dyDescent="0.2">
      <c r="B30" s="507"/>
      <c r="C30" s="508"/>
      <c r="D30" s="513"/>
      <c r="E30" s="514"/>
      <c r="F30" s="514"/>
      <c r="G30" s="514"/>
      <c r="H30" s="514"/>
      <c r="I30" s="514"/>
      <c r="J30" s="514"/>
      <c r="K30" s="514"/>
      <c r="L30" s="515"/>
      <c r="M30" s="495"/>
    </row>
    <row r="31" spans="2:13" x14ac:dyDescent="0.2">
      <c r="B31" s="507"/>
      <c r="C31" s="508"/>
      <c r="D31" s="513"/>
      <c r="E31" s="514"/>
      <c r="F31" s="514"/>
      <c r="G31" s="514"/>
      <c r="H31" s="514"/>
      <c r="I31" s="514"/>
      <c r="J31" s="514"/>
      <c r="K31" s="514"/>
      <c r="L31" s="515"/>
      <c r="M31" s="495"/>
    </row>
    <row r="32" spans="2:13" ht="12.75" customHeight="1" x14ac:dyDescent="0.2">
      <c r="B32" s="507"/>
      <c r="C32" s="508"/>
      <c r="D32" s="513"/>
      <c r="E32" s="514"/>
      <c r="F32" s="514"/>
      <c r="G32" s="514"/>
      <c r="H32" s="514"/>
      <c r="I32" s="514"/>
      <c r="J32" s="514"/>
      <c r="K32" s="514"/>
      <c r="L32" s="515"/>
      <c r="M32" s="495"/>
    </row>
    <row r="33" spans="2:13" ht="13.5" thickBot="1" x14ac:dyDescent="0.25">
      <c r="B33" s="507"/>
      <c r="C33" s="508"/>
      <c r="D33" s="518"/>
      <c r="E33" s="519"/>
      <c r="F33" s="519"/>
      <c r="G33" s="519"/>
      <c r="H33" s="519"/>
      <c r="I33" s="519"/>
      <c r="J33" s="519"/>
      <c r="K33" s="519"/>
      <c r="L33" s="520"/>
      <c r="M33" s="495"/>
    </row>
    <row r="34" spans="2:13" x14ac:dyDescent="0.2">
      <c r="B34" s="502" t="s">
        <v>272</v>
      </c>
      <c r="C34" s="503"/>
      <c r="D34" s="504"/>
      <c r="E34" s="505"/>
      <c r="F34" s="505"/>
      <c r="G34" s="505"/>
      <c r="H34" s="505"/>
      <c r="I34" s="505"/>
      <c r="J34" s="505"/>
      <c r="K34" s="505"/>
      <c r="L34" s="506"/>
      <c r="M34" s="495"/>
    </row>
    <row r="35" spans="2:13" x14ac:dyDescent="0.2">
      <c r="B35" s="521" t="s">
        <v>88</v>
      </c>
      <c r="C35" s="508"/>
      <c r="D35" s="522"/>
      <c r="E35" s="523"/>
      <c r="F35" s="523"/>
      <c r="G35" s="523"/>
      <c r="H35" s="523"/>
      <c r="I35" s="523"/>
      <c r="J35" s="523"/>
      <c r="K35" s="523"/>
      <c r="L35" s="524"/>
      <c r="M35" s="495"/>
    </row>
    <row r="36" spans="2:13" ht="26.45" customHeight="1" x14ac:dyDescent="0.2">
      <c r="B36" s="507" t="s">
        <v>273</v>
      </c>
      <c r="C36" s="508"/>
      <c r="D36" s="517" t="s">
        <v>274</v>
      </c>
      <c r="E36" s="514"/>
      <c r="F36" s="514"/>
      <c r="G36" s="514"/>
      <c r="H36" s="514"/>
      <c r="I36" s="514"/>
      <c r="J36" s="514"/>
      <c r="K36" s="514"/>
      <c r="L36" s="515"/>
      <c r="M36" s="495"/>
    </row>
    <row r="37" spans="2:13" ht="13.15" customHeight="1" x14ac:dyDescent="0.2">
      <c r="B37" s="507"/>
      <c r="C37" s="508"/>
      <c r="D37" s="513"/>
      <c r="E37" s="514"/>
      <c r="F37" s="514"/>
      <c r="G37" s="514"/>
      <c r="H37" s="514"/>
      <c r="I37" s="514"/>
      <c r="J37" s="514"/>
      <c r="K37" s="514"/>
      <c r="L37" s="515"/>
      <c r="M37" s="495"/>
    </row>
    <row r="38" spans="2:13" ht="12.75" customHeight="1" x14ac:dyDescent="0.2">
      <c r="B38" s="507"/>
      <c r="C38" s="508"/>
      <c r="D38" s="513"/>
      <c r="E38" s="514"/>
      <c r="F38" s="514"/>
      <c r="G38" s="514"/>
      <c r="H38" s="514"/>
      <c r="I38" s="514"/>
      <c r="J38" s="514"/>
      <c r="K38" s="514"/>
      <c r="L38" s="515"/>
      <c r="M38" s="495"/>
    </row>
    <row r="39" spans="2:13" ht="12.75" customHeight="1" x14ac:dyDescent="0.2">
      <c r="B39" s="507"/>
      <c r="C39" s="525"/>
      <c r="D39" s="513"/>
      <c r="E39" s="514"/>
      <c r="F39" s="514"/>
      <c r="G39" s="514"/>
      <c r="H39" s="514"/>
      <c r="I39" s="514"/>
      <c r="J39" s="514"/>
      <c r="K39" s="514"/>
      <c r="L39" s="515"/>
      <c r="M39" s="495"/>
    </row>
    <row r="40" spans="2:13" ht="12.75" customHeight="1" x14ac:dyDescent="0.2">
      <c r="B40" s="526"/>
      <c r="C40" s="525"/>
      <c r="D40" s="513"/>
      <c r="E40" s="514"/>
      <c r="F40" s="514"/>
      <c r="G40" s="514"/>
      <c r="H40" s="514"/>
      <c r="I40" s="514"/>
      <c r="J40" s="514"/>
      <c r="K40" s="514"/>
      <c r="L40" s="515"/>
      <c r="M40" s="495"/>
    </row>
    <row r="41" spans="2:13" x14ac:dyDescent="0.2">
      <c r="B41" s="526"/>
      <c r="C41" s="525"/>
      <c r="D41" s="513"/>
      <c r="E41" s="527"/>
      <c r="F41" s="527"/>
      <c r="G41" s="527"/>
      <c r="H41" s="527"/>
      <c r="I41" s="527"/>
      <c r="J41" s="527"/>
      <c r="K41" s="527"/>
      <c r="L41" s="528"/>
      <c r="M41" s="495"/>
    </row>
    <row r="42" spans="2:13" x14ac:dyDescent="0.2">
      <c r="B42" s="529" t="s">
        <v>90</v>
      </c>
      <c r="C42" s="525"/>
      <c r="D42" s="530"/>
      <c r="E42" s="531"/>
      <c r="F42" s="531"/>
      <c r="G42" s="531"/>
      <c r="H42" s="531"/>
      <c r="I42" s="531"/>
      <c r="J42" s="531"/>
      <c r="K42" s="531"/>
      <c r="L42" s="532"/>
      <c r="M42" s="495"/>
    </row>
    <row r="43" spans="2:13" ht="39.6" customHeight="1" x14ac:dyDescent="0.2">
      <c r="B43" s="507" t="s">
        <v>275</v>
      </c>
      <c r="C43" s="525"/>
      <c r="D43" s="517" t="s">
        <v>276</v>
      </c>
      <c r="E43" s="514"/>
      <c r="F43" s="514"/>
      <c r="G43" s="514"/>
      <c r="H43" s="514"/>
      <c r="I43" s="514"/>
      <c r="J43" s="514"/>
      <c r="K43" s="514"/>
      <c r="L43" s="515"/>
      <c r="M43" s="495"/>
    </row>
    <row r="44" spans="2:13" ht="26.45" customHeight="1" x14ac:dyDescent="0.2">
      <c r="B44" s="507" t="s">
        <v>277</v>
      </c>
      <c r="C44" s="525"/>
      <c r="D44" s="517" t="s">
        <v>278</v>
      </c>
      <c r="E44" s="514"/>
      <c r="F44" s="514"/>
      <c r="G44" s="514"/>
      <c r="H44" s="514"/>
      <c r="I44" s="514"/>
      <c r="J44" s="514"/>
      <c r="K44" s="514"/>
      <c r="L44" s="515"/>
      <c r="M44" s="495"/>
    </row>
    <row r="45" spans="2:13" ht="13.15" customHeight="1" x14ac:dyDescent="0.2">
      <c r="B45" s="507"/>
      <c r="C45" s="525"/>
      <c r="D45" s="513"/>
      <c r="E45" s="514"/>
      <c r="F45" s="514"/>
      <c r="G45" s="514"/>
      <c r="H45" s="514"/>
      <c r="I45" s="514"/>
      <c r="J45" s="514"/>
      <c r="K45" s="514"/>
      <c r="L45" s="515"/>
      <c r="M45" s="495"/>
    </row>
    <row r="46" spans="2:13" x14ac:dyDescent="0.2">
      <c r="B46" s="507"/>
      <c r="C46" s="525"/>
      <c r="D46" s="513"/>
      <c r="E46" s="527"/>
      <c r="F46" s="527"/>
      <c r="G46" s="527"/>
      <c r="H46" s="527"/>
      <c r="I46" s="527"/>
      <c r="J46" s="527"/>
      <c r="K46" s="527"/>
      <c r="L46" s="528"/>
      <c r="M46" s="495"/>
    </row>
    <row r="47" spans="2:13" x14ac:dyDescent="0.2">
      <c r="B47" s="526"/>
      <c r="C47" s="525"/>
      <c r="D47" s="513"/>
      <c r="E47" s="527"/>
      <c r="F47" s="527"/>
      <c r="G47" s="527"/>
      <c r="H47" s="527"/>
      <c r="I47" s="527"/>
      <c r="J47" s="527"/>
      <c r="K47" s="527"/>
      <c r="L47" s="528"/>
      <c r="M47" s="495"/>
    </row>
    <row r="48" spans="2:13" x14ac:dyDescent="0.2">
      <c r="B48" s="526"/>
      <c r="C48" s="525"/>
      <c r="D48" s="513"/>
      <c r="E48" s="527"/>
      <c r="F48" s="527"/>
      <c r="G48" s="527"/>
      <c r="H48" s="527"/>
      <c r="I48" s="527"/>
      <c r="J48" s="527"/>
      <c r="K48" s="527"/>
      <c r="L48" s="528"/>
      <c r="M48" s="495"/>
    </row>
    <row r="49" spans="2:13" ht="13.15" customHeight="1" x14ac:dyDescent="0.2">
      <c r="B49" s="529" t="s">
        <v>279</v>
      </c>
      <c r="C49" s="525"/>
      <c r="D49" s="530"/>
      <c r="E49" s="531"/>
      <c r="F49" s="531"/>
      <c r="G49" s="531"/>
      <c r="H49" s="531"/>
      <c r="I49" s="531"/>
      <c r="J49" s="531"/>
      <c r="K49" s="531"/>
      <c r="L49" s="532"/>
      <c r="M49" s="495"/>
    </row>
    <row r="50" spans="2:13" ht="13.15" customHeight="1" x14ac:dyDescent="0.2">
      <c r="B50" s="507" t="s">
        <v>279</v>
      </c>
      <c r="C50" s="525"/>
      <c r="D50" s="513" t="s">
        <v>280</v>
      </c>
      <c r="E50" s="514"/>
      <c r="F50" s="514"/>
      <c r="G50" s="514"/>
      <c r="H50" s="514"/>
      <c r="I50" s="514"/>
      <c r="J50" s="514"/>
      <c r="K50" s="514"/>
      <c r="L50" s="515"/>
      <c r="M50" s="495"/>
    </row>
    <row r="51" spans="2:13" ht="13.15" customHeight="1" x14ac:dyDescent="0.2">
      <c r="B51" s="507"/>
      <c r="C51" s="525"/>
      <c r="D51" s="513"/>
      <c r="E51" s="514"/>
      <c r="F51" s="514"/>
      <c r="G51" s="514"/>
      <c r="H51" s="514"/>
      <c r="I51" s="514"/>
      <c r="J51" s="514"/>
      <c r="K51" s="514"/>
      <c r="L51" s="515"/>
      <c r="M51" s="495"/>
    </row>
    <row r="52" spans="2:13" x14ac:dyDescent="0.2">
      <c r="B52" s="507"/>
      <c r="C52" s="525"/>
      <c r="D52" s="513"/>
      <c r="E52" s="527"/>
      <c r="F52" s="527"/>
      <c r="G52" s="527"/>
      <c r="H52" s="527"/>
      <c r="I52" s="527"/>
      <c r="J52" s="527"/>
      <c r="K52" s="527"/>
      <c r="L52" s="528"/>
      <c r="M52" s="495"/>
    </row>
    <row r="53" spans="2:13" x14ac:dyDescent="0.2">
      <c r="B53" s="507"/>
      <c r="C53" s="525"/>
      <c r="D53" s="513"/>
      <c r="E53" s="527"/>
      <c r="F53" s="527"/>
      <c r="G53" s="527"/>
      <c r="H53" s="527"/>
      <c r="I53" s="527"/>
      <c r="J53" s="527"/>
      <c r="K53" s="527"/>
      <c r="L53" s="528"/>
      <c r="M53" s="495"/>
    </row>
    <row r="54" spans="2:13" x14ac:dyDescent="0.2">
      <c r="B54" s="526"/>
      <c r="C54" s="525"/>
      <c r="D54" s="513"/>
      <c r="E54" s="527"/>
      <c r="F54" s="527"/>
      <c r="G54" s="527"/>
      <c r="H54" s="527"/>
      <c r="I54" s="527"/>
      <c r="J54" s="527"/>
      <c r="K54" s="527"/>
      <c r="L54" s="528"/>
      <c r="M54" s="495"/>
    </row>
    <row r="55" spans="2:13" x14ac:dyDescent="0.2">
      <c r="B55" s="526"/>
      <c r="C55" s="525"/>
      <c r="D55" s="513"/>
      <c r="E55" s="527"/>
      <c r="F55" s="527"/>
      <c r="G55" s="527"/>
      <c r="H55" s="527"/>
      <c r="I55" s="527"/>
      <c r="J55" s="527"/>
      <c r="K55" s="527"/>
      <c r="L55" s="528"/>
      <c r="M55" s="495"/>
    </row>
    <row r="56" spans="2:13" x14ac:dyDescent="0.2">
      <c r="B56" s="529" t="s">
        <v>95</v>
      </c>
      <c r="C56" s="525"/>
      <c r="D56" s="530"/>
      <c r="E56" s="531"/>
      <c r="F56" s="531"/>
      <c r="G56" s="531"/>
      <c r="H56" s="531"/>
      <c r="I56" s="531"/>
      <c r="J56" s="531"/>
      <c r="K56" s="531"/>
      <c r="L56" s="532"/>
      <c r="M56" s="495"/>
    </row>
    <row r="57" spans="2:13" ht="39.6" customHeight="1" x14ac:dyDescent="0.2">
      <c r="B57" s="507" t="s">
        <v>95</v>
      </c>
      <c r="C57" s="525"/>
      <c r="D57" s="517" t="s">
        <v>281</v>
      </c>
      <c r="E57" s="514"/>
      <c r="F57" s="514"/>
      <c r="G57" s="514"/>
      <c r="H57" s="514"/>
      <c r="I57" s="514"/>
      <c r="J57" s="514"/>
      <c r="K57" s="514"/>
      <c r="L57" s="515"/>
      <c r="M57" s="495"/>
    </row>
    <row r="58" spans="2:13" ht="13.15" customHeight="1" x14ac:dyDescent="0.2">
      <c r="B58" s="507"/>
      <c r="C58" s="525"/>
      <c r="D58" s="513"/>
      <c r="E58" s="514"/>
      <c r="F58" s="514"/>
      <c r="G58" s="514"/>
      <c r="H58" s="514"/>
      <c r="I58" s="514"/>
      <c r="J58" s="514"/>
      <c r="K58" s="514"/>
      <c r="L58" s="515"/>
      <c r="M58" s="495"/>
    </row>
    <row r="59" spans="2:13" ht="13.15" customHeight="1" x14ac:dyDescent="0.2">
      <c r="B59" s="507"/>
      <c r="C59" s="525"/>
      <c r="D59" s="513"/>
      <c r="E59" s="514"/>
      <c r="F59" s="514"/>
      <c r="G59" s="514"/>
      <c r="H59" s="514"/>
      <c r="I59" s="514"/>
      <c r="J59" s="514"/>
      <c r="K59" s="514"/>
      <c r="L59" s="515"/>
      <c r="M59" s="495"/>
    </row>
    <row r="60" spans="2:13" x14ac:dyDescent="0.2">
      <c r="B60" s="507"/>
      <c r="C60" s="525"/>
      <c r="D60" s="513"/>
      <c r="E60" s="527"/>
      <c r="F60" s="527"/>
      <c r="G60" s="527"/>
      <c r="H60" s="527"/>
      <c r="I60" s="527"/>
      <c r="J60" s="527"/>
      <c r="K60" s="527"/>
      <c r="L60" s="528"/>
      <c r="M60" s="495"/>
    </row>
    <row r="61" spans="2:13" ht="12.75" customHeight="1" x14ac:dyDescent="0.2">
      <c r="B61" s="526"/>
      <c r="C61" s="525"/>
      <c r="D61" s="513"/>
      <c r="E61" s="514"/>
      <c r="F61" s="514"/>
      <c r="G61" s="514"/>
      <c r="H61" s="514"/>
      <c r="I61" s="514"/>
      <c r="J61" s="514"/>
      <c r="K61" s="514"/>
      <c r="L61" s="515"/>
      <c r="M61" s="495"/>
    </row>
    <row r="62" spans="2:13" ht="13.5" thickBot="1" x14ac:dyDescent="0.25">
      <c r="B62" s="526"/>
      <c r="C62" s="525"/>
      <c r="D62" s="513"/>
      <c r="E62" s="527"/>
      <c r="F62" s="527"/>
      <c r="G62" s="527"/>
      <c r="H62" s="527"/>
      <c r="I62" s="527"/>
      <c r="J62" s="527"/>
      <c r="K62" s="527"/>
      <c r="L62" s="528"/>
      <c r="M62" s="495"/>
    </row>
    <row r="63" spans="2:13" ht="13.5" thickBot="1" x14ac:dyDescent="0.25">
      <c r="B63" s="502" t="s">
        <v>282</v>
      </c>
      <c r="C63" s="503"/>
      <c r="D63" s="504"/>
      <c r="E63" s="505"/>
      <c r="F63" s="505"/>
      <c r="G63" s="505"/>
      <c r="H63" s="505"/>
      <c r="I63" s="505"/>
      <c r="J63" s="505"/>
      <c r="K63" s="505"/>
      <c r="L63" s="506"/>
      <c r="M63" s="495"/>
    </row>
    <row r="64" spans="2:13" x14ac:dyDescent="0.2">
      <c r="B64" s="521" t="s">
        <v>218</v>
      </c>
      <c r="C64" s="503"/>
      <c r="D64" s="522"/>
      <c r="E64" s="523"/>
      <c r="F64" s="523"/>
      <c r="G64" s="523"/>
      <c r="H64" s="523"/>
      <c r="I64" s="523"/>
      <c r="J64" s="523"/>
      <c r="K64" s="523"/>
      <c r="L64" s="524"/>
      <c r="M64" s="495"/>
    </row>
    <row r="65" spans="2:13" ht="303.60000000000002" customHeight="1" x14ac:dyDescent="0.2">
      <c r="B65" s="526" t="s">
        <v>283</v>
      </c>
      <c r="C65" s="533"/>
      <c r="D65" s="534" t="s">
        <v>284</v>
      </c>
      <c r="E65" s="514"/>
      <c r="F65" s="514"/>
      <c r="G65" s="514"/>
      <c r="H65" s="514"/>
      <c r="I65" s="514"/>
      <c r="J65" s="514"/>
      <c r="K65" s="514"/>
      <c r="L65" s="515"/>
      <c r="M65" s="495"/>
    </row>
    <row r="66" spans="2:13" ht="92.45" customHeight="1" x14ac:dyDescent="0.2">
      <c r="B66" s="526" t="s">
        <v>285</v>
      </c>
      <c r="C66" s="533"/>
      <c r="D66" s="534" t="s">
        <v>284</v>
      </c>
      <c r="E66" s="514"/>
      <c r="F66" s="514"/>
      <c r="G66" s="514"/>
      <c r="H66" s="514"/>
      <c r="I66" s="514"/>
      <c r="J66" s="514"/>
      <c r="K66" s="514"/>
      <c r="L66" s="515"/>
      <c r="M66" s="495"/>
    </row>
    <row r="67" spans="2:13" ht="92.45" customHeight="1" x14ac:dyDescent="0.2">
      <c r="B67" s="526" t="s">
        <v>286</v>
      </c>
      <c r="C67" s="533"/>
      <c r="D67" s="534" t="s">
        <v>284</v>
      </c>
      <c r="E67" s="514"/>
      <c r="F67" s="514"/>
      <c r="G67" s="514"/>
      <c r="H67" s="514"/>
      <c r="I67" s="514"/>
      <c r="J67" s="514"/>
      <c r="K67" s="514"/>
      <c r="L67" s="515"/>
      <c r="M67" s="495"/>
    </row>
    <row r="68" spans="2:13" ht="277.14999999999998" customHeight="1" x14ac:dyDescent="0.2">
      <c r="B68" s="535" t="s">
        <v>287</v>
      </c>
      <c r="C68" s="533"/>
      <c r="D68" s="534" t="s">
        <v>284</v>
      </c>
      <c r="E68" s="514"/>
      <c r="F68" s="514"/>
      <c r="G68" s="514"/>
      <c r="H68" s="514"/>
      <c r="I68" s="514"/>
      <c r="J68" s="514"/>
      <c r="K68" s="514"/>
      <c r="L68" s="515"/>
      <c r="M68" s="495"/>
    </row>
    <row r="69" spans="2:13" ht="105.6" customHeight="1" x14ac:dyDescent="0.2">
      <c r="B69" s="526" t="s">
        <v>288</v>
      </c>
      <c r="C69" s="533"/>
      <c r="D69" s="534" t="s">
        <v>284</v>
      </c>
      <c r="E69" s="514"/>
      <c r="F69" s="514"/>
      <c r="G69" s="514"/>
      <c r="H69" s="514"/>
      <c r="I69" s="514"/>
      <c r="J69" s="514"/>
      <c r="K69" s="514"/>
      <c r="L69" s="515"/>
      <c r="M69" s="495"/>
    </row>
    <row r="70" spans="2:13" ht="105.6" customHeight="1" x14ac:dyDescent="0.2">
      <c r="B70" s="526" t="s">
        <v>289</v>
      </c>
      <c r="C70" s="533"/>
      <c r="D70" s="534" t="s">
        <v>284</v>
      </c>
      <c r="E70" s="514"/>
      <c r="F70" s="514"/>
      <c r="G70" s="514"/>
      <c r="H70" s="514"/>
      <c r="I70" s="514"/>
      <c r="J70" s="514"/>
      <c r="K70" s="514"/>
      <c r="L70" s="515"/>
      <c r="M70" s="495"/>
    </row>
    <row r="71" spans="2:13" ht="92.45" customHeight="1" x14ac:dyDescent="0.2">
      <c r="B71" s="526" t="s">
        <v>290</v>
      </c>
      <c r="C71" s="533"/>
      <c r="D71" s="534" t="s">
        <v>284</v>
      </c>
      <c r="E71" s="514"/>
      <c r="F71" s="514"/>
      <c r="G71" s="514"/>
      <c r="H71" s="514"/>
      <c r="I71" s="514"/>
      <c r="J71" s="514"/>
      <c r="K71" s="514"/>
      <c r="L71" s="515"/>
      <c r="M71" s="495"/>
    </row>
    <row r="72" spans="2:13" ht="92.45" customHeight="1" x14ac:dyDescent="0.2">
      <c r="B72" s="526" t="s">
        <v>291</v>
      </c>
      <c r="C72" s="533"/>
      <c r="D72" s="534" t="s">
        <v>284</v>
      </c>
      <c r="E72" s="514"/>
      <c r="F72" s="514"/>
      <c r="G72" s="514"/>
      <c r="H72" s="514"/>
      <c r="I72" s="514"/>
      <c r="J72" s="514"/>
      <c r="K72" s="514"/>
      <c r="L72" s="515"/>
      <c r="M72" s="495"/>
    </row>
    <row r="73" spans="2:13" ht="13.15" customHeight="1" x14ac:dyDescent="0.2">
      <c r="B73" s="526"/>
      <c r="C73" s="533"/>
      <c r="D73" s="534"/>
      <c r="E73" s="514"/>
      <c r="F73" s="514"/>
      <c r="G73" s="514"/>
      <c r="H73" s="514"/>
      <c r="I73" s="514"/>
      <c r="J73" s="514"/>
      <c r="K73" s="514"/>
      <c r="L73" s="515"/>
      <c r="M73" s="495"/>
    </row>
    <row r="74" spans="2:13" x14ac:dyDescent="0.2">
      <c r="B74" s="526"/>
      <c r="C74" s="533"/>
      <c r="D74" s="534"/>
      <c r="E74" s="536"/>
      <c r="F74" s="536"/>
      <c r="G74" s="536"/>
      <c r="H74" s="536"/>
      <c r="I74" s="536"/>
      <c r="J74" s="536"/>
      <c r="K74" s="536"/>
      <c r="L74" s="537"/>
      <c r="M74" s="495"/>
    </row>
    <row r="75" spans="2:13" x14ac:dyDescent="0.2">
      <c r="B75" s="529" t="s">
        <v>101</v>
      </c>
      <c r="C75" s="508"/>
      <c r="D75" s="522"/>
      <c r="E75" s="523"/>
      <c r="F75" s="523"/>
      <c r="G75" s="523"/>
      <c r="H75" s="523"/>
      <c r="I75" s="523"/>
      <c r="J75" s="523"/>
      <c r="K75" s="523"/>
      <c r="L75" s="524"/>
      <c r="M75" s="495"/>
    </row>
    <row r="76" spans="2:13" ht="105.6" customHeight="1" x14ac:dyDescent="0.2">
      <c r="B76" s="535" t="s">
        <v>292</v>
      </c>
      <c r="C76" s="533"/>
      <c r="D76" s="534" t="s">
        <v>284</v>
      </c>
      <c r="E76" s="514"/>
      <c r="F76" s="514"/>
      <c r="G76" s="514"/>
      <c r="H76" s="514"/>
      <c r="I76" s="514"/>
      <c r="J76" s="514"/>
      <c r="K76" s="514"/>
      <c r="L76" s="515"/>
      <c r="M76" s="495"/>
    </row>
    <row r="77" spans="2:13" ht="13.15" customHeight="1" x14ac:dyDescent="0.2">
      <c r="B77" s="526"/>
      <c r="C77" s="533"/>
      <c r="D77" s="534"/>
      <c r="E77" s="514"/>
      <c r="F77" s="514"/>
      <c r="G77" s="514"/>
      <c r="H77" s="514"/>
      <c r="I77" s="514"/>
      <c r="J77" s="514"/>
      <c r="K77" s="514"/>
      <c r="L77" s="515"/>
      <c r="M77" s="495"/>
    </row>
    <row r="78" spans="2:13" x14ac:dyDescent="0.2">
      <c r="B78" s="526"/>
      <c r="C78" s="533"/>
      <c r="D78" s="534"/>
      <c r="E78" s="536"/>
      <c r="F78" s="536"/>
      <c r="G78" s="536"/>
      <c r="H78" s="536"/>
      <c r="I78" s="536"/>
      <c r="J78" s="536"/>
      <c r="K78" s="536"/>
      <c r="L78" s="537"/>
      <c r="M78" s="495"/>
    </row>
    <row r="79" spans="2:13" x14ac:dyDescent="0.2">
      <c r="B79" s="526"/>
      <c r="C79" s="533"/>
      <c r="D79" s="534"/>
      <c r="E79" s="536"/>
      <c r="F79" s="536"/>
      <c r="G79" s="536"/>
      <c r="H79" s="536"/>
      <c r="I79" s="536"/>
      <c r="J79" s="536"/>
      <c r="K79" s="536"/>
      <c r="L79" s="537"/>
      <c r="M79" s="495"/>
    </row>
    <row r="80" spans="2:13" x14ac:dyDescent="0.2">
      <c r="B80" s="526"/>
      <c r="C80" s="533"/>
      <c r="D80" s="534"/>
      <c r="E80" s="536"/>
      <c r="F80" s="536"/>
      <c r="G80" s="536"/>
      <c r="H80" s="536"/>
      <c r="I80" s="536"/>
      <c r="J80" s="536"/>
      <c r="K80" s="536"/>
      <c r="L80" s="537"/>
      <c r="M80" s="495"/>
    </row>
    <row r="81" spans="2:13" x14ac:dyDescent="0.2">
      <c r="B81" s="526"/>
      <c r="C81" s="533"/>
      <c r="D81" s="534"/>
      <c r="E81" s="536"/>
      <c r="F81" s="536"/>
      <c r="G81" s="536"/>
      <c r="H81" s="536"/>
      <c r="I81" s="536"/>
      <c r="J81" s="536"/>
      <c r="K81" s="536"/>
      <c r="L81" s="537"/>
      <c r="M81" s="495"/>
    </row>
    <row r="82" spans="2:13" x14ac:dyDescent="0.2">
      <c r="B82" s="526"/>
      <c r="C82" s="533"/>
      <c r="D82" s="534"/>
      <c r="E82" s="536"/>
      <c r="F82" s="536"/>
      <c r="G82" s="536"/>
      <c r="H82" s="536"/>
      <c r="I82" s="536"/>
      <c r="J82" s="536"/>
      <c r="K82" s="536"/>
      <c r="L82" s="537"/>
      <c r="M82" s="495"/>
    </row>
    <row r="83" spans="2:13" x14ac:dyDescent="0.2">
      <c r="B83" s="526"/>
      <c r="C83" s="533"/>
      <c r="D83" s="534"/>
      <c r="E83" s="536"/>
      <c r="F83" s="536"/>
      <c r="G83" s="536"/>
      <c r="H83" s="536"/>
      <c r="I83" s="536"/>
      <c r="J83" s="536"/>
      <c r="K83" s="536"/>
      <c r="L83" s="537"/>
      <c r="M83" s="495"/>
    </row>
    <row r="84" spans="2:13" x14ac:dyDescent="0.2">
      <c r="B84" s="526"/>
      <c r="C84" s="533"/>
      <c r="D84" s="534"/>
      <c r="E84" s="536"/>
      <c r="F84" s="536"/>
      <c r="G84" s="536"/>
      <c r="H84" s="536"/>
      <c r="I84" s="536"/>
      <c r="J84" s="536"/>
      <c r="K84" s="536"/>
      <c r="L84" s="537"/>
      <c r="M84" s="495"/>
    </row>
    <row r="85" spans="2:13" x14ac:dyDescent="0.2">
      <c r="B85" s="526"/>
      <c r="C85" s="533"/>
      <c r="D85" s="534"/>
      <c r="E85" s="536"/>
      <c r="F85" s="536"/>
      <c r="G85" s="536"/>
      <c r="H85" s="536"/>
      <c r="I85" s="536"/>
      <c r="J85" s="536"/>
      <c r="K85" s="536"/>
      <c r="L85" s="537"/>
      <c r="M85" s="495"/>
    </row>
    <row r="86" spans="2:13" x14ac:dyDescent="0.2">
      <c r="B86" s="529" t="s">
        <v>103</v>
      </c>
      <c r="C86" s="508"/>
      <c r="D86" s="522"/>
      <c r="E86" s="523"/>
      <c r="F86" s="523"/>
      <c r="G86" s="523"/>
      <c r="H86" s="523"/>
      <c r="I86" s="523"/>
      <c r="J86" s="523"/>
      <c r="K86" s="523"/>
      <c r="L86" s="524"/>
      <c r="M86" s="495"/>
    </row>
    <row r="87" spans="2:13" ht="92.45" customHeight="1" x14ac:dyDescent="0.2">
      <c r="B87" s="535" t="s">
        <v>293</v>
      </c>
      <c r="C87" s="533"/>
      <c r="D87" s="534" t="s">
        <v>284</v>
      </c>
      <c r="E87" s="514"/>
      <c r="F87" s="514"/>
      <c r="G87" s="514"/>
      <c r="H87" s="514"/>
      <c r="I87" s="514"/>
      <c r="J87" s="514"/>
      <c r="K87" s="514"/>
      <c r="L87" s="515"/>
      <c r="M87" s="495"/>
    </row>
    <row r="88" spans="2:13" ht="92.45" customHeight="1" x14ac:dyDescent="0.2">
      <c r="B88" s="526" t="s">
        <v>294</v>
      </c>
      <c r="C88" s="533"/>
      <c r="D88" s="534" t="s">
        <v>284</v>
      </c>
      <c r="E88" s="514"/>
      <c r="F88" s="514"/>
      <c r="G88" s="514"/>
      <c r="H88" s="514"/>
      <c r="I88" s="514"/>
      <c r="J88" s="514"/>
      <c r="K88" s="514"/>
      <c r="L88" s="515"/>
      <c r="M88" s="495"/>
    </row>
    <row r="89" spans="2:13" ht="13.15" customHeight="1" x14ac:dyDescent="0.2">
      <c r="B89" s="526"/>
      <c r="C89" s="533"/>
      <c r="D89" s="534"/>
      <c r="E89" s="514"/>
      <c r="F89" s="514"/>
      <c r="G89" s="514"/>
      <c r="H89" s="514"/>
      <c r="I89" s="514"/>
      <c r="J89" s="514"/>
      <c r="K89" s="514"/>
      <c r="L89" s="515"/>
      <c r="M89" s="495"/>
    </row>
    <row r="90" spans="2:13" x14ac:dyDescent="0.2">
      <c r="B90" s="526"/>
      <c r="C90" s="533"/>
      <c r="D90" s="534"/>
      <c r="E90" s="536"/>
      <c r="F90" s="536"/>
      <c r="G90" s="536"/>
      <c r="H90" s="536"/>
      <c r="I90" s="536"/>
      <c r="J90" s="536"/>
      <c r="K90" s="536"/>
      <c r="L90" s="537"/>
      <c r="M90" s="495"/>
    </row>
    <row r="91" spans="2:13" x14ac:dyDescent="0.2">
      <c r="B91" s="526"/>
      <c r="C91" s="533"/>
      <c r="D91" s="534"/>
      <c r="E91" s="536"/>
      <c r="F91" s="536"/>
      <c r="G91" s="536"/>
      <c r="H91" s="536"/>
      <c r="I91" s="536"/>
      <c r="J91" s="536"/>
      <c r="K91" s="536"/>
      <c r="L91" s="537"/>
      <c r="M91" s="495"/>
    </row>
    <row r="92" spans="2:13" x14ac:dyDescent="0.2">
      <c r="B92" s="526"/>
      <c r="C92" s="533"/>
      <c r="D92" s="534"/>
      <c r="E92" s="536"/>
      <c r="F92" s="536"/>
      <c r="G92" s="536"/>
      <c r="H92" s="536"/>
      <c r="I92" s="536"/>
      <c r="J92" s="536"/>
      <c r="K92" s="536"/>
      <c r="L92" s="537"/>
      <c r="M92" s="495"/>
    </row>
    <row r="93" spans="2:13" x14ac:dyDescent="0.2">
      <c r="B93" s="526"/>
      <c r="C93" s="533"/>
      <c r="D93" s="534"/>
      <c r="E93" s="536"/>
      <c r="F93" s="536"/>
      <c r="G93" s="536"/>
      <c r="H93" s="536"/>
      <c r="I93" s="536"/>
      <c r="J93" s="536"/>
      <c r="K93" s="536"/>
      <c r="L93" s="537"/>
      <c r="M93" s="495"/>
    </row>
    <row r="94" spans="2:13" x14ac:dyDescent="0.2">
      <c r="B94" s="526"/>
      <c r="C94" s="533"/>
      <c r="D94" s="534"/>
      <c r="E94" s="536"/>
      <c r="F94" s="536"/>
      <c r="G94" s="536"/>
      <c r="H94" s="536"/>
      <c r="I94" s="536"/>
      <c r="J94" s="536"/>
      <c r="K94" s="536"/>
      <c r="L94" s="537"/>
      <c r="M94" s="495"/>
    </row>
    <row r="95" spans="2:13" x14ac:dyDescent="0.2">
      <c r="B95" s="526"/>
      <c r="C95" s="533"/>
      <c r="D95" s="534"/>
      <c r="E95" s="536"/>
      <c r="F95" s="536"/>
      <c r="G95" s="536"/>
      <c r="H95" s="536"/>
      <c r="I95" s="536"/>
      <c r="J95" s="536"/>
      <c r="K95" s="536"/>
      <c r="L95" s="537"/>
      <c r="M95" s="495"/>
    </row>
    <row r="96" spans="2:13" x14ac:dyDescent="0.2">
      <c r="B96" s="526"/>
      <c r="C96" s="533"/>
      <c r="D96" s="534"/>
      <c r="E96" s="536"/>
      <c r="F96" s="536"/>
      <c r="G96" s="536"/>
      <c r="H96" s="536"/>
      <c r="I96" s="536"/>
      <c r="J96" s="536"/>
      <c r="K96" s="536"/>
      <c r="L96" s="537"/>
      <c r="M96" s="495"/>
    </row>
    <row r="97" spans="2:13" x14ac:dyDescent="0.2">
      <c r="B97" s="529" t="s">
        <v>105</v>
      </c>
      <c r="C97" s="508"/>
      <c r="D97" s="522"/>
      <c r="E97" s="523"/>
      <c r="F97" s="523"/>
      <c r="G97" s="523"/>
      <c r="H97" s="523"/>
      <c r="I97" s="523"/>
      <c r="J97" s="523"/>
      <c r="K97" s="523"/>
      <c r="L97" s="524"/>
      <c r="M97" s="495"/>
    </row>
    <row r="98" spans="2:13" ht="118.9" customHeight="1" x14ac:dyDescent="0.2">
      <c r="B98" s="535" t="s">
        <v>295</v>
      </c>
      <c r="C98" s="533"/>
      <c r="D98" s="538" t="s">
        <v>296</v>
      </c>
      <c r="E98" s="514"/>
      <c r="F98" s="514"/>
      <c r="G98" s="514"/>
      <c r="H98" s="514"/>
      <c r="I98" s="514"/>
      <c r="J98" s="514"/>
      <c r="K98" s="514"/>
      <c r="L98" s="515"/>
      <c r="M98" s="495"/>
    </row>
    <row r="99" spans="2:13" ht="118.9" customHeight="1" x14ac:dyDescent="0.2">
      <c r="B99" s="535" t="s">
        <v>297</v>
      </c>
      <c r="C99" s="533"/>
      <c r="D99" s="538" t="s">
        <v>296</v>
      </c>
      <c r="E99" s="514"/>
      <c r="F99" s="514"/>
      <c r="G99" s="514"/>
      <c r="H99" s="514"/>
      <c r="I99" s="514"/>
      <c r="J99" s="514"/>
      <c r="K99" s="514"/>
      <c r="L99" s="515"/>
      <c r="M99" s="495"/>
    </row>
    <row r="100" spans="2:13" ht="13.15" customHeight="1" x14ac:dyDescent="0.2">
      <c r="B100" s="526"/>
      <c r="C100" s="533"/>
      <c r="D100" s="534"/>
      <c r="E100" s="514"/>
      <c r="F100" s="514"/>
      <c r="G100" s="514"/>
      <c r="H100" s="514"/>
      <c r="I100" s="514"/>
      <c r="J100" s="514"/>
      <c r="K100" s="514"/>
      <c r="L100" s="515"/>
      <c r="M100" s="495"/>
    </row>
    <row r="101" spans="2:13" x14ac:dyDescent="0.2">
      <c r="B101" s="526"/>
      <c r="C101" s="533"/>
      <c r="D101" s="534"/>
      <c r="E101" s="536"/>
      <c r="F101" s="536"/>
      <c r="G101" s="536"/>
      <c r="H101" s="536"/>
      <c r="I101" s="536"/>
      <c r="J101" s="536"/>
      <c r="K101" s="536"/>
      <c r="L101" s="537"/>
      <c r="M101" s="495"/>
    </row>
    <row r="102" spans="2:13" x14ac:dyDescent="0.2">
      <c r="B102" s="526"/>
      <c r="C102" s="533"/>
      <c r="D102" s="534"/>
      <c r="E102" s="536"/>
      <c r="F102" s="536"/>
      <c r="G102" s="536"/>
      <c r="H102" s="536"/>
      <c r="I102" s="536"/>
      <c r="J102" s="536"/>
      <c r="K102" s="536"/>
      <c r="L102" s="537"/>
      <c r="M102" s="495"/>
    </row>
    <row r="103" spans="2:13" x14ac:dyDescent="0.2">
      <c r="B103" s="526"/>
      <c r="C103" s="533"/>
      <c r="D103" s="534"/>
      <c r="E103" s="536"/>
      <c r="F103" s="536"/>
      <c r="G103" s="536"/>
      <c r="H103" s="536"/>
      <c r="I103" s="536"/>
      <c r="J103" s="536"/>
      <c r="K103" s="536"/>
      <c r="L103" s="537"/>
      <c r="M103" s="495"/>
    </row>
    <row r="104" spans="2:13" x14ac:dyDescent="0.2">
      <c r="B104" s="526"/>
      <c r="C104" s="533"/>
      <c r="D104" s="534"/>
      <c r="E104" s="536"/>
      <c r="F104" s="536"/>
      <c r="G104" s="536"/>
      <c r="H104" s="536"/>
      <c r="I104" s="536"/>
      <c r="J104" s="536"/>
      <c r="K104" s="536"/>
      <c r="L104" s="537"/>
      <c r="M104" s="495"/>
    </row>
    <row r="105" spans="2:13" x14ac:dyDescent="0.2">
      <c r="B105" s="526"/>
      <c r="C105" s="533"/>
      <c r="D105" s="534"/>
      <c r="E105" s="536"/>
      <c r="F105" s="536"/>
      <c r="G105" s="536"/>
      <c r="H105" s="536"/>
      <c r="I105" s="536"/>
      <c r="J105" s="536"/>
      <c r="K105" s="536"/>
      <c r="L105" s="537"/>
      <c r="M105" s="495"/>
    </row>
    <row r="106" spans="2:13" x14ac:dyDescent="0.2">
      <c r="B106" s="526"/>
      <c r="C106" s="533"/>
      <c r="D106" s="534"/>
      <c r="E106" s="536"/>
      <c r="F106" s="536"/>
      <c r="G106" s="536"/>
      <c r="H106" s="536"/>
      <c r="I106" s="536"/>
      <c r="J106" s="536"/>
      <c r="K106" s="536"/>
      <c r="L106" s="537"/>
      <c r="M106" s="495"/>
    </row>
    <row r="107" spans="2:13" x14ac:dyDescent="0.2">
      <c r="B107" s="526"/>
      <c r="C107" s="533"/>
      <c r="D107" s="534"/>
      <c r="E107" s="536"/>
      <c r="F107" s="536"/>
      <c r="G107" s="536"/>
      <c r="H107" s="536"/>
      <c r="I107" s="536"/>
      <c r="J107" s="536"/>
      <c r="K107" s="536"/>
      <c r="L107" s="537"/>
      <c r="M107" s="495"/>
    </row>
    <row r="108" spans="2:13" x14ac:dyDescent="0.2">
      <c r="B108" s="529" t="s">
        <v>298</v>
      </c>
      <c r="C108" s="508"/>
      <c r="D108" s="522"/>
      <c r="E108" s="523"/>
      <c r="F108" s="523"/>
      <c r="G108" s="523"/>
      <c r="H108" s="523"/>
      <c r="I108" s="523"/>
      <c r="J108" s="523"/>
      <c r="K108" s="523"/>
      <c r="L108" s="524"/>
      <c r="M108" s="495"/>
    </row>
    <row r="109" spans="2:13" ht="198" customHeight="1" x14ac:dyDescent="0.2">
      <c r="B109" s="535" t="s">
        <v>299</v>
      </c>
      <c r="C109" s="533"/>
      <c r="D109" s="538" t="s">
        <v>284</v>
      </c>
      <c r="E109" s="514"/>
      <c r="F109" s="514"/>
      <c r="G109" s="514"/>
      <c r="H109" s="514"/>
      <c r="I109" s="514"/>
      <c r="J109" s="514"/>
      <c r="K109" s="514"/>
      <c r="L109" s="515"/>
      <c r="M109" s="495"/>
    </row>
    <row r="110" spans="2:13" ht="92.45" customHeight="1" x14ac:dyDescent="0.2">
      <c r="B110" s="535" t="s">
        <v>300</v>
      </c>
      <c r="C110" s="533"/>
      <c r="D110" s="538" t="s">
        <v>284</v>
      </c>
      <c r="E110" s="514"/>
      <c r="F110" s="514"/>
      <c r="G110" s="514"/>
      <c r="H110" s="514"/>
      <c r="I110" s="514"/>
      <c r="J110" s="514"/>
      <c r="K110" s="514"/>
      <c r="L110" s="515"/>
      <c r="M110" s="495"/>
    </row>
    <row r="111" spans="2:13" ht="92.45" customHeight="1" x14ac:dyDescent="0.2">
      <c r="B111" s="535" t="s">
        <v>301</v>
      </c>
      <c r="C111" s="533"/>
      <c r="D111" s="538" t="s">
        <v>284</v>
      </c>
      <c r="E111" s="514"/>
      <c r="F111" s="514"/>
      <c r="G111" s="514"/>
      <c r="H111" s="514"/>
      <c r="I111" s="514"/>
      <c r="J111" s="514"/>
      <c r="K111" s="514"/>
      <c r="L111" s="515"/>
      <c r="M111" s="495"/>
    </row>
    <row r="112" spans="2:13" ht="13.15" customHeight="1" x14ac:dyDescent="0.2">
      <c r="B112" s="526"/>
      <c r="C112" s="533"/>
      <c r="D112" s="534"/>
      <c r="E112" s="514"/>
      <c r="F112" s="514"/>
      <c r="G112" s="514"/>
      <c r="H112" s="514"/>
      <c r="I112" s="514"/>
      <c r="J112" s="514"/>
      <c r="K112" s="514"/>
      <c r="L112" s="515"/>
      <c r="M112" s="495"/>
    </row>
    <row r="113" spans="2:16" x14ac:dyDescent="0.2">
      <c r="B113" s="526"/>
      <c r="C113" s="533"/>
      <c r="D113" s="534"/>
      <c r="E113" s="536"/>
      <c r="F113" s="536"/>
      <c r="G113" s="536"/>
      <c r="H113" s="536"/>
      <c r="I113" s="536"/>
      <c r="J113" s="536"/>
      <c r="K113" s="536"/>
      <c r="L113" s="537"/>
      <c r="M113" s="495"/>
    </row>
    <row r="114" spans="2:16" x14ac:dyDescent="0.2">
      <c r="B114" s="526"/>
      <c r="C114" s="533"/>
      <c r="D114" s="534"/>
      <c r="E114" s="536"/>
      <c r="F114" s="536"/>
      <c r="G114" s="536"/>
      <c r="H114" s="536"/>
      <c r="I114" s="536"/>
      <c r="J114" s="536"/>
      <c r="K114" s="536"/>
      <c r="L114" s="537"/>
      <c r="M114" s="495"/>
    </row>
    <row r="115" spans="2:16" x14ac:dyDescent="0.2">
      <c r="B115" s="526"/>
      <c r="C115" s="533"/>
      <c r="D115" s="534"/>
      <c r="E115" s="536"/>
      <c r="F115" s="536"/>
      <c r="G115" s="536"/>
      <c r="H115" s="536"/>
      <c r="I115" s="536"/>
      <c r="J115" s="536"/>
      <c r="K115" s="536"/>
      <c r="L115" s="537"/>
      <c r="M115" s="495"/>
    </row>
    <row r="116" spans="2:16" x14ac:dyDescent="0.2">
      <c r="B116" s="526"/>
      <c r="C116" s="533"/>
      <c r="D116" s="534"/>
      <c r="E116" s="536"/>
      <c r="F116" s="536"/>
      <c r="G116" s="536"/>
      <c r="H116" s="536"/>
      <c r="I116" s="536"/>
      <c r="J116" s="536"/>
      <c r="K116" s="536"/>
      <c r="L116" s="537"/>
      <c r="M116" s="495"/>
    </row>
    <row r="117" spans="2:16" x14ac:dyDescent="0.2">
      <c r="B117" s="526"/>
      <c r="C117" s="533"/>
      <c r="D117" s="534"/>
      <c r="E117" s="536"/>
      <c r="F117" s="536"/>
      <c r="G117" s="536"/>
      <c r="H117" s="536"/>
      <c r="I117" s="536"/>
      <c r="J117" s="536"/>
      <c r="K117" s="536"/>
      <c r="L117" s="537"/>
      <c r="M117" s="495"/>
    </row>
    <row r="118" spans="2:16" ht="13.5" thickBot="1" x14ac:dyDescent="0.25">
      <c r="B118" s="526"/>
      <c r="C118" s="533"/>
      <c r="D118" s="534"/>
      <c r="E118" s="536"/>
      <c r="F118" s="536"/>
      <c r="G118" s="536"/>
      <c r="H118" s="536"/>
      <c r="I118" s="536"/>
      <c r="J118" s="536"/>
      <c r="K118" s="536"/>
      <c r="L118" s="537"/>
      <c r="M118" s="495"/>
    </row>
    <row r="119" spans="2:16" x14ac:dyDescent="0.2">
      <c r="B119" s="502" t="s">
        <v>302</v>
      </c>
      <c r="C119" s="503"/>
      <c r="D119" s="504"/>
      <c r="E119" s="505"/>
      <c r="F119" s="505"/>
      <c r="G119" s="505"/>
      <c r="H119" s="505"/>
      <c r="I119" s="505"/>
      <c r="J119" s="505"/>
      <c r="K119" s="505"/>
      <c r="L119" s="506"/>
      <c r="M119" s="495"/>
    </row>
    <row r="120" spans="2:16" x14ac:dyDescent="0.2">
      <c r="B120" s="539" t="s">
        <v>303</v>
      </c>
      <c r="C120" s="508"/>
      <c r="D120" s="522"/>
      <c r="E120" s="523"/>
      <c r="F120" s="523"/>
      <c r="G120" s="523"/>
      <c r="H120" s="523"/>
      <c r="I120" s="523"/>
      <c r="J120" s="523"/>
      <c r="K120" s="523"/>
      <c r="L120" s="524"/>
      <c r="M120" s="495"/>
    </row>
    <row r="121" spans="2:16" ht="79.150000000000006" customHeight="1" x14ac:dyDescent="0.2">
      <c r="B121" s="535" t="s">
        <v>303</v>
      </c>
      <c r="C121" s="540"/>
      <c r="D121" s="538" t="s">
        <v>304</v>
      </c>
      <c r="E121" s="514"/>
      <c r="F121" s="514"/>
      <c r="G121" s="514"/>
      <c r="H121" s="514"/>
      <c r="I121" s="514"/>
      <c r="J121" s="514"/>
      <c r="K121" s="514"/>
      <c r="L121" s="515"/>
      <c r="M121" s="495"/>
      <c r="P121" s="541"/>
    </row>
    <row r="122" spans="2:16" ht="13.15" customHeight="1" x14ac:dyDescent="0.2">
      <c r="B122" s="526"/>
      <c r="C122" s="540"/>
      <c r="D122" s="534"/>
      <c r="E122" s="514"/>
      <c r="F122" s="514"/>
      <c r="G122" s="514"/>
      <c r="H122" s="514"/>
      <c r="I122" s="514"/>
      <c r="J122" s="514"/>
      <c r="K122" s="514"/>
      <c r="L122" s="515"/>
      <c r="M122" s="495"/>
      <c r="P122" s="541"/>
    </row>
    <row r="123" spans="2:16" x14ac:dyDescent="0.2">
      <c r="B123" s="526"/>
      <c r="C123" s="540"/>
      <c r="D123" s="534"/>
      <c r="E123" s="536"/>
      <c r="F123" s="536"/>
      <c r="G123" s="536"/>
      <c r="H123" s="536"/>
      <c r="I123" s="536"/>
      <c r="J123" s="536"/>
      <c r="K123" s="536"/>
      <c r="L123" s="537"/>
      <c r="M123" s="495"/>
    </row>
    <row r="124" spans="2:16" x14ac:dyDescent="0.2">
      <c r="B124" s="526"/>
      <c r="C124" s="540"/>
      <c r="D124" s="534"/>
      <c r="E124" s="536"/>
      <c r="F124" s="536"/>
      <c r="G124" s="536"/>
      <c r="H124" s="536"/>
      <c r="I124" s="536"/>
      <c r="J124" s="536"/>
      <c r="K124" s="536"/>
      <c r="L124" s="537"/>
      <c r="M124" s="495"/>
    </row>
    <row r="125" spans="2:16" x14ac:dyDescent="0.2">
      <c r="B125" s="526"/>
      <c r="C125" s="540"/>
      <c r="D125" s="534"/>
      <c r="E125" s="536"/>
      <c r="F125" s="536"/>
      <c r="G125" s="536"/>
      <c r="H125" s="536"/>
      <c r="I125" s="536"/>
      <c r="J125" s="536"/>
      <c r="K125" s="536"/>
      <c r="L125" s="537"/>
      <c r="M125" s="495"/>
    </row>
    <row r="126" spans="2:16" x14ac:dyDescent="0.2">
      <c r="B126" s="526"/>
      <c r="C126" s="540"/>
      <c r="D126" s="534"/>
      <c r="E126" s="536"/>
      <c r="F126" s="536"/>
      <c r="G126" s="536"/>
      <c r="H126" s="536"/>
      <c r="I126" s="536"/>
      <c r="J126" s="536"/>
      <c r="K126" s="536"/>
      <c r="L126" s="537"/>
      <c r="M126" s="495"/>
    </row>
    <row r="127" spans="2:16" x14ac:dyDescent="0.2">
      <c r="B127" s="542"/>
      <c r="C127" s="543"/>
      <c r="D127" s="544"/>
      <c r="E127" s="545"/>
      <c r="F127" s="545"/>
      <c r="G127" s="545"/>
      <c r="H127" s="545"/>
      <c r="I127" s="545"/>
      <c r="J127" s="545"/>
      <c r="K127" s="545"/>
      <c r="L127" s="546"/>
      <c r="M127" s="495"/>
    </row>
    <row r="128" spans="2:16" x14ac:dyDescent="0.2">
      <c r="B128" s="529" t="s">
        <v>113</v>
      </c>
      <c r="C128" s="508"/>
      <c r="D128" s="522"/>
      <c r="E128" s="523"/>
      <c r="F128" s="523"/>
      <c r="G128" s="523"/>
      <c r="H128" s="523"/>
      <c r="I128" s="523"/>
      <c r="J128" s="523"/>
      <c r="K128" s="523"/>
      <c r="L128" s="524"/>
      <c r="M128" s="495"/>
    </row>
    <row r="129" spans="2:13" ht="92.45" customHeight="1" x14ac:dyDescent="0.2">
      <c r="B129" s="535" t="s">
        <v>113</v>
      </c>
      <c r="C129" s="540"/>
      <c r="D129" s="538" t="s">
        <v>305</v>
      </c>
      <c r="E129" s="514"/>
      <c r="F129" s="514"/>
      <c r="G129" s="514"/>
      <c r="H129" s="514"/>
      <c r="I129" s="514"/>
      <c r="J129" s="514"/>
      <c r="K129" s="514"/>
      <c r="L129" s="515"/>
      <c r="M129" s="495"/>
    </row>
    <row r="130" spans="2:13" ht="13.15" customHeight="1" x14ac:dyDescent="0.2">
      <c r="B130" s="526"/>
      <c r="C130" s="540"/>
      <c r="D130" s="534"/>
      <c r="E130" s="514"/>
      <c r="F130" s="514"/>
      <c r="G130" s="514"/>
      <c r="H130" s="514"/>
      <c r="I130" s="514"/>
      <c r="J130" s="514"/>
      <c r="K130" s="514"/>
      <c r="L130" s="515"/>
      <c r="M130" s="495"/>
    </row>
    <row r="131" spans="2:13" x14ac:dyDescent="0.2">
      <c r="B131" s="526"/>
      <c r="C131" s="540"/>
      <c r="D131" s="534"/>
      <c r="E131" s="536"/>
      <c r="F131" s="536"/>
      <c r="G131" s="536"/>
      <c r="H131" s="536"/>
      <c r="I131" s="536"/>
      <c r="J131" s="536"/>
      <c r="K131" s="536"/>
      <c r="L131" s="537"/>
      <c r="M131" s="495"/>
    </row>
    <row r="132" spans="2:13" x14ac:dyDescent="0.2">
      <c r="B132" s="526"/>
      <c r="C132" s="540"/>
      <c r="D132" s="534"/>
      <c r="E132" s="536"/>
      <c r="F132" s="536"/>
      <c r="G132" s="536"/>
      <c r="H132" s="536"/>
      <c r="I132" s="536"/>
      <c r="J132" s="536"/>
      <c r="K132" s="536"/>
      <c r="L132" s="537"/>
      <c r="M132" s="495"/>
    </row>
    <row r="133" spans="2:13" x14ac:dyDescent="0.2">
      <c r="B133" s="526"/>
      <c r="C133" s="540"/>
      <c r="D133" s="534"/>
      <c r="E133" s="536"/>
      <c r="F133" s="536"/>
      <c r="G133" s="536"/>
      <c r="H133" s="536"/>
      <c r="I133" s="536"/>
      <c r="J133" s="536"/>
      <c r="K133" s="536"/>
      <c r="L133" s="537"/>
      <c r="M133" s="495"/>
    </row>
    <row r="134" spans="2:13" x14ac:dyDescent="0.2">
      <c r="B134" s="526"/>
      <c r="C134" s="540"/>
      <c r="D134" s="534"/>
      <c r="E134" s="536"/>
      <c r="F134" s="536"/>
      <c r="G134" s="536"/>
      <c r="H134" s="536"/>
      <c r="I134" s="536"/>
      <c r="J134" s="536"/>
      <c r="K134" s="536"/>
      <c r="L134" s="537"/>
      <c r="M134" s="495"/>
    </row>
    <row r="135" spans="2:13" x14ac:dyDescent="0.2">
      <c r="B135" s="542"/>
      <c r="C135" s="543"/>
      <c r="D135" s="544"/>
      <c r="E135" s="545"/>
      <c r="F135" s="545"/>
      <c r="G135" s="545"/>
      <c r="H135" s="545"/>
      <c r="I135" s="545"/>
      <c r="J135" s="545"/>
      <c r="K135" s="545"/>
      <c r="L135" s="546"/>
      <c r="M135" s="495"/>
    </row>
    <row r="136" spans="2:13" x14ac:dyDescent="0.2">
      <c r="B136" s="529" t="s">
        <v>115</v>
      </c>
      <c r="C136" s="508"/>
      <c r="D136" s="522"/>
      <c r="E136" s="523"/>
      <c r="F136" s="523"/>
      <c r="G136" s="523"/>
      <c r="H136" s="523"/>
      <c r="I136" s="523"/>
      <c r="J136" s="523"/>
      <c r="K136" s="523"/>
      <c r="L136" s="524"/>
      <c r="M136" s="495"/>
    </row>
    <row r="137" spans="2:13" ht="39.6" customHeight="1" x14ac:dyDescent="0.2">
      <c r="B137" s="535" t="s">
        <v>115</v>
      </c>
      <c r="C137" s="540"/>
      <c r="D137" s="538" t="s">
        <v>306</v>
      </c>
      <c r="E137" s="514"/>
      <c r="F137" s="514"/>
      <c r="G137" s="514"/>
      <c r="H137" s="514"/>
      <c r="I137" s="514"/>
      <c r="J137" s="514"/>
      <c r="K137" s="514"/>
      <c r="L137" s="515"/>
      <c r="M137" s="495"/>
    </row>
    <row r="138" spans="2:13" ht="13.15" customHeight="1" x14ac:dyDescent="0.2">
      <c r="B138" s="526"/>
      <c r="C138" s="540"/>
      <c r="D138" s="534"/>
      <c r="E138" s="514"/>
      <c r="F138" s="514"/>
      <c r="G138" s="514"/>
      <c r="H138" s="514"/>
      <c r="I138" s="514"/>
      <c r="J138" s="514"/>
      <c r="K138" s="514"/>
      <c r="L138" s="515"/>
      <c r="M138" s="495"/>
    </row>
    <row r="139" spans="2:13" x14ac:dyDescent="0.2">
      <c r="B139" s="526"/>
      <c r="C139" s="540"/>
      <c r="D139" s="534"/>
      <c r="E139" s="536"/>
      <c r="F139" s="536"/>
      <c r="G139" s="536"/>
      <c r="H139" s="536"/>
      <c r="I139" s="536"/>
      <c r="J139" s="536"/>
      <c r="K139" s="536"/>
      <c r="L139" s="537"/>
      <c r="M139" s="495"/>
    </row>
    <row r="140" spans="2:13" x14ac:dyDescent="0.2">
      <c r="B140" s="526"/>
      <c r="C140" s="540"/>
      <c r="D140" s="534"/>
      <c r="E140" s="536"/>
      <c r="F140" s="536"/>
      <c r="G140" s="536"/>
      <c r="H140" s="536"/>
      <c r="I140" s="536"/>
      <c r="J140" s="536"/>
      <c r="K140" s="536"/>
      <c r="L140" s="537"/>
      <c r="M140" s="495"/>
    </row>
    <row r="141" spans="2:13" x14ac:dyDescent="0.2">
      <c r="B141" s="526"/>
      <c r="C141" s="540"/>
      <c r="D141" s="534"/>
      <c r="E141" s="536"/>
      <c r="F141" s="536"/>
      <c r="G141" s="536"/>
      <c r="H141" s="536"/>
      <c r="I141" s="536"/>
      <c r="J141" s="536"/>
      <c r="K141" s="536"/>
      <c r="L141" s="537"/>
      <c r="M141" s="495"/>
    </row>
    <row r="142" spans="2:13" x14ac:dyDescent="0.2">
      <c r="B142" s="526"/>
      <c r="C142" s="540"/>
      <c r="D142" s="534"/>
      <c r="E142" s="536"/>
      <c r="F142" s="536"/>
      <c r="G142" s="536"/>
      <c r="H142" s="536"/>
      <c r="I142" s="536"/>
      <c r="J142" s="536"/>
      <c r="K142" s="536"/>
      <c r="L142" s="537"/>
      <c r="M142" s="495"/>
    </row>
    <row r="143" spans="2:13" x14ac:dyDescent="0.2">
      <c r="B143" s="542"/>
      <c r="C143" s="543"/>
      <c r="D143" s="544"/>
      <c r="E143" s="545"/>
      <c r="F143" s="545"/>
      <c r="G143" s="545"/>
      <c r="H143" s="545"/>
      <c r="I143" s="545"/>
      <c r="J143" s="545"/>
      <c r="K143" s="545"/>
      <c r="L143" s="546"/>
      <c r="M143" s="495"/>
    </row>
    <row r="144" spans="2:13" x14ac:dyDescent="0.2">
      <c r="B144" s="529" t="s">
        <v>117</v>
      </c>
      <c r="C144" s="508"/>
      <c r="D144" s="522"/>
      <c r="E144" s="523"/>
      <c r="F144" s="523"/>
      <c r="G144" s="523"/>
      <c r="H144" s="523"/>
      <c r="I144" s="523"/>
      <c r="J144" s="523"/>
      <c r="K144" s="523"/>
      <c r="L144" s="524"/>
      <c r="M144" s="495"/>
    </row>
    <row r="145" spans="2:13" ht="26.45" customHeight="1" x14ac:dyDescent="0.2">
      <c r="B145" s="535" t="s">
        <v>117</v>
      </c>
      <c r="C145" s="540"/>
      <c r="D145" s="538" t="s">
        <v>307</v>
      </c>
      <c r="E145" s="514"/>
      <c r="F145" s="514"/>
      <c r="G145" s="514"/>
      <c r="H145" s="514"/>
      <c r="I145" s="514"/>
      <c r="J145" s="514"/>
      <c r="K145" s="514"/>
      <c r="L145" s="515"/>
      <c r="M145" s="495"/>
    </row>
    <row r="146" spans="2:13" ht="13.15" customHeight="1" x14ac:dyDescent="0.2">
      <c r="B146" s="526"/>
      <c r="C146" s="540"/>
      <c r="D146" s="534"/>
      <c r="E146" s="514"/>
      <c r="F146" s="514"/>
      <c r="G146" s="514"/>
      <c r="H146" s="514"/>
      <c r="I146" s="514"/>
      <c r="J146" s="514"/>
      <c r="K146" s="514"/>
      <c r="L146" s="515"/>
      <c r="M146" s="495"/>
    </row>
    <row r="147" spans="2:13" x14ac:dyDescent="0.2">
      <c r="B147" s="526"/>
      <c r="C147" s="540"/>
      <c r="D147" s="534"/>
      <c r="E147" s="536"/>
      <c r="F147" s="536"/>
      <c r="G147" s="536"/>
      <c r="H147" s="536"/>
      <c r="I147" s="536"/>
      <c r="J147" s="536"/>
      <c r="K147" s="536"/>
      <c r="L147" s="537"/>
      <c r="M147" s="495"/>
    </row>
    <row r="148" spans="2:13" x14ac:dyDescent="0.2">
      <c r="B148" s="526"/>
      <c r="C148" s="540"/>
      <c r="D148" s="534"/>
      <c r="E148" s="536"/>
      <c r="F148" s="536"/>
      <c r="G148" s="536"/>
      <c r="H148" s="536"/>
      <c r="I148" s="536"/>
      <c r="J148" s="536"/>
      <c r="K148" s="536"/>
      <c r="L148" s="537"/>
      <c r="M148" s="495"/>
    </row>
    <row r="149" spans="2:13" x14ac:dyDescent="0.2">
      <c r="B149" s="526"/>
      <c r="C149" s="540"/>
      <c r="D149" s="534"/>
      <c r="E149" s="536"/>
      <c r="F149" s="536"/>
      <c r="G149" s="536"/>
      <c r="H149" s="536"/>
      <c r="I149" s="536"/>
      <c r="J149" s="536"/>
      <c r="K149" s="536"/>
      <c r="L149" s="537"/>
      <c r="M149" s="495"/>
    </row>
    <row r="150" spans="2:13" x14ac:dyDescent="0.2">
      <c r="B150" s="526"/>
      <c r="C150" s="540"/>
      <c r="D150" s="534"/>
      <c r="E150" s="536"/>
      <c r="F150" s="536"/>
      <c r="G150" s="536"/>
      <c r="H150" s="536"/>
      <c r="I150" s="536"/>
      <c r="J150" s="536"/>
      <c r="K150" s="536"/>
      <c r="L150" s="537"/>
      <c r="M150" s="495"/>
    </row>
    <row r="151" spans="2:13" x14ac:dyDescent="0.2">
      <c r="B151" s="542"/>
      <c r="C151" s="543"/>
      <c r="D151" s="544"/>
      <c r="E151" s="545"/>
      <c r="F151" s="545"/>
      <c r="G151" s="545"/>
      <c r="H151" s="545"/>
      <c r="I151" s="545"/>
      <c r="J151" s="545"/>
      <c r="K151" s="545"/>
      <c r="L151" s="546"/>
      <c r="M151" s="495"/>
    </row>
    <row r="152" spans="2:13" x14ac:dyDescent="0.2">
      <c r="B152" s="529" t="s">
        <v>119</v>
      </c>
      <c r="C152" s="508"/>
      <c r="D152" s="522"/>
      <c r="E152" s="523"/>
      <c r="F152" s="523"/>
      <c r="G152" s="523"/>
      <c r="H152" s="523"/>
      <c r="I152" s="523"/>
      <c r="J152" s="523"/>
      <c r="K152" s="523"/>
      <c r="L152" s="524"/>
      <c r="M152" s="495"/>
    </row>
    <row r="153" spans="2:13" ht="26.45" customHeight="1" x14ac:dyDescent="0.2">
      <c r="B153" s="535" t="s">
        <v>275</v>
      </c>
      <c r="C153" s="540"/>
      <c r="D153" s="538" t="s">
        <v>308</v>
      </c>
      <c r="E153" s="514"/>
      <c r="F153" s="514"/>
      <c r="G153" s="514"/>
      <c r="H153" s="514"/>
      <c r="I153" s="514"/>
      <c r="J153" s="514"/>
      <c r="K153" s="514"/>
      <c r="L153" s="515"/>
      <c r="M153" s="495"/>
    </row>
    <row r="154" spans="2:13" ht="26.45" customHeight="1" x14ac:dyDescent="0.2">
      <c r="B154" s="535" t="s">
        <v>277</v>
      </c>
      <c r="C154" s="540"/>
      <c r="D154" s="538" t="s">
        <v>309</v>
      </c>
      <c r="E154" s="514"/>
      <c r="F154" s="514"/>
      <c r="G154" s="514"/>
      <c r="H154" s="514"/>
      <c r="I154" s="514"/>
      <c r="J154" s="514"/>
      <c r="K154" s="514"/>
      <c r="L154" s="515"/>
      <c r="M154" s="495"/>
    </row>
    <row r="155" spans="2:13" ht="39.6" customHeight="1" x14ac:dyDescent="0.2">
      <c r="B155" s="547" t="s">
        <v>310</v>
      </c>
      <c r="C155" s="540"/>
      <c r="D155" s="538" t="s">
        <v>311</v>
      </c>
      <c r="E155" s="514"/>
      <c r="F155" s="514"/>
      <c r="G155" s="514"/>
      <c r="H155" s="514"/>
      <c r="I155" s="514"/>
      <c r="J155" s="514"/>
      <c r="K155" s="514"/>
      <c r="L155" s="515"/>
      <c r="M155" s="495"/>
    </row>
    <row r="156" spans="2:13" ht="13.15" customHeight="1" x14ac:dyDescent="0.2">
      <c r="B156" s="526"/>
      <c r="C156" s="540"/>
      <c r="D156" s="534"/>
      <c r="E156" s="514"/>
      <c r="F156" s="514"/>
      <c r="G156" s="514"/>
      <c r="H156" s="514"/>
      <c r="I156" s="514"/>
      <c r="J156" s="514"/>
      <c r="K156" s="514"/>
      <c r="L156" s="515"/>
      <c r="M156" s="495"/>
    </row>
    <row r="157" spans="2:13" x14ac:dyDescent="0.2">
      <c r="B157" s="526"/>
      <c r="C157" s="540"/>
      <c r="D157" s="534"/>
      <c r="E157" s="536"/>
      <c r="F157" s="536"/>
      <c r="G157" s="536"/>
      <c r="H157" s="536"/>
      <c r="I157" s="536"/>
      <c r="J157" s="536"/>
      <c r="K157" s="536"/>
      <c r="L157" s="537"/>
      <c r="M157" s="495"/>
    </row>
    <row r="158" spans="2:13" x14ac:dyDescent="0.2">
      <c r="B158" s="526"/>
      <c r="C158" s="540"/>
      <c r="D158" s="534"/>
      <c r="E158" s="536"/>
      <c r="F158" s="536"/>
      <c r="G158" s="536"/>
      <c r="H158" s="536"/>
      <c r="I158" s="536"/>
      <c r="J158" s="536"/>
      <c r="K158" s="536"/>
      <c r="L158" s="537"/>
      <c r="M158" s="495"/>
    </row>
    <row r="159" spans="2:13" x14ac:dyDescent="0.2">
      <c r="B159" s="548"/>
      <c r="C159" s="549"/>
      <c r="D159" s="544"/>
      <c r="E159" s="545"/>
      <c r="F159" s="545"/>
      <c r="G159" s="545"/>
      <c r="H159" s="545"/>
      <c r="I159" s="545"/>
      <c r="J159" s="545"/>
      <c r="K159" s="545"/>
      <c r="L159" s="546"/>
      <c r="M159" s="495"/>
    </row>
    <row r="160" spans="2:13" x14ac:dyDescent="0.2">
      <c r="B160" s="521" t="s">
        <v>312</v>
      </c>
      <c r="C160" s="550"/>
      <c r="D160" s="522"/>
      <c r="E160" s="523"/>
      <c r="F160" s="523"/>
      <c r="G160" s="523"/>
      <c r="H160" s="523"/>
      <c r="I160" s="523"/>
      <c r="J160" s="523"/>
      <c r="K160" s="523"/>
      <c r="L160" s="524"/>
      <c r="M160" s="77"/>
    </row>
    <row r="161" spans="2:13" ht="13.15" customHeight="1" x14ac:dyDescent="0.2">
      <c r="B161" s="535" t="s">
        <v>312</v>
      </c>
      <c r="C161" s="540"/>
      <c r="D161" s="538" t="s">
        <v>280</v>
      </c>
      <c r="E161" s="514"/>
      <c r="F161" s="514"/>
      <c r="G161" s="514"/>
      <c r="H161" s="514"/>
      <c r="I161" s="514"/>
      <c r="J161" s="514"/>
      <c r="K161" s="514"/>
      <c r="L161" s="515"/>
      <c r="M161" s="495"/>
    </row>
    <row r="162" spans="2:13" ht="13.15" customHeight="1" x14ac:dyDescent="0.2">
      <c r="B162" s="526"/>
      <c r="C162" s="540"/>
      <c r="D162" s="534"/>
      <c r="E162" s="514"/>
      <c r="F162" s="514"/>
      <c r="G162" s="514"/>
      <c r="H162" s="514"/>
      <c r="I162" s="514"/>
      <c r="J162" s="514"/>
      <c r="K162" s="514"/>
      <c r="L162" s="515"/>
      <c r="M162" s="495"/>
    </row>
    <row r="163" spans="2:13" x14ac:dyDescent="0.2">
      <c r="B163" s="526"/>
      <c r="C163" s="540"/>
      <c r="D163" s="534"/>
      <c r="E163" s="536"/>
      <c r="F163" s="536"/>
      <c r="G163" s="536"/>
      <c r="H163" s="536"/>
      <c r="I163" s="536"/>
      <c r="J163" s="536"/>
      <c r="K163" s="536"/>
      <c r="L163" s="537"/>
      <c r="M163" s="495"/>
    </row>
    <row r="164" spans="2:13" x14ac:dyDescent="0.2">
      <c r="B164" s="526"/>
      <c r="C164" s="540"/>
      <c r="D164" s="534"/>
      <c r="E164" s="536"/>
      <c r="F164" s="536"/>
      <c r="G164" s="536"/>
      <c r="H164" s="536"/>
      <c r="I164" s="536"/>
      <c r="J164" s="536"/>
      <c r="K164" s="536"/>
      <c r="L164" s="537"/>
      <c r="M164" s="495"/>
    </row>
    <row r="165" spans="2:13" x14ac:dyDescent="0.2">
      <c r="B165" s="526"/>
      <c r="C165" s="540"/>
      <c r="D165" s="534"/>
      <c r="E165" s="536"/>
      <c r="F165" s="536"/>
      <c r="G165" s="536"/>
      <c r="H165" s="536"/>
      <c r="I165" s="536"/>
      <c r="J165" s="536"/>
      <c r="K165" s="536"/>
      <c r="L165" s="537"/>
      <c r="M165" s="495"/>
    </row>
    <row r="166" spans="2:13" x14ac:dyDescent="0.2">
      <c r="B166" s="526"/>
      <c r="C166" s="540"/>
      <c r="D166" s="534"/>
      <c r="E166" s="536"/>
      <c r="F166" s="536"/>
      <c r="G166" s="536"/>
      <c r="H166" s="536"/>
      <c r="I166" s="536"/>
      <c r="J166" s="536"/>
      <c r="K166" s="536"/>
      <c r="L166" s="537"/>
      <c r="M166" s="495"/>
    </row>
    <row r="167" spans="2:13" x14ac:dyDescent="0.2">
      <c r="B167" s="548"/>
      <c r="C167" s="551"/>
      <c r="D167" s="534"/>
      <c r="E167" s="536"/>
      <c r="F167" s="536"/>
      <c r="G167" s="536"/>
      <c r="H167" s="536"/>
      <c r="I167" s="536"/>
      <c r="J167" s="536"/>
      <c r="K167" s="536"/>
      <c r="L167" s="537"/>
    </row>
    <row r="168" spans="2:13" ht="12.75" customHeight="1" x14ac:dyDescent="0.2">
      <c r="B168" s="521" t="s">
        <v>121</v>
      </c>
      <c r="C168" s="508"/>
      <c r="D168" s="530"/>
      <c r="E168" s="552"/>
      <c r="F168" s="552"/>
      <c r="G168" s="552"/>
      <c r="H168" s="552"/>
      <c r="I168" s="552"/>
      <c r="J168" s="552"/>
      <c r="K168" s="552"/>
      <c r="L168" s="553"/>
      <c r="M168" s="77"/>
    </row>
    <row r="169" spans="2:13" ht="92.45" customHeight="1" x14ac:dyDescent="0.2">
      <c r="B169" s="535" t="s">
        <v>121</v>
      </c>
      <c r="C169" s="540"/>
      <c r="D169" s="538" t="s">
        <v>313</v>
      </c>
      <c r="E169" s="514"/>
      <c r="F169" s="514"/>
      <c r="G169" s="514"/>
      <c r="H169" s="514"/>
      <c r="I169" s="514"/>
      <c r="J169" s="514"/>
      <c r="K169" s="514"/>
      <c r="L169" s="515"/>
      <c r="M169" s="495"/>
    </row>
    <row r="170" spans="2:13" ht="13.15" customHeight="1" x14ac:dyDescent="0.2">
      <c r="B170" s="554"/>
      <c r="C170" s="540"/>
      <c r="D170" s="534"/>
      <c r="E170" s="514"/>
      <c r="F170" s="514"/>
      <c r="G170" s="514"/>
      <c r="H170" s="514"/>
      <c r="I170" s="514"/>
      <c r="J170" s="514"/>
      <c r="K170" s="514"/>
      <c r="L170" s="515"/>
      <c r="M170" s="495"/>
    </row>
    <row r="171" spans="2:13" ht="12.75" customHeight="1" x14ac:dyDescent="0.2">
      <c r="B171" s="526"/>
      <c r="C171" s="540"/>
      <c r="D171" s="534"/>
      <c r="E171" s="514"/>
      <c r="F171" s="514"/>
      <c r="G171" s="514"/>
      <c r="H171" s="514"/>
      <c r="I171" s="514"/>
      <c r="J171" s="514"/>
      <c r="K171" s="514"/>
      <c r="L171" s="515"/>
      <c r="M171" s="495"/>
    </row>
    <row r="172" spans="2:13" ht="12.75" customHeight="1" x14ac:dyDescent="0.2">
      <c r="B172" s="526"/>
      <c r="C172" s="540"/>
      <c r="D172" s="534"/>
      <c r="E172" s="514"/>
      <c r="F172" s="514"/>
      <c r="G172" s="514"/>
      <c r="H172" s="514"/>
      <c r="I172" s="514"/>
      <c r="J172" s="514"/>
      <c r="K172" s="514"/>
      <c r="L172" s="515"/>
      <c r="M172" s="495"/>
    </row>
    <row r="173" spans="2:13" ht="12.75" customHeight="1" x14ac:dyDescent="0.2">
      <c r="B173" s="526"/>
      <c r="C173" s="540"/>
      <c r="D173" s="534"/>
      <c r="E173" s="514"/>
      <c r="F173" s="514"/>
      <c r="G173" s="514"/>
      <c r="H173" s="514"/>
      <c r="I173" s="514"/>
      <c r="J173" s="514"/>
      <c r="K173" s="514"/>
      <c r="L173" s="515"/>
      <c r="M173" s="495"/>
    </row>
    <row r="174" spans="2:13" ht="12.75" customHeight="1" x14ac:dyDescent="0.2">
      <c r="B174" s="526"/>
      <c r="C174" s="540"/>
      <c r="D174" s="534"/>
      <c r="E174" s="514"/>
      <c r="F174" s="514"/>
      <c r="G174" s="514"/>
      <c r="H174" s="514"/>
      <c r="I174" s="514"/>
      <c r="J174" s="514"/>
      <c r="K174" s="514"/>
      <c r="L174" s="515"/>
      <c r="M174" s="495"/>
    </row>
    <row r="175" spans="2:13" ht="13.5" customHeight="1" thickBot="1" x14ac:dyDescent="0.25">
      <c r="B175" s="555"/>
      <c r="C175" s="556"/>
      <c r="D175" s="557"/>
      <c r="E175" s="558"/>
      <c r="F175" s="558"/>
      <c r="G175" s="558"/>
      <c r="H175" s="558"/>
      <c r="I175" s="558"/>
      <c r="J175" s="558"/>
      <c r="K175" s="558"/>
      <c r="L175" s="559"/>
    </row>
    <row r="177" spans="2:3" x14ac:dyDescent="0.2">
      <c r="B177" s="560" t="s">
        <v>148</v>
      </c>
      <c r="C177" s="77"/>
    </row>
    <row r="178" spans="2:3" x14ac:dyDescent="0.2">
      <c r="B178" s="561" t="s">
        <v>314</v>
      </c>
    </row>
    <row r="179" spans="2:3" x14ac:dyDescent="0.2">
      <c r="B179" s="560" t="s">
        <v>315</v>
      </c>
    </row>
    <row r="180" spans="2:3" x14ac:dyDescent="0.2">
      <c r="B180" s="560" t="s">
        <v>316</v>
      </c>
    </row>
    <row r="181" spans="2:3" x14ac:dyDescent="0.2">
      <c r="B181" s="560" t="s">
        <v>317</v>
      </c>
    </row>
  </sheetData>
  <sheetProtection password="D429" sheet="1" objects="1" scenarios="1"/>
  <mergeCells count="177">
    <mergeCell ref="D175:L175"/>
    <mergeCell ref="D169:L169"/>
    <mergeCell ref="D170:L170"/>
    <mergeCell ref="D171:L171"/>
    <mergeCell ref="D172:L172"/>
    <mergeCell ref="D173:L173"/>
    <mergeCell ref="D174:L174"/>
    <mergeCell ref="D163:L163"/>
    <mergeCell ref="D164:L164"/>
    <mergeCell ref="D165:L165"/>
    <mergeCell ref="D166:L166"/>
    <mergeCell ref="D167:L167"/>
    <mergeCell ref="D168:L168"/>
    <mergeCell ref="D157:L157"/>
    <mergeCell ref="D158:L158"/>
    <mergeCell ref="D159:L159"/>
    <mergeCell ref="D160:L160"/>
    <mergeCell ref="D161:L161"/>
    <mergeCell ref="D162:L162"/>
    <mergeCell ref="D151:L151"/>
    <mergeCell ref="D152:L152"/>
    <mergeCell ref="D153:L153"/>
    <mergeCell ref="D154:L154"/>
    <mergeCell ref="D155:L155"/>
    <mergeCell ref="D156:L156"/>
    <mergeCell ref="D145:L145"/>
    <mergeCell ref="D146:L146"/>
    <mergeCell ref="D147:L147"/>
    <mergeCell ref="D148:L148"/>
    <mergeCell ref="D149:L149"/>
    <mergeCell ref="D150:L150"/>
    <mergeCell ref="D139:L139"/>
    <mergeCell ref="D140:L140"/>
    <mergeCell ref="D141:L141"/>
    <mergeCell ref="D142:L142"/>
    <mergeCell ref="D143:L143"/>
    <mergeCell ref="D144:L144"/>
    <mergeCell ref="D133:L133"/>
    <mergeCell ref="D134:L134"/>
    <mergeCell ref="D135:L135"/>
    <mergeCell ref="D136:L136"/>
    <mergeCell ref="D137:L137"/>
    <mergeCell ref="D138:L138"/>
    <mergeCell ref="D127:L127"/>
    <mergeCell ref="D128:L128"/>
    <mergeCell ref="D129:L129"/>
    <mergeCell ref="D130:L130"/>
    <mergeCell ref="D131:L131"/>
    <mergeCell ref="D132:L132"/>
    <mergeCell ref="P121:P122"/>
    <mergeCell ref="D122:L122"/>
    <mergeCell ref="D123:L123"/>
    <mergeCell ref="D124:L124"/>
    <mergeCell ref="D125:L125"/>
    <mergeCell ref="D126:L126"/>
    <mergeCell ref="D116:L116"/>
    <mergeCell ref="D117:L117"/>
    <mergeCell ref="D118:L118"/>
    <mergeCell ref="D119:L119"/>
    <mergeCell ref="D120:L120"/>
    <mergeCell ref="D121:L121"/>
    <mergeCell ref="D110:L110"/>
    <mergeCell ref="D111:L111"/>
    <mergeCell ref="D112:L112"/>
    <mergeCell ref="D113:L113"/>
    <mergeCell ref="D114:L114"/>
    <mergeCell ref="D115:L115"/>
    <mergeCell ref="D104:L104"/>
    <mergeCell ref="D105:L105"/>
    <mergeCell ref="D106:L106"/>
    <mergeCell ref="D107:L107"/>
    <mergeCell ref="D108:L108"/>
    <mergeCell ref="D109:L109"/>
    <mergeCell ref="D98:L98"/>
    <mergeCell ref="D99:L99"/>
    <mergeCell ref="D100:L100"/>
    <mergeCell ref="D101:L101"/>
    <mergeCell ref="D102:L102"/>
    <mergeCell ref="D103:L103"/>
    <mergeCell ref="D92:L92"/>
    <mergeCell ref="D93:L93"/>
    <mergeCell ref="D94:L94"/>
    <mergeCell ref="D95:L95"/>
    <mergeCell ref="D96:L96"/>
    <mergeCell ref="D97:L97"/>
    <mergeCell ref="D86:L86"/>
    <mergeCell ref="D87:L87"/>
    <mergeCell ref="D88:L88"/>
    <mergeCell ref="D89:L89"/>
    <mergeCell ref="D90:L90"/>
    <mergeCell ref="D91:L91"/>
    <mergeCell ref="D80:L80"/>
    <mergeCell ref="D81:L81"/>
    <mergeCell ref="D82:L82"/>
    <mergeCell ref="D83:L83"/>
    <mergeCell ref="D84:L84"/>
    <mergeCell ref="D85:L85"/>
    <mergeCell ref="D74:L74"/>
    <mergeCell ref="D75:L75"/>
    <mergeCell ref="D76:L76"/>
    <mergeCell ref="D77:L77"/>
    <mergeCell ref="D78:L78"/>
    <mergeCell ref="D79:L79"/>
    <mergeCell ref="D68:L68"/>
    <mergeCell ref="D69:L69"/>
    <mergeCell ref="D70:L70"/>
    <mergeCell ref="D71:L71"/>
    <mergeCell ref="D72:L72"/>
    <mergeCell ref="D73:L73"/>
    <mergeCell ref="D62:L62"/>
    <mergeCell ref="D63:L63"/>
    <mergeCell ref="D64:L64"/>
    <mergeCell ref="D65:L65"/>
    <mergeCell ref="D66:L66"/>
    <mergeCell ref="D67:L67"/>
    <mergeCell ref="D56:L56"/>
    <mergeCell ref="D57:L57"/>
    <mergeCell ref="D58:L58"/>
    <mergeCell ref="D59:L59"/>
    <mergeCell ref="D60:L60"/>
    <mergeCell ref="D61:L61"/>
    <mergeCell ref="D50:L50"/>
    <mergeCell ref="D51:L51"/>
    <mergeCell ref="D52:L52"/>
    <mergeCell ref="D53:L53"/>
    <mergeCell ref="D54:L54"/>
    <mergeCell ref="D55:L55"/>
    <mergeCell ref="D44:L44"/>
    <mergeCell ref="D45:L45"/>
    <mergeCell ref="D46:L46"/>
    <mergeCell ref="D47:L47"/>
    <mergeCell ref="D48:L48"/>
    <mergeCell ref="D49:L49"/>
    <mergeCell ref="D38:L38"/>
    <mergeCell ref="D39:L39"/>
    <mergeCell ref="D40:L40"/>
    <mergeCell ref="D41:L41"/>
    <mergeCell ref="D42:L42"/>
    <mergeCell ref="D43:L43"/>
    <mergeCell ref="D32:L32"/>
    <mergeCell ref="D33:L33"/>
    <mergeCell ref="D34:L34"/>
    <mergeCell ref="D35:L35"/>
    <mergeCell ref="D36:L36"/>
    <mergeCell ref="D37:L37"/>
    <mergeCell ref="D26:L26"/>
    <mergeCell ref="D27:L27"/>
    <mergeCell ref="D28:L28"/>
    <mergeCell ref="D29:L29"/>
    <mergeCell ref="D30:L30"/>
    <mergeCell ref="D31:L31"/>
    <mergeCell ref="D20:L20"/>
    <mergeCell ref="D21:L21"/>
    <mergeCell ref="D22:L22"/>
    <mergeCell ref="D23:L23"/>
    <mergeCell ref="D24:L24"/>
    <mergeCell ref="D25:L25"/>
    <mergeCell ref="D14:L14"/>
    <mergeCell ref="D15:L15"/>
    <mergeCell ref="D16:L16"/>
    <mergeCell ref="D17:L17"/>
    <mergeCell ref="D18:L18"/>
    <mergeCell ref="D19:L19"/>
    <mergeCell ref="E8:F8"/>
    <mergeCell ref="H8:I8"/>
    <mergeCell ref="K8:L8"/>
    <mergeCell ref="D11:L11"/>
    <mergeCell ref="D12:L12"/>
    <mergeCell ref="D13:L13"/>
    <mergeCell ref="E2:F2"/>
    <mergeCell ref="H2:I2"/>
    <mergeCell ref="E4:F4"/>
    <mergeCell ref="H4:I4"/>
    <mergeCell ref="K4:L4"/>
    <mergeCell ref="E6:F6"/>
    <mergeCell ref="H6:I6"/>
    <mergeCell ref="K6:L6"/>
  </mergeCells>
  <dataValidations count="5">
    <dataValidation type="list" allowBlank="1" showInputMessage="1" showErrorMessage="1" sqref="C65:C74 C76:C85 C87:C96 C98:C107 C109:C118">
      <formula1>YES_NO_LIST</formula1>
    </dataValidation>
    <dataValidation allowBlank="1" sqref="C64"/>
    <dataValidation type="custom" allowBlank="1" showInputMessage="1" showErrorMessage="1" errorTitle="Invalid Entry" error="Accepts only a text up to 5000 chars. Cannot accept special characters &lt;&gt;;" sqref="B36:B41 D65:D73 B43:B48 B50:B55 E46:L48 B57:B62 D169:D175 B65:B74 E62:L62 E60:L60 E41:L41 B76:B85 B87:B96 B98:B107 E90:L96 D98:D100 D101:L107 B109:B118 D113:L118 B121:B127 D109:D112 B129:B135 E123:L127 B137:B143 E131:L135 B145:B151 E139:L143 B153:B159 E147:L151 B161:B167 E157:L159 B169:B175 D74:L74 D81:L85 E78:L80 D57:D62 E52:L55 D36:D41 D43:D48 D50:D55 D76:D80 D87:D96 D121:D127 D129:D135 D137:D143 D145:D151 D153:D159 D161:D167 E163:L167">
      <formula1>AND(IF((LEN(B36)&gt;5000),FALSE,TRUE),IF(ISERROR(FIND("&lt;",B36,1)),TRUE,FALSE),IF(ISERROR(FIND("&gt;",B36,1)),TRUE,FALSE),IF(ISERROR(FIND(";",B36,1)),TRUE,FALSE))</formula1>
    </dataValidation>
    <dataValidation type="custom" allowBlank="1" showInputMessage="1" showErrorMessage="1" errorTitle="Invalid Entry" error="Accepts only text up to 5000 chars. Cannot accept special characters &lt;&gt;;" sqref="D14:D33 E33:L33 E31:L31">
      <formula1>AND(IF((LEN(D14)&gt;5000),FALSE,TRUE),IF(ISERROR(FIND("&lt;",D14,1)),TRUE,FALSE),IF(ISERROR(FIND("&gt;",D14,1)),TRUE,FALSE),IF(ISERROR(FIND(";",D14,1)),TRUE,FALSE))</formula1>
    </dataValidation>
    <dataValidation type="custom" allowBlank="1" showInputMessage="1" showErrorMessage="1" errorTitle="Invalid Entry" error="Accepts only text up to 5000 chars. Cannot accept special characters &lt;&gt;:" sqref="B14:B33">
      <formula1>AND(IF((LEN(B14)&gt;5000),FALSE,TRUE),IF(ISERROR(FIND("&lt;",B14,1)),TRUE,FALSE),IF(ISERROR(FIND("&gt;",B14,1)),TRUE,FALSE),IF(ISERROR(FIND(";",B14,1)),TRUE,FALSE))</formula1>
    </dataValidation>
  </dataValidations>
  <printOptions horizontalCentered="1"/>
  <pageMargins left="0.25" right="0.25" top="0.5" bottom="0.35" header="0.3" footer="0.2"/>
  <pageSetup paperSize="5" scale="47" orientation="portrait" cellComments="asDisplayed"/>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4"/>
    <pageSetUpPr fitToPage="1"/>
  </sheetPr>
  <dimension ref="A1:AJ53"/>
  <sheetViews>
    <sheetView zoomScale="85" zoomScaleNormal="85" workbookViewId="0">
      <pane xSplit="4" topLeftCell="E1" activePane="topRight" state="frozen"/>
      <selection pane="topRight" activeCell="E1" sqref="E1"/>
    </sheetView>
  </sheetViews>
  <sheetFormatPr defaultRowHeight="12.75" x14ac:dyDescent="0.2"/>
  <cols>
    <col min="1" max="1" width="1.7109375" style="8" customWidth="1"/>
    <col min="2" max="2" width="3.42578125" style="8" customWidth="1"/>
    <col min="3" max="3" width="5.140625" style="8" customWidth="1"/>
    <col min="4" max="4" width="53.7109375" style="8" customWidth="1"/>
    <col min="5" max="13" width="19.42578125" style="8" customWidth="1"/>
    <col min="14" max="14" width="19.42578125" style="29" customWidth="1"/>
    <col min="15" max="36" width="19.42578125" style="8" customWidth="1"/>
    <col min="37" max="16384" width="9.140625" style="8"/>
  </cols>
  <sheetData>
    <row r="1" spans="1:36" x14ac:dyDescent="0.2">
      <c r="B1" s="28" t="s">
        <v>0</v>
      </c>
      <c r="E1" s="60"/>
      <c r="F1" s="29" t="s">
        <v>6</v>
      </c>
      <c r="G1" s="29"/>
      <c r="I1" s="29" t="s">
        <v>17</v>
      </c>
      <c r="J1" s="28"/>
      <c r="L1" s="29"/>
      <c r="N1" s="8"/>
    </row>
    <row r="2" spans="1:36" x14ac:dyDescent="0.2">
      <c r="B2" s="28" t="s">
        <v>1</v>
      </c>
      <c r="E2" s="60"/>
      <c r="F2" s="30" t="str">
        <f>'Pt 1 and 2'!F6:G6&amp;""</f>
        <v>362739571</v>
      </c>
      <c r="G2" s="30"/>
      <c r="I2" s="30" t="str">
        <f>'Pt 1 and 2'!D10&amp;""</f>
        <v>UnitedHealthcare Insurance Company</v>
      </c>
      <c r="J2" s="30"/>
      <c r="L2" s="29"/>
    </row>
    <row r="3" spans="1:36" x14ac:dyDescent="0.2">
      <c r="B3" s="28" t="s">
        <v>318</v>
      </c>
      <c r="E3" s="60"/>
      <c r="F3" s="29" t="s">
        <v>10</v>
      </c>
      <c r="G3" s="29"/>
      <c r="I3" s="29" t="s">
        <v>11</v>
      </c>
      <c r="J3" s="29"/>
      <c r="L3" s="8" t="s">
        <v>12</v>
      </c>
      <c r="P3" s="29"/>
    </row>
    <row r="4" spans="1:36" x14ac:dyDescent="0.2">
      <c r="B4" s="28"/>
      <c r="E4" s="60"/>
      <c r="F4" s="30" t="str">
        <f>'Pt 1 and 2'!F8:G8&amp;""</f>
        <v>008290</v>
      </c>
      <c r="G4" s="30"/>
      <c r="I4" s="30" t="str">
        <f>'Pt 1 and 2'!I8:J8&amp;""</f>
        <v/>
      </c>
      <c r="J4" s="30"/>
      <c r="L4" s="34" t="str">
        <f>'Pt 1 and 2'!L8:M8&amp;""</f>
        <v>No</v>
      </c>
      <c r="M4" s="34"/>
      <c r="P4" s="29"/>
    </row>
    <row r="5" spans="1:36" x14ac:dyDescent="0.2">
      <c r="B5" s="35" t="s">
        <v>5</v>
      </c>
      <c r="E5" s="35"/>
      <c r="F5" s="37" t="s">
        <v>18</v>
      </c>
      <c r="G5" s="37"/>
      <c r="I5" s="8" t="s">
        <v>19</v>
      </c>
      <c r="J5" s="29"/>
      <c r="L5" s="8" t="s">
        <v>20</v>
      </c>
      <c r="N5" s="8"/>
    </row>
    <row r="6" spans="1:36" x14ac:dyDescent="0.2">
      <c r="B6" s="61" t="str">
        <f>'Pt 1 and 2'!D6&amp;""</f>
        <v>UnitedHealth Group</v>
      </c>
      <c r="C6" s="61"/>
      <c r="D6" s="61"/>
      <c r="F6" s="34" t="str">
        <f>'Pt 1 and 2'!NAIC_GROUP_CODE&amp;""</f>
        <v>00707</v>
      </c>
      <c r="G6" s="34"/>
      <c r="H6" s="62"/>
      <c r="I6" s="40" t="str">
        <f>'Pt 1 and 2'!I10:J10&amp;""</f>
        <v>Grand Total</v>
      </c>
      <c r="J6" s="40"/>
      <c r="L6" s="34" t="str">
        <f>'Pt 1 and 2'!L10:M10&amp;""</f>
        <v>No</v>
      </c>
      <c r="M6" s="34"/>
      <c r="N6" s="8"/>
    </row>
    <row r="7" spans="1:36" x14ac:dyDescent="0.2">
      <c r="B7" s="35" t="s">
        <v>9</v>
      </c>
      <c r="F7" s="37" t="s">
        <v>24</v>
      </c>
      <c r="G7" s="37"/>
      <c r="I7" s="8" t="s">
        <v>25</v>
      </c>
      <c r="J7" s="37"/>
      <c r="L7" s="41" t="s">
        <v>26</v>
      </c>
      <c r="N7" s="8"/>
    </row>
    <row r="8" spans="1:36" x14ac:dyDescent="0.2">
      <c r="B8" s="61" t="str">
        <f>'Pt 1 and 2'!D8&amp;""</f>
        <v>UnitedHealthcare Insurance Company</v>
      </c>
      <c r="C8" s="61"/>
      <c r="D8" s="61"/>
      <c r="F8" s="34" t="str">
        <f>'Pt 1 and 2'!NAIC_COMPANY_CODE&amp;""</f>
        <v>79413</v>
      </c>
      <c r="G8" s="34"/>
      <c r="I8" s="40" t="str">
        <f>'Pt 1 and 2'!DOMICILIARY_STATE&amp;""</f>
        <v>Connecticut</v>
      </c>
      <c r="J8" s="40"/>
      <c r="L8" s="58" t="str">
        <f>'Pt 1 and 2'!L12:M12&amp;""</f>
        <v>2011</v>
      </c>
      <c r="M8" s="58"/>
      <c r="N8" s="59"/>
    </row>
    <row r="9" spans="1:36" s="39" customFormat="1" ht="13.5" thickBot="1" x14ac:dyDescent="0.25">
      <c r="Z9" s="29"/>
      <c r="AA9" s="29"/>
      <c r="AB9" s="29"/>
      <c r="AC9" s="29"/>
      <c r="AD9" s="29"/>
      <c r="AE9" s="29"/>
      <c r="AF9" s="29"/>
      <c r="AG9" s="29"/>
      <c r="AH9" s="29"/>
      <c r="AI9" s="29"/>
      <c r="AJ9" s="29"/>
    </row>
    <row r="10" spans="1:36" ht="13.5" thickBot="1" x14ac:dyDescent="0.25">
      <c r="E10" s="562" t="s">
        <v>31</v>
      </c>
      <c r="F10" s="563"/>
      <c r="G10" s="563"/>
      <c r="H10" s="563"/>
      <c r="I10" s="563"/>
      <c r="J10" s="563"/>
      <c r="K10" s="563"/>
      <c r="L10" s="563"/>
      <c r="M10" s="563"/>
      <c r="N10" s="563"/>
      <c r="O10" s="563"/>
      <c r="P10" s="564"/>
      <c r="Q10" s="562" t="s">
        <v>32</v>
      </c>
      <c r="R10" s="563"/>
      <c r="S10" s="563"/>
      <c r="T10" s="563"/>
      <c r="U10" s="563"/>
      <c r="V10" s="563"/>
      <c r="W10" s="563"/>
      <c r="X10" s="563"/>
      <c r="Y10" s="563"/>
      <c r="Z10" s="563"/>
      <c r="AA10" s="563"/>
      <c r="AB10" s="564"/>
      <c r="AC10" s="565" t="s">
        <v>33</v>
      </c>
      <c r="AD10" s="566"/>
      <c r="AE10" s="566"/>
      <c r="AF10" s="566"/>
      <c r="AG10" s="566"/>
      <c r="AH10" s="566"/>
      <c r="AI10" s="566"/>
      <c r="AJ10" s="567"/>
    </row>
    <row r="11" spans="1:36" ht="13.5" thickBot="1" x14ac:dyDescent="0.25">
      <c r="C11" s="60"/>
      <c r="E11" s="568" t="s">
        <v>39</v>
      </c>
      <c r="F11" s="569"/>
      <c r="G11" s="569"/>
      <c r="H11" s="570"/>
      <c r="I11" s="568" t="s">
        <v>40</v>
      </c>
      <c r="J11" s="569"/>
      <c r="K11" s="569"/>
      <c r="L11" s="570"/>
      <c r="M11" s="568" t="s">
        <v>41</v>
      </c>
      <c r="N11" s="569"/>
      <c r="O11" s="569"/>
      <c r="P11" s="570"/>
      <c r="Q11" s="568" t="s">
        <v>39</v>
      </c>
      <c r="R11" s="569"/>
      <c r="S11" s="569"/>
      <c r="T11" s="570"/>
      <c r="U11" s="568" t="s">
        <v>40</v>
      </c>
      <c r="V11" s="569"/>
      <c r="W11" s="569"/>
      <c r="X11" s="570"/>
      <c r="Y11" s="568" t="s">
        <v>41</v>
      </c>
      <c r="Z11" s="569"/>
      <c r="AA11" s="569"/>
      <c r="AB11" s="570"/>
      <c r="AC11" s="568" t="s">
        <v>40</v>
      </c>
      <c r="AD11" s="569"/>
      <c r="AE11" s="569"/>
      <c r="AF11" s="570"/>
      <c r="AG11" s="571" t="s">
        <v>41</v>
      </c>
      <c r="AH11" s="572"/>
      <c r="AI11" s="572"/>
      <c r="AJ11" s="573"/>
    </row>
    <row r="12" spans="1:36" x14ac:dyDescent="0.2">
      <c r="A12" s="37"/>
      <c r="B12" s="37"/>
      <c r="C12" s="37"/>
      <c r="D12" s="37"/>
      <c r="E12" s="574" t="s">
        <v>319</v>
      </c>
      <c r="F12" s="575" t="s">
        <v>320</v>
      </c>
      <c r="G12" s="575" t="s">
        <v>321</v>
      </c>
      <c r="H12" s="576" t="s">
        <v>228</v>
      </c>
      <c r="I12" s="577" t="s">
        <v>319</v>
      </c>
      <c r="J12" s="575" t="s">
        <v>320</v>
      </c>
      <c r="K12" s="575" t="s">
        <v>321</v>
      </c>
      <c r="L12" s="576" t="s">
        <v>228</v>
      </c>
      <c r="M12" s="577" t="s">
        <v>319</v>
      </c>
      <c r="N12" s="575" t="s">
        <v>320</v>
      </c>
      <c r="O12" s="575" t="s">
        <v>321</v>
      </c>
      <c r="P12" s="578" t="s">
        <v>228</v>
      </c>
      <c r="Q12" s="579" t="s">
        <v>319</v>
      </c>
      <c r="R12" s="580" t="s">
        <v>320</v>
      </c>
      <c r="S12" s="580" t="s">
        <v>321</v>
      </c>
      <c r="T12" s="576" t="s">
        <v>228</v>
      </c>
      <c r="U12" s="581" t="s">
        <v>319</v>
      </c>
      <c r="V12" s="580" t="s">
        <v>320</v>
      </c>
      <c r="W12" s="580" t="s">
        <v>321</v>
      </c>
      <c r="X12" s="576" t="s">
        <v>228</v>
      </c>
      <c r="Y12" s="581" t="s">
        <v>319</v>
      </c>
      <c r="Z12" s="580" t="s">
        <v>320</v>
      </c>
      <c r="AA12" s="580" t="s">
        <v>321</v>
      </c>
      <c r="AB12" s="578" t="s">
        <v>228</v>
      </c>
      <c r="AC12" s="579" t="s">
        <v>319</v>
      </c>
      <c r="AD12" s="580" t="s">
        <v>320</v>
      </c>
      <c r="AE12" s="580" t="s">
        <v>321</v>
      </c>
      <c r="AF12" s="576" t="s">
        <v>228</v>
      </c>
      <c r="AG12" s="581" t="s">
        <v>319</v>
      </c>
      <c r="AH12" s="580" t="s">
        <v>320</v>
      </c>
      <c r="AI12" s="580" t="s">
        <v>321</v>
      </c>
      <c r="AJ12" s="578" t="s">
        <v>228</v>
      </c>
    </row>
    <row r="13" spans="1:36" x14ac:dyDescent="0.2">
      <c r="C13" s="582"/>
      <c r="D13" s="582"/>
      <c r="E13" s="583">
        <v>1</v>
      </c>
      <c r="F13" s="584">
        <v>2</v>
      </c>
      <c r="G13" s="584">
        <v>3</v>
      </c>
      <c r="H13" s="585">
        <v>4</v>
      </c>
      <c r="I13" s="586">
        <v>5</v>
      </c>
      <c r="J13" s="584">
        <v>6</v>
      </c>
      <c r="K13" s="584">
        <v>7</v>
      </c>
      <c r="L13" s="585">
        <v>8</v>
      </c>
      <c r="M13" s="586">
        <v>9</v>
      </c>
      <c r="N13" s="584">
        <v>10</v>
      </c>
      <c r="O13" s="584">
        <v>11</v>
      </c>
      <c r="P13" s="587">
        <v>12</v>
      </c>
      <c r="Q13" s="588">
        <v>13</v>
      </c>
      <c r="R13" s="589">
        <v>14</v>
      </c>
      <c r="S13" s="589">
        <v>15</v>
      </c>
      <c r="T13" s="585">
        <v>16</v>
      </c>
      <c r="U13" s="590">
        <v>17</v>
      </c>
      <c r="V13" s="589">
        <v>18</v>
      </c>
      <c r="W13" s="589">
        <v>19</v>
      </c>
      <c r="X13" s="585">
        <v>20</v>
      </c>
      <c r="Y13" s="590">
        <v>21</v>
      </c>
      <c r="Z13" s="589">
        <v>22</v>
      </c>
      <c r="AA13" s="589">
        <v>23</v>
      </c>
      <c r="AB13" s="587">
        <v>24</v>
      </c>
      <c r="AC13" s="588">
        <v>25</v>
      </c>
      <c r="AD13" s="589">
        <v>26</v>
      </c>
      <c r="AE13" s="589">
        <v>27</v>
      </c>
      <c r="AF13" s="585">
        <v>28</v>
      </c>
      <c r="AG13" s="590">
        <v>29</v>
      </c>
      <c r="AH13" s="589">
        <v>30</v>
      </c>
      <c r="AI13" s="589">
        <v>31</v>
      </c>
      <c r="AJ13" s="587">
        <v>32</v>
      </c>
    </row>
    <row r="14" spans="1:36" x14ac:dyDescent="0.2">
      <c r="B14" s="591" t="s">
        <v>49</v>
      </c>
      <c r="C14" s="592" t="s">
        <v>322</v>
      </c>
      <c r="D14" s="593"/>
      <c r="E14" s="594"/>
      <c r="F14" s="595"/>
      <c r="G14" s="595"/>
      <c r="H14" s="596"/>
      <c r="I14" s="597"/>
      <c r="J14" s="595"/>
      <c r="K14" s="595"/>
      <c r="L14" s="596"/>
      <c r="M14" s="597"/>
      <c r="N14" s="595"/>
      <c r="O14" s="595"/>
      <c r="P14" s="598"/>
      <c r="Q14" s="594"/>
      <c r="R14" s="595"/>
      <c r="S14" s="595"/>
      <c r="T14" s="596"/>
      <c r="U14" s="597"/>
      <c r="V14" s="595"/>
      <c r="W14" s="595"/>
      <c r="X14" s="596"/>
      <c r="Y14" s="597"/>
      <c r="Z14" s="595"/>
      <c r="AA14" s="595"/>
      <c r="AB14" s="598"/>
      <c r="AC14" s="594"/>
      <c r="AD14" s="595"/>
      <c r="AE14" s="595"/>
      <c r="AF14" s="596"/>
      <c r="AG14" s="597"/>
      <c r="AH14" s="595"/>
      <c r="AI14" s="595"/>
      <c r="AJ14" s="598"/>
    </row>
    <row r="15" spans="1:36" x14ac:dyDescent="0.2">
      <c r="B15" s="599"/>
      <c r="C15" s="206">
        <v>1.1000000000000001</v>
      </c>
      <c r="D15" s="600" t="str">
        <f>"Adjusted incurred claims (from Part 1, Line "&amp;'Pt 1 and 2'!$C$30&amp;") as of 12/31"</f>
        <v>Adjusted incurred claims (from Part 1, Line 2.1) as of 12/31</v>
      </c>
      <c r="E15" s="63"/>
      <c r="F15" s="13"/>
      <c r="G15" s="210">
        <f>'Pt 1 and 2'!$F$30</f>
        <v>120541374.43999998</v>
      </c>
      <c r="H15" s="211">
        <f>SUM(E15:G15)</f>
        <v>120541374.43999998</v>
      </c>
      <c r="I15" s="64"/>
      <c r="J15" s="13"/>
      <c r="K15" s="210">
        <f>'Pt 1 and 2'!$K$30</f>
        <v>4499716965.6799984</v>
      </c>
      <c r="L15" s="211">
        <f>SUM(I15:K15)</f>
        <v>4499716965.6799984</v>
      </c>
      <c r="M15" s="64"/>
      <c r="N15" s="13"/>
      <c r="O15" s="210">
        <f>'Pt 1 and 2'!$P$30</f>
        <v>7615067136.3400011</v>
      </c>
      <c r="P15" s="19">
        <f>SUM(M15:O15)</f>
        <v>7615067136.3400011</v>
      </c>
      <c r="Q15" s="63"/>
      <c r="R15" s="13"/>
      <c r="S15" s="210">
        <f>'Pt 1 and 2'!$U$30</f>
        <v>412.71</v>
      </c>
      <c r="T15" s="211">
        <f t="shared" ref="T15:T20" si="0">SUM(Q15:S15)</f>
        <v>412.71</v>
      </c>
      <c r="U15" s="64"/>
      <c r="V15" s="13"/>
      <c r="W15" s="210">
        <f>'Pt 1 and 2'!$W$30</f>
        <v>0</v>
      </c>
      <c r="X15" s="211">
        <f t="shared" ref="X15:X20" si="1">SUM(U15:W15)</f>
        <v>0</v>
      </c>
      <c r="Y15" s="64"/>
      <c r="Z15" s="13"/>
      <c r="AA15" s="210">
        <f>'Pt 1 and 2'!$Y$30</f>
        <v>0</v>
      </c>
      <c r="AB15" s="19">
        <f t="shared" ref="AB15:AB20" si="2">SUM(Y15:AA15)</f>
        <v>0</v>
      </c>
      <c r="AC15" s="63"/>
      <c r="AD15" s="13"/>
      <c r="AE15" s="210">
        <f>'Pt 1 and 2'!$AA$30</f>
        <v>0</v>
      </c>
      <c r="AF15" s="211">
        <f t="shared" ref="AF15:AF20" si="3">SUM(AC15:AE15)</f>
        <v>0</v>
      </c>
      <c r="AG15" s="64"/>
      <c r="AH15" s="13"/>
      <c r="AI15" s="210">
        <f>'Pt 1 and 2'!$AF$30</f>
        <v>170797.49</v>
      </c>
      <c r="AJ15" s="19">
        <f t="shared" ref="AJ15:AJ20" si="4">SUM(AG15:AI15)</f>
        <v>170797.49</v>
      </c>
    </row>
    <row r="16" spans="1:36" ht="25.5" x14ac:dyDescent="0.2">
      <c r="B16" s="599"/>
      <c r="C16" s="206">
        <v>1.2</v>
      </c>
      <c r="D16" s="601" t="s">
        <v>323</v>
      </c>
      <c r="E16" s="63"/>
      <c r="F16" s="13"/>
      <c r="G16" s="210">
        <f>'Pt 1 and 2'!$J$30</f>
        <v>120313558.14000002</v>
      </c>
      <c r="H16" s="211">
        <f>SUM(E16:G16)</f>
        <v>120313558.14000002</v>
      </c>
      <c r="I16" s="64"/>
      <c r="J16" s="13"/>
      <c r="K16" s="210">
        <f>'Pt 1 and 2'!$O$30</f>
        <v>4559125154.3300009</v>
      </c>
      <c r="L16" s="211">
        <f>SUM(I16:K16)</f>
        <v>4559125154.3300009</v>
      </c>
      <c r="M16" s="64"/>
      <c r="N16" s="13"/>
      <c r="O16" s="210">
        <f>'Pt 1 and 2'!$T$30</f>
        <v>7681993597.7000008</v>
      </c>
      <c r="P16" s="19">
        <f>SUM(M16:O16)</f>
        <v>7681993597.7000008</v>
      </c>
      <c r="Q16" s="63"/>
      <c r="R16" s="13"/>
      <c r="S16" s="210">
        <f>'Pt 1 and 2'!$V$30</f>
        <v>412.71</v>
      </c>
      <c r="T16" s="602">
        <f t="shared" si="0"/>
        <v>412.71</v>
      </c>
      <c r="U16" s="64"/>
      <c r="V16" s="13"/>
      <c r="W16" s="210">
        <f>'Pt 1 and 2'!$X$30</f>
        <v>0</v>
      </c>
      <c r="X16" s="211">
        <f t="shared" si="1"/>
        <v>0</v>
      </c>
      <c r="Y16" s="64"/>
      <c r="Z16" s="13"/>
      <c r="AA16" s="210">
        <f>'Pt 1 and 2'!$Z$30</f>
        <v>0</v>
      </c>
      <c r="AB16" s="19">
        <f t="shared" si="2"/>
        <v>0</v>
      </c>
      <c r="AC16" s="63"/>
      <c r="AD16" s="13"/>
      <c r="AE16" s="210">
        <f>'Pt 1 and 2'!$AE$30</f>
        <v>0</v>
      </c>
      <c r="AF16" s="211">
        <f t="shared" si="3"/>
        <v>0</v>
      </c>
      <c r="AG16" s="64"/>
      <c r="AH16" s="13"/>
      <c r="AI16" s="210">
        <f>'Pt 1 and 2'!$AJ$30</f>
        <v>148725.4</v>
      </c>
      <c r="AJ16" s="19">
        <f t="shared" si="4"/>
        <v>148725.4</v>
      </c>
    </row>
    <row r="17" spans="2:36" x14ac:dyDescent="0.2">
      <c r="B17" s="599"/>
      <c r="C17" s="206">
        <v>1.3</v>
      </c>
      <c r="D17" s="600" t="str">
        <f>"Quality improvement expenses (from Part 1, Line "&amp;'Pt 1 and 2'!$C$57&amp;")"</f>
        <v>Quality improvement expenses (from Part 1, Line 4.6)</v>
      </c>
      <c r="E17" s="63"/>
      <c r="F17" s="13"/>
      <c r="G17" s="210">
        <f>'Pt 1 and 2'!$J$57</f>
        <v>563009.44999999995</v>
      </c>
      <c r="H17" s="211">
        <f>SUM(E17:G17)</f>
        <v>563009.44999999995</v>
      </c>
      <c r="I17" s="64"/>
      <c r="J17" s="13"/>
      <c r="K17" s="210">
        <f>'Pt 1 and 2'!$O$57</f>
        <v>63492010.020000003</v>
      </c>
      <c r="L17" s="211">
        <f>SUM(I17:K17)</f>
        <v>63492010.020000003</v>
      </c>
      <c r="M17" s="64"/>
      <c r="N17" s="13"/>
      <c r="O17" s="210">
        <f>'Pt 1 and 2'!$T$57</f>
        <v>129703229.14</v>
      </c>
      <c r="P17" s="19">
        <f>SUM(M17:O17)</f>
        <v>129703229.14</v>
      </c>
      <c r="Q17" s="63"/>
      <c r="R17" s="13"/>
      <c r="S17" s="210">
        <f>'Pt 1 and 2'!$V$57</f>
        <v>0</v>
      </c>
      <c r="T17" s="211">
        <f t="shared" si="0"/>
        <v>0</v>
      </c>
      <c r="U17" s="64"/>
      <c r="V17" s="13"/>
      <c r="W17" s="210">
        <f>'Pt 1 and 2'!$X$57</f>
        <v>0</v>
      </c>
      <c r="X17" s="211">
        <f t="shared" si="1"/>
        <v>0</v>
      </c>
      <c r="Y17" s="64"/>
      <c r="Z17" s="13"/>
      <c r="AA17" s="210">
        <f>'Pt 1 and 2'!$Z$57</f>
        <v>0</v>
      </c>
      <c r="AB17" s="19">
        <f t="shared" si="2"/>
        <v>0</v>
      </c>
      <c r="AC17" s="63"/>
      <c r="AD17" s="13"/>
      <c r="AE17" s="210">
        <f>'Pt 1 and 2'!$AE$57</f>
        <v>0</v>
      </c>
      <c r="AF17" s="211">
        <f t="shared" si="3"/>
        <v>0</v>
      </c>
      <c r="AG17" s="64"/>
      <c r="AH17" s="13"/>
      <c r="AI17" s="210">
        <f>'Pt 1 and 2'!$AJ$57</f>
        <v>72406.11</v>
      </c>
      <c r="AJ17" s="19">
        <f t="shared" si="4"/>
        <v>72406.11</v>
      </c>
    </row>
    <row r="18" spans="2:36" x14ac:dyDescent="0.2">
      <c r="B18" s="599"/>
      <c r="C18" s="206">
        <v>1.4</v>
      </c>
      <c r="D18" s="600" t="s">
        <v>324</v>
      </c>
      <c r="E18" s="603" t="s">
        <v>52</v>
      </c>
      <c r="F18" s="13"/>
      <c r="G18" s="13"/>
      <c r="H18" s="211">
        <f>SUM(E18:G18)</f>
        <v>0</v>
      </c>
      <c r="I18" s="604" t="s">
        <v>52</v>
      </c>
      <c r="J18" s="13"/>
      <c r="K18" s="13"/>
      <c r="L18" s="211">
        <f>SUM(I18:K18)</f>
        <v>0</v>
      </c>
      <c r="M18" s="604" t="s">
        <v>52</v>
      </c>
      <c r="N18" s="13"/>
      <c r="O18" s="13"/>
      <c r="P18" s="19">
        <f>SUM(M18:O18)</f>
        <v>0</v>
      </c>
      <c r="Q18" s="603" t="s">
        <v>52</v>
      </c>
      <c r="R18" s="13"/>
      <c r="S18" s="13"/>
      <c r="T18" s="211">
        <f t="shared" si="0"/>
        <v>0</v>
      </c>
      <c r="U18" s="604" t="s">
        <v>52</v>
      </c>
      <c r="V18" s="13"/>
      <c r="W18" s="13"/>
      <c r="X18" s="211">
        <f t="shared" si="1"/>
        <v>0</v>
      </c>
      <c r="Y18" s="604" t="s">
        <v>52</v>
      </c>
      <c r="Z18" s="13"/>
      <c r="AA18" s="13"/>
      <c r="AB18" s="19">
        <f t="shared" si="2"/>
        <v>0</v>
      </c>
      <c r="AC18" s="603" t="s">
        <v>52</v>
      </c>
      <c r="AD18" s="13"/>
      <c r="AE18" s="13"/>
      <c r="AF18" s="211">
        <f t="shared" si="3"/>
        <v>0</v>
      </c>
      <c r="AG18" s="604" t="s">
        <v>52</v>
      </c>
      <c r="AH18" s="13"/>
      <c r="AI18" s="13"/>
      <c r="AJ18" s="19">
        <f t="shared" si="4"/>
        <v>0</v>
      </c>
    </row>
    <row r="19" spans="2:36" x14ac:dyDescent="0.2">
      <c r="B19" s="599"/>
      <c r="C19" s="206">
        <v>1.5</v>
      </c>
      <c r="D19" s="601" t="str">
        <f>"MLR numerator (Lines "&amp;$C$16&amp;" + "&amp;$C$17&amp;" + "&amp;$C$18&amp;")"</f>
        <v>MLR numerator (Lines 1.2 + 1.3 + 1.4)</v>
      </c>
      <c r="E19" s="209">
        <f>SUM(E16:E18)</f>
        <v>0</v>
      </c>
      <c r="F19" s="210">
        <f>SUM(F16:F18)</f>
        <v>0</v>
      </c>
      <c r="G19" s="210">
        <f>SUM(G16:G18)</f>
        <v>120876567.59000002</v>
      </c>
      <c r="H19" s="211">
        <f>SUM(E19:G19)</f>
        <v>120876567.59000002</v>
      </c>
      <c r="I19" s="605">
        <f>SUM(I16:I18)</f>
        <v>0</v>
      </c>
      <c r="J19" s="210">
        <f>SUM(J16:J18)</f>
        <v>0</v>
      </c>
      <c r="K19" s="210">
        <f>SUM(K16:K18)</f>
        <v>4622617164.3500013</v>
      </c>
      <c r="L19" s="211">
        <f>SUM(I19:K19)</f>
        <v>4622617164.3500013</v>
      </c>
      <c r="M19" s="605">
        <f>SUM(M16:M18)</f>
        <v>0</v>
      </c>
      <c r="N19" s="210">
        <f>SUM(N16:N18)</f>
        <v>0</v>
      </c>
      <c r="O19" s="210">
        <f>SUM(O16:O18)</f>
        <v>7811696826.8400011</v>
      </c>
      <c r="P19" s="19">
        <f>SUM(M19:O19)</f>
        <v>7811696826.8400011</v>
      </c>
      <c r="Q19" s="209">
        <f>SUM(Q16:Q18)</f>
        <v>0</v>
      </c>
      <c r="R19" s="210">
        <f>SUM(R16:R18)</f>
        <v>0</v>
      </c>
      <c r="S19" s="210">
        <f>SUM(S16:S18)</f>
        <v>412.71</v>
      </c>
      <c r="T19" s="211">
        <f t="shared" si="0"/>
        <v>412.71</v>
      </c>
      <c r="U19" s="605">
        <f>SUM(U16:U18)</f>
        <v>0</v>
      </c>
      <c r="V19" s="210">
        <f>SUM(V16:V18)</f>
        <v>0</v>
      </c>
      <c r="W19" s="210">
        <f>SUM(W16:W18)</f>
        <v>0</v>
      </c>
      <c r="X19" s="211">
        <f t="shared" si="1"/>
        <v>0</v>
      </c>
      <c r="Y19" s="605">
        <f>SUM(Y16:Y18)</f>
        <v>0</v>
      </c>
      <c r="Z19" s="210">
        <f>SUM(Z16:Z18)</f>
        <v>0</v>
      </c>
      <c r="AA19" s="210">
        <f>SUM(AA16:AA18)</f>
        <v>0</v>
      </c>
      <c r="AB19" s="19">
        <f t="shared" si="2"/>
        <v>0</v>
      </c>
      <c r="AC19" s="209">
        <f>SUM(AC16:AC18)</f>
        <v>0</v>
      </c>
      <c r="AD19" s="210">
        <f>SUM(AD16:AD18)</f>
        <v>0</v>
      </c>
      <c r="AE19" s="210">
        <f>SUM(AE16:AE18)</f>
        <v>0</v>
      </c>
      <c r="AF19" s="211">
        <f t="shared" si="3"/>
        <v>0</v>
      </c>
      <c r="AG19" s="605">
        <f>SUM(AG16:AG18)</f>
        <v>0</v>
      </c>
      <c r="AH19" s="210">
        <f>SUM(AH16:AH18)</f>
        <v>0</v>
      </c>
      <c r="AI19" s="210">
        <f>SUM(AI16:AI18)</f>
        <v>221131.51</v>
      </c>
      <c r="AJ19" s="19">
        <f t="shared" si="4"/>
        <v>221131.51</v>
      </c>
    </row>
    <row r="20" spans="2:36" ht="25.5" x14ac:dyDescent="0.2">
      <c r="B20" s="599"/>
      <c r="C20" s="206">
        <v>1.6</v>
      </c>
      <c r="D20" s="601" t="str">
        <f>"MLR numerator: ""Mini-Med"" &amp; Expatriate 
(Line "&amp;$C$19&amp;" x adjustment factor)"</f>
        <v>MLR numerator: "Mini-Med" &amp; Expatriate 
(Line 1.5 x adjustment factor)</v>
      </c>
      <c r="E20" s="603" t="s">
        <v>52</v>
      </c>
      <c r="F20" s="606" t="s">
        <v>52</v>
      </c>
      <c r="G20" s="606" t="s">
        <v>52</v>
      </c>
      <c r="H20" s="607" t="s">
        <v>52</v>
      </c>
      <c r="I20" s="604" t="s">
        <v>52</v>
      </c>
      <c r="J20" s="606" t="s">
        <v>52</v>
      </c>
      <c r="K20" s="606" t="s">
        <v>52</v>
      </c>
      <c r="L20" s="607" t="s">
        <v>52</v>
      </c>
      <c r="M20" s="604" t="s">
        <v>52</v>
      </c>
      <c r="N20" s="606" t="s">
        <v>52</v>
      </c>
      <c r="O20" s="606" t="s">
        <v>52</v>
      </c>
      <c r="P20" s="608" t="s">
        <v>52</v>
      </c>
      <c r="Q20" s="63"/>
      <c r="R20" s="13"/>
      <c r="S20" s="65"/>
      <c r="T20" s="211">
        <f t="shared" si="0"/>
        <v>0</v>
      </c>
      <c r="U20" s="64"/>
      <c r="V20" s="13"/>
      <c r="W20" s="65"/>
      <c r="X20" s="211">
        <f t="shared" si="1"/>
        <v>0</v>
      </c>
      <c r="Y20" s="64"/>
      <c r="Z20" s="13"/>
      <c r="AA20" s="65"/>
      <c r="AB20" s="19">
        <f t="shared" si="2"/>
        <v>0</v>
      </c>
      <c r="AC20" s="63"/>
      <c r="AD20" s="13"/>
      <c r="AE20" s="216"/>
      <c r="AF20" s="211">
        <f t="shared" si="3"/>
        <v>0</v>
      </c>
      <c r="AG20" s="64"/>
      <c r="AH20" s="13"/>
      <c r="AI20" s="216"/>
      <c r="AJ20" s="19">
        <f t="shared" si="4"/>
        <v>0</v>
      </c>
    </row>
    <row r="21" spans="2:36" x14ac:dyDescent="0.2">
      <c r="B21" s="609"/>
      <c r="C21" s="267"/>
      <c r="D21" s="610" t="s">
        <v>325</v>
      </c>
      <c r="E21" s="268"/>
      <c r="F21" s="270"/>
      <c r="G21" s="270"/>
      <c r="H21" s="273"/>
      <c r="I21" s="611"/>
      <c r="J21" s="270"/>
      <c r="K21" s="270"/>
      <c r="L21" s="273"/>
      <c r="M21" s="611"/>
      <c r="N21" s="270"/>
      <c r="O21" s="270"/>
      <c r="P21" s="272"/>
      <c r="Q21" s="268"/>
      <c r="R21" s="270"/>
      <c r="S21" s="270"/>
      <c r="T21" s="273"/>
      <c r="U21" s="611"/>
      <c r="V21" s="270"/>
      <c r="W21" s="270"/>
      <c r="X21" s="273"/>
      <c r="Y21" s="611"/>
      <c r="Z21" s="270"/>
      <c r="AA21" s="270"/>
      <c r="AB21" s="272"/>
      <c r="AC21" s="268"/>
      <c r="AD21" s="270"/>
      <c r="AE21" s="270"/>
      <c r="AF21" s="273"/>
      <c r="AG21" s="611"/>
      <c r="AH21" s="270"/>
      <c r="AI21" s="270"/>
      <c r="AJ21" s="272"/>
    </row>
    <row r="22" spans="2:36" x14ac:dyDescent="0.2">
      <c r="B22" s="591" t="s">
        <v>65</v>
      </c>
      <c r="C22" s="193" t="s">
        <v>326</v>
      </c>
      <c r="D22" s="612"/>
      <c r="E22" s="594"/>
      <c r="F22" s="595"/>
      <c r="G22" s="595"/>
      <c r="H22" s="596"/>
      <c r="I22" s="597"/>
      <c r="J22" s="595"/>
      <c r="K22" s="595"/>
      <c r="L22" s="596"/>
      <c r="M22" s="597"/>
      <c r="N22" s="595"/>
      <c r="O22" s="595"/>
      <c r="P22" s="598"/>
      <c r="Q22" s="594"/>
      <c r="R22" s="595"/>
      <c r="S22" s="595"/>
      <c r="T22" s="596"/>
      <c r="U22" s="597"/>
      <c r="V22" s="595"/>
      <c r="W22" s="595"/>
      <c r="X22" s="596"/>
      <c r="Y22" s="597"/>
      <c r="Z22" s="595"/>
      <c r="AA22" s="595"/>
      <c r="AB22" s="598"/>
      <c r="AC22" s="594"/>
      <c r="AD22" s="595"/>
      <c r="AE22" s="595"/>
      <c r="AF22" s="596"/>
      <c r="AG22" s="597"/>
      <c r="AH22" s="595"/>
      <c r="AI22" s="595"/>
      <c r="AJ22" s="598"/>
    </row>
    <row r="23" spans="2:36" ht="25.5" x14ac:dyDescent="0.2">
      <c r="B23" s="599"/>
      <c r="C23" s="206">
        <v>2.1</v>
      </c>
      <c r="D23" s="601" t="str">
        <f>"Premium earned including federal and state high risk programs (from Part 1, Line "&amp;'Pt 1 and 2'!$C$23&amp;")"</f>
        <v>Premium earned including federal and state high risk programs (from Part 1, Line 1.4)</v>
      </c>
      <c r="E23" s="63"/>
      <c r="F23" s="13"/>
      <c r="G23" s="210">
        <f>'Pt 1 and 2'!$J$23</f>
        <v>121704989.28999999</v>
      </c>
      <c r="H23" s="211">
        <f>SUM(E23:G23)</f>
        <v>121704989.28999999</v>
      </c>
      <c r="I23" s="64"/>
      <c r="J23" s="13"/>
      <c r="K23" s="210">
        <f>'Pt 1 and 2'!$O$23</f>
        <v>6190568524.9699993</v>
      </c>
      <c r="L23" s="211">
        <f>SUM(I23:K23)</f>
        <v>6190568524.9699993</v>
      </c>
      <c r="M23" s="64"/>
      <c r="N23" s="13"/>
      <c r="O23" s="210">
        <f>'Pt 1 and 2'!$T$23</f>
        <v>9770944719.0799999</v>
      </c>
      <c r="P23" s="19">
        <f>SUM(M23:O23)</f>
        <v>9770944719.0799999</v>
      </c>
      <c r="Q23" s="63"/>
      <c r="R23" s="13"/>
      <c r="S23" s="210">
        <f>'Pt 1 and 2'!$V$23</f>
        <v>3629.19</v>
      </c>
      <c r="T23" s="211">
        <f>SUM(Q23:S23)</f>
        <v>3629.19</v>
      </c>
      <c r="U23" s="64"/>
      <c r="V23" s="13"/>
      <c r="W23" s="210">
        <f>'Pt 1 and 2'!$X$23</f>
        <v>0</v>
      </c>
      <c r="X23" s="211">
        <f>SUM(U23:W23)</f>
        <v>0</v>
      </c>
      <c r="Y23" s="64"/>
      <c r="Z23" s="13"/>
      <c r="AA23" s="210">
        <f>'Pt 1 and 2'!$Z$23</f>
        <v>0</v>
      </c>
      <c r="AB23" s="19">
        <f>SUM(Y23:AA23)</f>
        <v>0</v>
      </c>
      <c r="AC23" s="63"/>
      <c r="AD23" s="13"/>
      <c r="AE23" s="210">
        <f>'Pt 1 and 2'!$AE$23</f>
        <v>0</v>
      </c>
      <c r="AF23" s="211">
        <f>SUM(AC23:AE23)</f>
        <v>0</v>
      </c>
      <c r="AG23" s="64"/>
      <c r="AH23" s="13"/>
      <c r="AI23" s="210">
        <f>'Pt 1 and 2'!$AJ$23</f>
        <v>207308.56</v>
      </c>
      <c r="AJ23" s="19">
        <f>SUM(AG23:AI23)</f>
        <v>207308.56</v>
      </c>
    </row>
    <row r="24" spans="2:36" ht="25.5" x14ac:dyDescent="0.2">
      <c r="B24" s="599"/>
      <c r="C24" s="206">
        <v>2.2000000000000002</v>
      </c>
      <c r="D24" s="601" t="str">
        <f>"Federal and State taxes and licensing or regulatory fees 
(from Part 1, Line "&amp;'Pt 1 and 2'!$C$49&amp;")"</f>
        <v>Federal and State taxes and licensing or regulatory fees 
(from Part 1, Line 3.4)</v>
      </c>
      <c r="E24" s="63"/>
      <c r="F24" s="13"/>
      <c r="G24" s="210">
        <f>'Pt 1 and 2'!$J$49</f>
        <v>-4119462.13</v>
      </c>
      <c r="H24" s="211">
        <f>SUM(E24:G24)</f>
        <v>-4119462.13</v>
      </c>
      <c r="I24" s="64"/>
      <c r="J24" s="13"/>
      <c r="K24" s="210">
        <f>'Pt 1 and 2'!$O$49</f>
        <v>448198388.33999991</v>
      </c>
      <c r="L24" s="211">
        <f>SUM(I24:K24)</f>
        <v>448198388.33999991</v>
      </c>
      <c r="M24" s="64"/>
      <c r="N24" s="13"/>
      <c r="O24" s="210">
        <f>'Pt 1 and 2'!$T$49</f>
        <v>601072581.64999998</v>
      </c>
      <c r="P24" s="19">
        <f>SUM(M24:O24)</f>
        <v>601072581.64999998</v>
      </c>
      <c r="Q24" s="63"/>
      <c r="R24" s="13"/>
      <c r="S24" s="210">
        <f>'Pt 1 and 2'!$V$49</f>
        <v>1147.75</v>
      </c>
      <c r="T24" s="211">
        <f>SUM(Q24:S24)</f>
        <v>1147.75</v>
      </c>
      <c r="U24" s="64"/>
      <c r="V24" s="13"/>
      <c r="W24" s="210">
        <f>'Pt 1 and 2'!$X$49</f>
        <v>0</v>
      </c>
      <c r="X24" s="211">
        <f>SUM(U24:W24)</f>
        <v>0</v>
      </c>
      <c r="Y24" s="64"/>
      <c r="Z24" s="13"/>
      <c r="AA24" s="210">
        <f>'Pt 1 and 2'!$Z$49</f>
        <v>0</v>
      </c>
      <c r="AB24" s="19">
        <f>SUM(Y24:AA24)</f>
        <v>0</v>
      </c>
      <c r="AC24" s="63"/>
      <c r="AD24" s="13"/>
      <c r="AE24" s="210">
        <f>'Pt 1 and 2'!$AE$49</f>
        <v>0</v>
      </c>
      <c r="AF24" s="211">
        <f>SUM(AC24:AE24)</f>
        <v>0</v>
      </c>
      <c r="AG24" s="64"/>
      <c r="AH24" s="13"/>
      <c r="AI24" s="210">
        <f>'Pt 1 and 2'!$AJ$49</f>
        <v>-2366966.7600000002</v>
      </c>
      <c r="AJ24" s="19">
        <f>SUM(AG24:AI24)</f>
        <v>-2366966.7600000002</v>
      </c>
    </row>
    <row r="25" spans="2:36" x14ac:dyDescent="0.2">
      <c r="B25" s="599"/>
      <c r="C25" s="206">
        <v>2.2999999999999998</v>
      </c>
      <c r="D25" s="601" t="str">
        <f>"MLR denominator (Lines "&amp;$C$23&amp;" – "&amp;$C$24&amp;")"</f>
        <v>MLR denominator (Lines 2.1 – 2.2)</v>
      </c>
      <c r="E25" s="209">
        <f>E$23-E$24</f>
        <v>0</v>
      </c>
      <c r="F25" s="210">
        <f>F$23-F$24</f>
        <v>0</v>
      </c>
      <c r="G25" s="210">
        <f>G$23-G$24</f>
        <v>125824451.41999999</v>
      </c>
      <c r="H25" s="211">
        <f>SUM(E25:G25)</f>
        <v>125824451.41999999</v>
      </c>
      <c r="I25" s="605">
        <f>I$23-I$24</f>
        <v>0</v>
      </c>
      <c r="J25" s="210">
        <f>J$23-J$24</f>
        <v>0</v>
      </c>
      <c r="K25" s="210">
        <f>K$23-K$24</f>
        <v>5742370136.6299992</v>
      </c>
      <c r="L25" s="211">
        <f>SUM(I25:K25)</f>
        <v>5742370136.6299992</v>
      </c>
      <c r="M25" s="605">
        <f>M$23-M$24</f>
        <v>0</v>
      </c>
      <c r="N25" s="210">
        <f>N$23-N$24</f>
        <v>0</v>
      </c>
      <c r="O25" s="210">
        <f>O$23-O$24</f>
        <v>9169872137.4300003</v>
      </c>
      <c r="P25" s="19">
        <f>SUM(M25:O25)</f>
        <v>9169872137.4300003</v>
      </c>
      <c r="Q25" s="209">
        <f>Q$23-Q$24</f>
        <v>0</v>
      </c>
      <c r="R25" s="210">
        <f>R$23-R$24</f>
        <v>0</v>
      </c>
      <c r="S25" s="210">
        <f>S$23-S$24</f>
        <v>2481.44</v>
      </c>
      <c r="T25" s="211">
        <f>SUM(Q25:S25)</f>
        <v>2481.44</v>
      </c>
      <c r="U25" s="605">
        <f>U$23-U$24</f>
        <v>0</v>
      </c>
      <c r="V25" s="210">
        <f>V$23-V$24</f>
        <v>0</v>
      </c>
      <c r="W25" s="210">
        <f>W$23-W$24</f>
        <v>0</v>
      </c>
      <c r="X25" s="211">
        <f>SUM(U25:W25)</f>
        <v>0</v>
      </c>
      <c r="Y25" s="605">
        <f>Y$23-Y$24</f>
        <v>0</v>
      </c>
      <c r="Z25" s="210">
        <f>Z$23-Z$24</f>
        <v>0</v>
      </c>
      <c r="AA25" s="210">
        <f>AA$23-AA$24</f>
        <v>0</v>
      </c>
      <c r="AB25" s="19">
        <f>SUM(Y25:AA25)</f>
        <v>0</v>
      </c>
      <c r="AC25" s="209">
        <f>AC$23-AC$24</f>
        <v>0</v>
      </c>
      <c r="AD25" s="210">
        <f>AD$23-AD$24</f>
        <v>0</v>
      </c>
      <c r="AE25" s="210">
        <f>AE$23-AE$24</f>
        <v>0</v>
      </c>
      <c r="AF25" s="211">
        <f>SUM(AC25:AE25)</f>
        <v>0</v>
      </c>
      <c r="AG25" s="605">
        <f>AG$23-AG$24</f>
        <v>0</v>
      </c>
      <c r="AH25" s="210">
        <f>AH$23-AH$24</f>
        <v>0</v>
      </c>
      <c r="AI25" s="210">
        <f>AI$23-AI$24</f>
        <v>2574275.3200000003</v>
      </c>
      <c r="AJ25" s="19">
        <f>SUM(AG25:AI25)</f>
        <v>2574275.3200000003</v>
      </c>
    </row>
    <row r="26" spans="2:36" x14ac:dyDescent="0.2">
      <c r="B26" s="613"/>
      <c r="C26" s="614"/>
      <c r="D26" s="615"/>
      <c r="E26" s="616"/>
      <c r="F26" s="617"/>
      <c r="G26" s="617"/>
      <c r="H26" s="618"/>
      <c r="I26" s="619"/>
      <c r="J26" s="617"/>
      <c r="K26" s="617"/>
      <c r="L26" s="618"/>
      <c r="M26" s="619"/>
      <c r="N26" s="617"/>
      <c r="O26" s="617"/>
      <c r="P26" s="620"/>
      <c r="Q26" s="616"/>
      <c r="R26" s="617"/>
      <c r="S26" s="617"/>
      <c r="T26" s="618"/>
      <c r="U26" s="619"/>
      <c r="V26" s="617"/>
      <c r="W26" s="617"/>
      <c r="X26" s="618"/>
      <c r="Y26" s="619"/>
      <c r="Z26" s="617"/>
      <c r="AA26" s="617"/>
      <c r="AB26" s="620"/>
      <c r="AC26" s="616"/>
      <c r="AD26" s="617"/>
      <c r="AE26" s="617"/>
      <c r="AF26" s="618"/>
      <c r="AG26" s="619"/>
      <c r="AH26" s="617"/>
      <c r="AI26" s="617"/>
      <c r="AJ26" s="620"/>
    </row>
    <row r="27" spans="2:36" x14ac:dyDescent="0.2">
      <c r="B27" s="591" t="s">
        <v>86</v>
      </c>
      <c r="C27" s="621" t="s">
        <v>327</v>
      </c>
      <c r="D27" s="622"/>
      <c r="E27" s="594"/>
      <c r="F27" s="595"/>
      <c r="G27" s="595"/>
      <c r="H27" s="596"/>
      <c r="I27" s="597"/>
      <c r="J27" s="595"/>
      <c r="K27" s="595"/>
      <c r="L27" s="596"/>
      <c r="M27" s="597"/>
      <c r="N27" s="595"/>
      <c r="O27" s="595"/>
      <c r="P27" s="598"/>
      <c r="Q27" s="594"/>
      <c r="R27" s="595"/>
      <c r="S27" s="595"/>
      <c r="T27" s="596"/>
      <c r="U27" s="597"/>
      <c r="V27" s="595"/>
      <c r="W27" s="595"/>
      <c r="X27" s="596"/>
      <c r="Y27" s="597"/>
      <c r="Z27" s="595"/>
      <c r="AA27" s="595"/>
      <c r="AB27" s="598"/>
      <c r="AC27" s="594"/>
      <c r="AD27" s="595"/>
      <c r="AE27" s="595"/>
      <c r="AF27" s="596"/>
      <c r="AG27" s="597"/>
      <c r="AH27" s="595"/>
      <c r="AI27" s="595"/>
      <c r="AJ27" s="598"/>
    </row>
    <row r="28" spans="2:36" x14ac:dyDescent="0.2">
      <c r="B28" s="599"/>
      <c r="C28" s="206">
        <v>3.1</v>
      </c>
      <c r="D28" s="600" t="str">
        <f>"Life years to determine credibility (from Part 1, Line "&amp;'Pt 1 and 2'!$C$82&amp;")"</f>
        <v>Life years to determine credibility (from Part 1, Line 11.5)</v>
      </c>
      <c r="E28" s="66"/>
      <c r="F28" s="24"/>
      <c r="G28" s="305"/>
      <c r="H28" s="623"/>
      <c r="I28" s="67"/>
      <c r="J28" s="24"/>
      <c r="K28" s="305"/>
      <c r="L28" s="623"/>
      <c r="M28" s="67"/>
      <c r="N28" s="24"/>
      <c r="O28" s="305"/>
      <c r="P28" s="311"/>
      <c r="Q28" s="66"/>
      <c r="R28" s="24"/>
      <c r="S28" s="305"/>
      <c r="T28" s="623"/>
      <c r="U28" s="67"/>
      <c r="V28" s="24"/>
      <c r="W28" s="305"/>
      <c r="X28" s="623"/>
      <c r="Y28" s="67"/>
      <c r="Z28" s="24"/>
      <c r="AA28" s="305"/>
      <c r="AB28" s="311"/>
      <c r="AC28" s="66"/>
      <c r="AD28" s="24"/>
      <c r="AE28" s="305">
        <f>'Pt 1 and 2'!$AE$82</f>
        <v>0</v>
      </c>
      <c r="AF28" s="623">
        <f>SUM(AC28:AE28)</f>
        <v>0</v>
      </c>
      <c r="AG28" s="67"/>
      <c r="AH28" s="24"/>
      <c r="AI28" s="305">
        <f>'Pt 1 and 2'!$AJ$82</f>
        <v>50.75</v>
      </c>
      <c r="AJ28" s="311">
        <f>SUM(AG28:AI28)</f>
        <v>50.75</v>
      </c>
    </row>
    <row r="29" spans="2:36" x14ac:dyDescent="0.2">
      <c r="B29" s="599"/>
      <c r="C29" s="206">
        <v>3.2</v>
      </c>
      <c r="D29" s="600" t="s">
        <v>328</v>
      </c>
      <c r="E29" s="603" t="s">
        <v>52</v>
      </c>
      <c r="F29" s="606" t="s">
        <v>52</v>
      </c>
      <c r="G29" s="606" t="s">
        <v>52</v>
      </c>
      <c r="H29" s="75"/>
      <c r="I29" s="604" t="s">
        <v>52</v>
      </c>
      <c r="J29" s="606" t="s">
        <v>52</v>
      </c>
      <c r="K29" s="606" t="s">
        <v>52</v>
      </c>
      <c r="L29" s="75"/>
      <c r="M29" s="604" t="s">
        <v>52</v>
      </c>
      <c r="N29" s="606" t="s">
        <v>52</v>
      </c>
      <c r="O29" s="606" t="s">
        <v>52</v>
      </c>
      <c r="P29" s="624"/>
      <c r="Q29" s="603" t="s">
        <v>52</v>
      </c>
      <c r="R29" s="606" t="s">
        <v>52</v>
      </c>
      <c r="S29" s="606" t="s">
        <v>52</v>
      </c>
      <c r="T29" s="75"/>
      <c r="U29" s="604" t="s">
        <v>52</v>
      </c>
      <c r="V29" s="606" t="s">
        <v>52</v>
      </c>
      <c r="W29" s="606" t="s">
        <v>52</v>
      </c>
      <c r="X29" s="75"/>
      <c r="Y29" s="604" t="s">
        <v>52</v>
      </c>
      <c r="Z29" s="606" t="s">
        <v>52</v>
      </c>
      <c r="AA29" s="606" t="s">
        <v>52</v>
      </c>
      <c r="AB29" s="624"/>
      <c r="AC29" s="603" t="s">
        <v>52</v>
      </c>
      <c r="AD29" s="606" t="s">
        <v>52</v>
      </c>
      <c r="AE29" s="606" t="s">
        <v>52</v>
      </c>
      <c r="AF29" s="75">
        <f ca="1">IF(OR(AF$28&lt;1000,AF$28&gt;75000),0,VLOOKUP(AF$28,Tables!$A$6:$B$13,2)+((AF$28-VLOOKUP(AF$28,Tables!$A$6:$B$13,1))*(OFFSET(INDEX(Tables!$A$6:$A$13,MATCH(AF$28,Tables!$A$6:$A$13)),1,1)-VLOOKUP(AF$28,Tables!$A$6:$B$13,2))/(OFFSET(INDEX(Tables!$A$6:$A$13,MATCH(AF$28,Tables!$A$6:$A$13)),1,0)-VLOOKUP(AF$28,Tables!$A$6:$B$13,1))))</f>
        <v>0</v>
      </c>
      <c r="AG29" s="604" t="s">
        <v>52</v>
      </c>
      <c r="AH29" s="606" t="s">
        <v>52</v>
      </c>
      <c r="AI29" s="606" t="s">
        <v>52</v>
      </c>
      <c r="AJ29" s="624">
        <f ca="1">IF(OR(AJ$28&lt;1000,AJ$28&gt;75000),0,VLOOKUP(AJ$28,Tables!$A$6:$B$13,2)+((AJ$28-VLOOKUP(AJ$28,Tables!$A$6:$B$13,1))*(OFFSET(INDEX(Tables!$A$6:$A$13,MATCH(AJ$28,Tables!$A$6:$A$13)),1,1)-VLOOKUP(AJ$28,Tables!$A$6:$B$13,2))/(OFFSET(INDEX(Tables!$A$6:$A$13,MATCH(AJ$28,Tables!$A$6:$A$13)),1,0)-VLOOKUP(AJ$28,Tables!$A$6:$B$13,1))))</f>
        <v>0</v>
      </c>
    </row>
    <row r="30" spans="2:36" x14ac:dyDescent="0.2">
      <c r="B30" s="599"/>
      <c r="C30" s="206">
        <v>3.3</v>
      </c>
      <c r="D30" s="600" t="s">
        <v>329</v>
      </c>
      <c r="E30" s="603" t="s">
        <v>52</v>
      </c>
      <c r="F30" s="606" t="s">
        <v>52</v>
      </c>
      <c r="G30" s="606" t="s">
        <v>52</v>
      </c>
      <c r="H30" s="68"/>
      <c r="I30" s="604" t="s">
        <v>52</v>
      </c>
      <c r="J30" s="606" t="s">
        <v>52</v>
      </c>
      <c r="K30" s="606" t="s">
        <v>52</v>
      </c>
      <c r="L30" s="68"/>
      <c r="M30" s="604" t="s">
        <v>52</v>
      </c>
      <c r="N30" s="606" t="s">
        <v>52</v>
      </c>
      <c r="O30" s="606" t="s">
        <v>52</v>
      </c>
      <c r="P30" s="69"/>
      <c r="Q30" s="603" t="s">
        <v>52</v>
      </c>
      <c r="R30" s="606" t="s">
        <v>52</v>
      </c>
      <c r="S30" s="606" t="s">
        <v>52</v>
      </c>
      <c r="T30" s="68"/>
      <c r="U30" s="70"/>
      <c r="V30" s="71"/>
      <c r="W30" s="71"/>
      <c r="X30" s="68"/>
      <c r="Y30" s="604" t="s">
        <v>52</v>
      </c>
      <c r="Z30" s="606" t="s">
        <v>52</v>
      </c>
      <c r="AA30" s="606" t="s">
        <v>52</v>
      </c>
      <c r="AB30" s="69"/>
      <c r="AC30" s="603" t="s">
        <v>52</v>
      </c>
      <c r="AD30" s="606" t="s">
        <v>52</v>
      </c>
      <c r="AE30" s="606" t="s">
        <v>52</v>
      </c>
      <c r="AF30" s="625">
        <v>0</v>
      </c>
      <c r="AG30" s="604" t="s">
        <v>52</v>
      </c>
      <c r="AH30" s="606" t="s">
        <v>52</v>
      </c>
      <c r="AI30" s="606" t="s">
        <v>52</v>
      </c>
      <c r="AJ30" s="626">
        <v>0</v>
      </c>
    </row>
    <row r="31" spans="2:36" s="629" customFormat="1" x14ac:dyDescent="0.2">
      <c r="B31" s="599"/>
      <c r="C31" s="206">
        <v>3.4</v>
      </c>
      <c r="D31" s="600" t="s">
        <v>330</v>
      </c>
      <c r="E31" s="603" t="s">
        <v>52</v>
      </c>
      <c r="F31" s="606" t="s">
        <v>52</v>
      </c>
      <c r="G31" s="606" t="s">
        <v>52</v>
      </c>
      <c r="H31" s="627"/>
      <c r="I31" s="604" t="s">
        <v>52</v>
      </c>
      <c r="J31" s="606" t="s">
        <v>52</v>
      </c>
      <c r="K31" s="606" t="s">
        <v>52</v>
      </c>
      <c r="L31" s="627"/>
      <c r="M31" s="604" t="s">
        <v>52</v>
      </c>
      <c r="N31" s="606" t="s">
        <v>52</v>
      </c>
      <c r="O31" s="606" t="s">
        <v>52</v>
      </c>
      <c r="P31" s="628"/>
      <c r="Q31" s="603" t="s">
        <v>52</v>
      </c>
      <c r="R31" s="606" t="s">
        <v>52</v>
      </c>
      <c r="S31" s="606" t="s">
        <v>52</v>
      </c>
      <c r="T31" s="627"/>
      <c r="U31" s="604" t="s">
        <v>52</v>
      </c>
      <c r="V31" s="606" t="s">
        <v>52</v>
      </c>
      <c r="W31" s="606" t="s">
        <v>52</v>
      </c>
      <c r="X31" s="627"/>
      <c r="Y31" s="604" t="s">
        <v>52</v>
      </c>
      <c r="Z31" s="606" t="s">
        <v>52</v>
      </c>
      <c r="AA31" s="606" t="s">
        <v>52</v>
      </c>
      <c r="AB31" s="628"/>
      <c r="AC31" s="603" t="s">
        <v>52</v>
      </c>
      <c r="AD31" s="606" t="s">
        <v>52</v>
      </c>
      <c r="AE31" s="606" t="s">
        <v>52</v>
      </c>
      <c r="AF31" s="627">
        <f ca="1">IF(AF$30&lt;2500,1,(MIN(VLOOKUP(AF$30,Tables!$A$19:$B$22,2)+((AF$30-VLOOKUP(AF$30,Tables!$A$19:$B$22,1))*(OFFSET(INDEX(Tables!$A$19:$A$22,MATCH(AF$30,Tables!$A$19:$A$22)),1,1)-VLOOKUP(AF$30,Tables!$A$19:$B$22,2))/(OFFSET(INDEX(Tables!$A$19:$A$22,MATCH(AF$30,Tables!$A$19:$A$22)),1,0)-VLOOKUP(AF$30,Tables!$A$19:$B$22,1))),1.736)))</f>
        <v>1</v>
      </c>
      <c r="AG31" s="604" t="s">
        <v>52</v>
      </c>
      <c r="AH31" s="606" t="s">
        <v>52</v>
      </c>
      <c r="AI31" s="606" t="s">
        <v>52</v>
      </c>
      <c r="AJ31" s="628">
        <f ca="1">IF(AJ$30&lt;2500,1,(MIN(VLOOKUP(AJ$30,Tables!$A$19:$B$22,2)+((AJ$30-VLOOKUP(AJ$30,Tables!$A$19:$B$22,1))*(OFFSET(INDEX(Tables!$A$19:$A$22,MATCH(AJ$30,Tables!$A$19:$A$22)),1,1)-VLOOKUP(AJ$30,Tables!$A$19:$B$22,2))/(OFFSET(INDEX(Tables!$A$19:$A$22,MATCH(AJ$30,Tables!$A$19:$A$22)),1,0)-VLOOKUP(AJ$30,Tables!$A$19:$B$22,1))),1.736)))</f>
        <v>1</v>
      </c>
    </row>
    <row r="32" spans="2:36" x14ac:dyDescent="0.2">
      <c r="B32" s="599"/>
      <c r="C32" s="206">
        <v>3.5</v>
      </c>
      <c r="D32" s="600" t="str">
        <f>"Credibility adjustment factor (Lines "&amp;$C$29&amp;" x "&amp;$C$31&amp;")"</f>
        <v>Credibility adjustment factor (Lines 3.2 x 3.4)</v>
      </c>
      <c r="E32" s="603" t="s">
        <v>52</v>
      </c>
      <c r="F32" s="606" t="s">
        <v>52</v>
      </c>
      <c r="G32" s="606" t="s">
        <v>52</v>
      </c>
      <c r="H32" s="630"/>
      <c r="I32" s="604" t="s">
        <v>52</v>
      </c>
      <c r="J32" s="606" t="s">
        <v>52</v>
      </c>
      <c r="K32" s="606" t="s">
        <v>52</v>
      </c>
      <c r="L32" s="630"/>
      <c r="M32" s="604" t="s">
        <v>52</v>
      </c>
      <c r="N32" s="606" t="s">
        <v>52</v>
      </c>
      <c r="O32" s="606" t="s">
        <v>52</v>
      </c>
      <c r="P32" s="630"/>
      <c r="Q32" s="603" t="s">
        <v>52</v>
      </c>
      <c r="R32" s="606" t="s">
        <v>52</v>
      </c>
      <c r="S32" s="606" t="s">
        <v>52</v>
      </c>
      <c r="T32" s="630"/>
      <c r="U32" s="604" t="s">
        <v>52</v>
      </c>
      <c r="V32" s="606" t="s">
        <v>52</v>
      </c>
      <c r="W32" s="606" t="s">
        <v>52</v>
      </c>
      <c r="X32" s="630"/>
      <c r="Y32" s="604" t="s">
        <v>52</v>
      </c>
      <c r="Z32" s="606" t="s">
        <v>52</v>
      </c>
      <c r="AA32" s="606" t="s">
        <v>52</v>
      </c>
      <c r="AB32" s="630"/>
      <c r="AC32" s="603" t="s">
        <v>52</v>
      </c>
      <c r="AD32" s="606" t="s">
        <v>52</v>
      </c>
      <c r="AE32" s="606" t="s">
        <v>52</v>
      </c>
      <c r="AF32" s="630" t="str">
        <f>IF(OR(AF$28&lt;1000,AF$28&gt;=75000),"N/A ",AF$29*AF$31)</f>
        <v xml:space="preserve">N/A </v>
      </c>
      <c r="AG32" s="604" t="s">
        <v>52</v>
      </c>
      <c r="AH32" s="606" t="s">
        <v>52</v>
      </c>
      <c r="AI32" s="606" t="s">
        <v>52</v>
      </c>
      <c r="AJ32" s="631" t="str">
        <f>IF(OR(AJ$28&lt;1000,AJ$28&gt;=75000),"N/A ",AJ$29*AJ$31)</f>
        <v xml:space="preserve">N/A </v>
      </c>
    </row>
    <row r="33" spans="2:36" x14ac:dyDescent="0.2">
      <c r="B33" s="613"/>
      <c r="C33" s="632"/>
      <c r="D33" s="615"/>
      <c r="E33" s="633"/>
      <c r="F33" s="634"/>
      <c r="G33" s="634"/>
      <c r="H33" s="635"/>
      <c r="I33" s="636"/>
      <c r="J33" s="634"/>
      <c r="K33" s="634"/>
      <c r="L33" s="635"/>
      <c r="M33" s="636"/>
      <c r="N33" s="634"/>
      <c r="O33" s="634"/>
      <c r="P33" s="637"/>
      <c r="Q33" s="633"/>
      <c r="R33" s="634"/>
      <c r="S33" s="634"/>
      <c r="T33" s="635"/>
      <c r="U33" s="636"/>
      <c r="V33" s="634"/>
      <c r="W33" s="634"/>
      <c r="X33" s="635"/>
      <c r="Y33" s="636"/>
      <c r="Z33" s="634"/>
      <c r="AA33" s="634"/>
      <c r="AB33" s="637"/>
      <c r="AC33" s="633"/>
      <c r="AD33" s="634"/>
      <c r="AE33" s="634"/>
      <c r="AF33" s="635"/>
      <c r="AG33" s="636"/>
      <c r="AH33" s="634"/>
      <c r="AI33" s="634"/>
      <c r="AJ33" s="637"/>
    </row>
    <row r="34" spans="2:36" x14ac:dyDescent="0.2">
      <c r="B34" s="591" t="s">
        <v>97</v>
      </c>
      <c r="C34" s="621" t="s">
        <v>331</v>
      </c>
      <c r="D34" s="638"/>
      <c r="E34" s="594"/>
      <c r="F34" s="595"/>
      <c r="G34" s="595"/>
      <c r="H34" s="596"/>
      <c r="I34" s="597"/>
      <c r="J34" s="595"/>
      <c r="K34" s="595"/>
      <c r="L34" s="596"/>
      <c r="M34" s="597"/>
      <c r="N34" s="595"/>
      <c r="O34" s="595"/>
      <c r="P34" s="598"/>
      <c r="Q34" s="594"/>
      <c r="R34" s="595"/>
      <c r="S34" s="595"/>
      <c r="T34" s="596"/>
      <c r="U34" s="597"/>
      <c r="V34" s="595"/>
      <c r="W34" s="595"/>
      <c r="X34" s="596"/>
      <c r="Y34" s="597"/>
      <c r="Z34" s="595"/>
      <c r="AA34" s="595"/>
      <c r="AB34" s="598"/>
      <c r="AC34" s="594"/>
      <c r="AD34" s="595"/>
      <c r="AE34" s="595"/>
      <c r="AF34" s="596"/>
      <c r="AG34" s="597"/>
      <c r="AH34" s="595"/>
      <c r="AI34" s="595"/>
      <c r="AJ34" s="598"/>
    </row>
    <row r="35" spans="2:36" x14ac:dyDescent="0.2">
      <c r="B35" s="599"/>
      <c r="C35" s="256">
        <v>4.0999999999999996</v>
      </c>
      <c r="D35" s="600" t="s">
        <v>332</v>
      </c>
      <c r="E35" s="603" t="s">
        <v>52</v>
      </c>
      <c r="F35" s="606" t="s">
        <v>52</v>
      </c>
      <c r="G35" s="606" t="s">
        <v>52</v>
      </c>
      <c r="H35" s="639"/>
      <c r="I35" s="604" t="s">
        <v>52</v>
      </c>
      <c r="J35" s="606" t="s">
        <v>52</v>
      </c>
      <c r="K35" s="606" t="s">
        <v>52</v>
      </c>
      <c r="L35" s="639"/>
      <c r="M35" s="604" t="s">
        <v>52</v>
      </c>
      <c r="N35" s="606" t="s">
        <v>52</v>
      </c>
      <c r="O35" s="606" t="s">
        <v>52</v>
      </c>
      <c r="P35" s="640"/>
      <c r="Q35" s="604" t="s">
        <v>52</v>
      </c>
      <c r="R35" s="606" t="s">
        <v>52</v>
      </c>
      <c r="S35" s="606" t="s">
        <v>52</v>
      </c>
      <c r="T35" s="639"/>
      <c r="U35" s="604" t="s">
        <v>52</v>
      </c>
      <c r="V35" s="606" t="s">
        <v>52</v>
      </c>
      <c r="W35" s="606" t="s">
        <v>52</v>
      </c>
      <c r="X35" s="639"/>
      <c r="Y35" s="604" t="s">
        <v>52</v>
      </c>
      <c r="Z35" s="606" t="s">
        <v>52</v>
      </c>
      <c r="AA35" s="606" t="s">
        <v>52</v>
      </c>
      <c r="AB35" s="640"/>
      <c r="AC35" s="604" t="s">
        <v>52</v>
      </c>
      <c r="AD35" s="606" t="s">
        <v>52</v>
      </c>
      <c r="AE35" s="606" t="s">
        <v>52</v>
      </c>
      <c r="AF35" s="639" t="str">
        <f>IF(AF$28&lt;1000,"No",IF(AF$28&lt;75000,"Partially","Fully"))</f>
        <v>No</v>
      </c>
      <c r="AG35" s="604" t="s">
        <v>52</v>
      </c>
      <c r="AH35" s="606" t="s">
        <v>52</v>
      </c>
      <c r="AI35" s="606" t="s">
        <v>52</v>
      </c>
      <c r="AJ35" s="640" t="str">
        <f>IF(AJ$28&lt;1000,"No",IF(AJ$28&lt;75000,"Partially","Fully"))</f>
        <v>No</v>
      </c>
    </row>
    <row r="36" spans="2:36" x14ac:dyDescent="0.2">
      <c r="B36" s="599"/>
      <c r="C36" s="256">
        <v>4.2</v>
      </c>
      <c r="D36" s="600" t="s">
        <v>333</v>
      </c>
      <c r="E36" s="603"/>
      <c r="F36" s="606"/>
      <c r="G36" s="606"/>
      <c r="H36" s="211"/>
      <c r="I36" s="604"/>
      <c r="J36" s="606"/>
      <c r="K36" s="606"/>
      <c r="L36" s="211"/>
      <c r="M36" s="604"/>
      <c r="N36" s="606"/>
      <c r="O36" s="606"/>
      <c r="P36" s="19"/>
      <c r="Q36" s="604"/>
      <c r="R36" s="606"/>
      <c r="S36" s="606"/>
      <c r="T36" s="211"/>
      <c r="U36" s="604"/>
      <c r="V36" s="606"/>
      <c r="W36" s="606"/>
      <c r="X36" s="211"/>
      <c r="Y36" s="604"/>
      <c r="Z36" s="606"/>
      <c r="AA36" s="606"/>
      <c r="AB36" s="19"/>
      <c r="AC36" s="604"/>
      <c r="AD36" s="606"/>
      <c r="AE36" s="606"/>
      <c r="AF36" s="211"/>
      <c r="AG36" s="604"/>
      <c r="AH36" s="606"/>
      <c r="AI36" s="606"/>
      <c r="AJ36" s="19"/>
    </row>
    <row r="37" spans="2:36" ht="38.25" x14ac:dyDescent="0.2">
      <c r="B37" s="599"/>
      <c r="C37" s="256"/>
      <c r="D37" s="601"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72"/>
      <c r="F37" s="73"/>
      <c r="G37" s="606" t="s">
        <v>52</v>
      </c>
      <c r="H37" s="75"/>
      <c r="I37" s="74"/>
      <c r="J37" s="73"/>
      <c r="K37" s="606" t="s">
        <v>52</v>
      </c>
      <c r="L37" s="75"/>
      <c r="M37" s="604" t="s">
        <v>52</v>
      </c>
      <c r="N37" s="606" t="s">
        <v>52</v>
      </c>
      <c r="O37" s="606" t="s">
        <v>52</v>
      </c>
      <c r="P37" s="624"/>
      <c r="Q37" s="604" t="s">
        <v>52</v>
      </c>
      <c r="R37" s="606" t="s">
        <v>52</v>
      </c>
      <c r="S37" s="606" t="s">
        <v>52</v>
      </c>
      <c r="T37" s="75"/>
      <c r="U37" s="604" t="s">
        <v>52</v>
      </c>
      <c r="V37" s="606" t="s">
        <v>52</v>
      </c>
      <c r="W37" s="606" t="s">
        <v>52</v>
      </c>
      <c r="X37" s="75"/>
      <c r="Y37" s="604" t="s">
        <v>52</v>
      </c>
      <c r="Z37" s="606" t="s">
        <v>52</v>
      </c>
      <c r="AA37" s="606" t="s">
        <v>52</v>
      </c>
      <c r="AB37" s="624"/>
      <c r="AC37" s="604" t="s">
        <v>52</v>
      </c>
      <c r="AD37" s="606" t="s">
        <v>52</v>
      </c>
      <c r="AE37" s="606" t="s">
        <v>52</v>
      </c>
      <c r="AF37" s="75">
        <f>IF(AF$25=0,0, IF(AF$28&lt;1000,0.8,AF$19/AF$25))</f>
        <v>0</v>
      </c>
      <c r="AG37" s="604" t="s">
        <v>52</v>
      </c>
      <c r="AH37" s="606" t="s">
        <v>52</v>
      </c>
      <c r="AI37" s="606" t="s">
        <v>52</v>
      </c>
      <c r="AJ37" s="624">
        <f>IF(AJ$25=0,0, IF(AJ$28&lt;1000,0.8,AJ$19/AJ$25))</f>
        <v>0.8</v>
      </c>
    </row>
    <row r="38" spans="2:36" ht="38.25" x14ac:dyDescent="0.2">
      <c r="B38" s="599"/>
      <c r="C38" s="256"/>
      <c r="D38" s="601"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603" t="s">
        <v>52</v>
      </c>
      <c r="F38" s="606" t="s">
        <v>52</v>
      </c>
      <c r="G38" s="606" t="s">
        <v>52</v>
      </c>
      <c r="H38" s="607" t="s">
        <v>52</v>
      </c>
      <c r="I38" s="604" t="s">
        <v>52</v>
      </c>
      <c r="J38" s="606" t="s">
        <v>52</v>
      </c>
      <c r="K38" s="606" t="s">
        <v>52</v>
      </c>
      <c r="L38" s="607" t="s">
        <v>52</v>
      </c>
      <c r="M38" s="74"/>
      <c r="N38" s="73"/>
      <c r="O38" s="606" t="s">
        <v>52</v>
      </c>
      <c r="P38" s="608" t="s">
        <v>52</v>
      </c>
      <c r="Q38" s="74"/>
      <c r="R38" s="73"/>
      <c r="S38" s="606" t="s">
        <v>52</v>
      </c>
      <c r="T38" s="75"/>
      <c r="U38" s="74"/>
      <c r="V38" s="73"/>
      <c r="W38" s="606" t="s">
        <v>52</v>
      </c>
      <c r="X38" s="75"/>
      <c r="Y38" s="74"/>
      <c r="Z38" s="73"/>
      <c r="AA38" s="606" t="s">
        <v>52</v>
      </c>
      <c r="AB38" s="624"/>
      <c r="AC38" s="74"/>
      <c r="AD38" s="73"/>
      <c r="AE38" s="606" t="s">
        <v>52</v>
      </c>
      <c r="AF38" s="75">
        <f>IF(AF$25=0,0,IF(AF$28&lt;1000,0.85,AF$20/AF$25))</f>
        <v>0</v>
      </c>
      <c r="AG38" s="74"/>
      <c r="AH38" s="73"/>
      <c r="AI38" s="606" t="s">
        <v>52</v>
      </c>
      <c r="AJ38" s="624">
        <f>IF(AJ$25=0,0,IF(AJ$28&lt;1000,0.85,AJ$20/AJ$25))</f>
        <v>0.85</v>
      </c>
    </row>
    <row r="39" spans="2:36" x14ac:dyDescent="0.2">
      <c r="B39" s="599"/>
      <c r="C39" s="256">
        <v>4.3</v>
      </c>
      <c r="D39" s="600" t="str">
        <f>"Credibility adjustment factor (Line "&amp;$C$32&amp;")"</f>
        <v>Credibility adjustment factor (Line 3.5)</v>
      </c>
      <c r="E39" s="603" t="s">
        <v>52</v>
      </c>
      <c r="F39" s="606" t="s">
        <v>52</v>
      </c>
      <c r="G39" s="606" t="s">
        <v>52</v>
      </c>
      <c r="H39" s="630"/>
      <c r="I39" s="604" t="s">
        <v>52</v>
      </c>
      <c r="J39" s="606" t="s">
        <v>52</v>
      </c>
      <c r="K39" s="606" t="s">
        <v>52</v>
      </c>
      <c r="L39" s="630"/>
      <c r="M39" s="604" t="s">
        <v>52</v>
      </c>
      <c r="N39" s="606" t="s">
        <v>52</v>
      </c>
      <c r="O39" s="606" t="s">
        <v>52</v>
      </c>
      <c r="P39" s="630"/>
      <c r="Q39" s="604" t="s">
        <v>52</v>
      </c>
      <c r="R39" s="606" t="s">
        <v>52</v>
      </c>
      <c r="S39" s="606" t="s">
        <v>52</v>
      </c>
      <c r="T39" s="630"/>
      <c r="U39" s="604" t="s">
        <v>52</v>
      </c>
      <c r="V39" s="606" t="s">
        <v>52</v>
      </c>
      <c r="W39" s="606" t="s">
        <v>52</v>
      </c>
      <c r="X39" s="630"/>
      <c r="Y39" s="604" t="s">
        <v>52</v>
      </c>
      <c r="Z39" s="606" t="s">
        <v>52</v>
      </c>
      <c r="AA39" s="606" t="s">
        <v>52</v>
      </c>
      <c r="AB39" s="641"/>
      <c r="AC39" s="642" t="s">
        <v>52</v>
      </c>
      <c r="AD39" s="606" t="s">
        <v>52</v>
      </c>
      <c r="AE39" s="606" t="s">
        <v>52</v>
      </c>
      <c r="AF39" s="630" t="str">
        <f>IF(AND(AC$28&gt;=1000,AD$28&gt;=1000,AE$28&gt;=1000,AC$38&lt;AF$43,AD$38&lt;AF$43,AF$38&lt;AF$43),"None",AF$32)</f>
        <v xml:space="preserve">N/A </v>
      </c>
      <c r="AG39" s="604" t="s">
        <v>52</v>
      </c>
      <c r="AH39" s="606" t="s">
        <v>52</v>
      </c>
      <c r="AI39" s="606" t="s">
        <v>52</v>
      </c>
      <c r="AJ39" s="631" t="str">
        <f>IF(AND(AG$28&gt;=1000,AH$28&gt;=1000,AI$28&gt;=1000,AG$38&lt;AJ$43,AH$38&lt;AJ$43,AJ$38&lt;AJ$43),"None",AJ$32)</f>
        <v xml:space="preserve">N/A </v>
      </c>
    </row>
    <row r="40" spans="2:36" x14ac:dyDescent="0.2">
      <c r="B40" s="599"/>
      <c r="C40" s="643">
        <v>4.4000000000000004</v>
      </c>
      <c r="D40" s="644" t="str">
        <f>"Credibility-adjusted MLR (Lines "&amp;LEFT($D$37,4)&amp;" or "&amp;LEFT($D$38,4)&amp;" + "&amp;$C$39&amp;")"</f>
        <v>Credibility-adjusted MLR (Lines 4.2a or 4.2b + 4.3)</v>
      </c>
      <c r="E40" s="603" t="s">
        <v>52</v>
      </c>
      <c r="F40" s="606" t="s">
        <v>52</v>
      </c>
      <c r="G40" s="606" t="s">
        <v>52</v>
      </c>
      <c r="H40" s="645"/>
      <c r="I40" s="604" t="s">
        <v>52</v>
      </c>
      <c r="J40" s="606" t="s">
        <v>52</v>
      </c>
      <c r="K40" s="606" t="s">
        <v>52</v>
      </c>
      <c r="L40" s="645"/>
      <c r="M40" s="604" t="s">
        <v>52</v>
      </c>
      <c r="N40" s="606" t="s">
        <v>52</v>
      </c>
      <c r="O40" s="606" t="s">
        <v>52</v>
      </c>
      <c r="P40" s="645"/>
      <c r="Q40" s="604" t="s">
        <v>52</v>
      </c>
      <c r="R40" s="606" t="s">
        <v>52</v>
      </c>
      <c r="S40" s="606" t="s">
        <v>52</v>
      </c>
      <c r="T40" s="645"/>
      <c r="U40" s="604" t="s">
        <v>52</v>
      </c>
      <c r="V40" s="606" t="s">
        <v>52</v>
      </c>
      <c r="W40" s="606" t="s">
        <v>52</v>
      </c>
      <c r="X40" s="645"/>
      <c r="Y40" s="604" t="s">
        <v>52</v>
      </c>
      <c r="Z40" s="606" t="s">
        <v>52</v>
      </c>
      <c r="AA40" s="606" t="s">
        <v>52</v>
      </c>
      <c r="AB40" s="646"/>
      <c r="AC40" s="642" t="s">
        <v>52</v>
      </c>
      <c r="AD40" s="606" t="s">
        <v>52</v>
      </c>
      <c r="AE40" s="606" t="s">
        <v>52</v>
      </c>
      <c r="AF40" s="645">
        <f>ROUND(AF$38+MAX(0,AF$39),3)</f>
        <v>0</v>
      </c>
      <c r="AG40" s="604" t="s">
        <v>52</v>
      </c>
      <c r="AH40" s="606" t="s">
        <v>52</v>
      </c>
      <c r="AI40" s="606" t="s">
        <v>52</v>
      </c>
      <c r="AJ40" s="647">
        <f>ROUND(AJ$38+MAX(0,AJ$39),3)</f>
        <v>0.85</v>
      </c>
    </row>
    <row r="41" spans="2:36" s="39" customFormat="1" x14ac:dyDescent="0.2">
      <c r="B41" s="613"/>
      <c r="C41" s="648"/>
      <c r="D41" s="615"/>
      <c r="E41" s="649"/>
      <c r="F41" s="650"/>
      <c r="G41" s="650"/>
      <c r="H41" s="651"/>
      <c r="I41" s="652"/>
      <c r="J41" s="650"/>
      <c r="K41" s="650"/>
      <c r="L41" s="651"/>
      <c r="M41" s="652"/>
      <c r="N41" s="650"/>
      <c r="O41" s="650"/>
      <c r="P41" s="653"/>
      <c r="Q41" s="652"/>
      <c r="R41" s="650"/>
      <c r="S41" s="650"/>
      <c r="T41" s="651"/>
      <c r="U41" s="652"/>
      <c r="V41" s="650"/>
      <c r="W41" s="650"/>
      <c r="X41" s="651"/>
      <c r="Y41" s="652"/>
      <c r="Z41" s="650"/>
      <c r="AA41" s="650"/>
      <c r="AB41" s="653"/>
      <c r="AC41" s="652"/>
      <c r="AD41" s="650"/>
      <c r="AE41" s="650"/>
      <c r="AF41" s="651"/>
      <c r="AG41" s="652"/>
      <c r="AH41" s="650"/>
      <c r="AI41" s="650"/>
      <c r="AJ41" s="653"/>
    </row>
    <row r="42" spans="2:36" s="39" customFormat="1" x14ac:dyDescent="0.2">
      <c r="B42" s="654" t="s">
        <v>110</v>
      </c>
      <c r="C42" s="655" t="s">
        <v>334</v>
      </c>
      <c r="D42" s="600"/>
      <c r="E42" s="656"/>
      <c r="F42" s="657"/>
      <c r="G42" s="657"/>
      <c r="H42" s="658"/>
      <c r="I42" s="659"/>
      <c r="J42" s="657"/>
      <c r="K42" s="657"/>
      <c r="L42" s="658"/>
      <c r="M42" s="659"/>
      <c r="N42" s="657"/>
      <c r="O42" s="657"/>
      <c r="P42" s="660"/>
      <c r="Q42" s="659"/>
      <c r="R42" s="657"/>
      <c r="S42" s="657"/>
      <c r="T42" s="658"/>
      <c r="U42" s="659"/>
      <c r="V42" s="657"/>
      <c r="W42" s="657"/>
      <c r="X42" s="658"/>
      <c r="Y42" s="659"/>
      <c r="Z42" s="657"/>
      <c r="AA42" s="657"/>
      <c r="AB42" s="660"/>
      <c r="AC42" s="659"/>
      <c r="AD42" s="657"/>
      <c r="AE42" s="657"/>
      <c r="AF42" s="658"/>
      <c r="AG42" s="659"/>
      <c r="AH42" s="657"/>
      <c r="AI42" s="657"/>
      <c r="AJ42" s="660"/>
    </row>
    <row r="43" spans="2:36" x14ac:dyDescent="0.2">
      <c r="B43" s="599"/>
      <c r="C43" s="256">
        <v>5.0999999999999996</v>
      </c>
      <c r="D43" s="600" t="s">
        <v>335</v>
      </c>
      <c r="E43" s="603" t="s">
        <v>52</v>
      </c>
      <c r="F43" s="606" t="s">
        <v>52</v>
      </c>
      <c r="G43" s="606" t="s">
        <v>52</v>
      </c>
      <c r="H43" s="75"/>
      <c r="I43" s="604" t="s">
        <v>52</v>
      </c>
      <c r="J43" s="606" t="s">
        <v>52</v>
      </c>
      <c r="K43" s="606" t="s">
        <v>52</v>
      </c>
      <c r="L43" s="75"/>
      <c r="M43" s="604" t="s">
        <v>52</v>
      </c>
      <c r="N43" s="606" t="s">
        <v>52</v>
      </c>
      <c r="O43" s="606" t="s">
        <v>52</v>
      </c>
      <c r="P43" s="624"/>
      <c r="Q43" s="604" t="s">
        <v>52</v>
      </c>
      <c r="R43" s="606" t="s">
        <v>52</v>
      </c>
      <c r="S43" s="606" t="s">
        <v>52</v>
      </c>
      <c r="T43" s="75"/>
      <c r="U43" s="604" t="s">
        <v>52</v>
      </c>
      <c r="V43" s="606" t="s">
        <v>52</v>
      </c>
      <c r="W43" s="606" t="s">
        <v>52</v>
      </c>
      <c r="X43" s="75"/>
      <c r="Y43" s="604" t="s">
        <v>52</v>
      </c>
      <c r="Z43" s="606" t="s">
        <v>52</v>
      </c>
      <c r="AA43" s="606" t="s">
        <v>52</v>
      </c>
      <c r="AB43" s="624"/>
      <c r="AC43" s="604" t="s">
        <v>52</v>
      </c>
      <c r="AD43" s="606" t="s">
        <v>52</v>
      </c>
      <c r="AE43" s="606" t="s">
        <v>52</v>
      </c>
      <c r="AF43" s="75">
        <v>0.8</v>
      </c>
      <c r="AG43" s="604" t="s">
        <v>52</v>
      </c>
      <c r="AH43" s="606" t="s">
        <v>52</v>
      </c>
      <c r="AI43" s="606" t="s">
        <v>52</v>
      </c>
      <c r="AJ43" s="624">
        <v>0.85</v>
      </c>
    </row>
    <row r="44" spans="2:36" x14ac:dyDescent="0.2">
      <c r="B44" s="599"/>
      <c r="C44" s="256">
        <v>5.2</v>
      </c>
      <c r="D44" s="600" t="str">
        <f>"Credibility-adjusted MLR (Line "&amp;$C$40&amp;")"</f>
        <v>Credibility-adjusted MLR (Line 4.4)</v>
      </c>
      <c r="E44" s="603" t="s">
        <v>52</v>
      </c>
      <c r="F44" s="606" t="s">
        <v>52</v>
      </c>
      <c r="G44" s="606" t="s">
        <v>52</v>
      </c>
      <c r="H44" s="75"/>
      <c r="I44" s="604" t="s">
        <v>52</v>
      </c>
      <c r="J44" s="606" t="s">
        <v>52</v>
      </c>
      <c r="K44" s="606" t="s">
        <v>52</v>
      </c>
      <c r="L44" s="75"/>
      <c r="M44" s="604" t="s">
        <v>52</v>
      </c>
      <c r="N44" s="606" t="s">
        <v>52</v>
      </c>
      <c r="O44" s="606" t="s">
        <v>52</v>
      </c>
      <c r="P44" s="75"/>
      <c r="Q44" s="604" t="s">
        <v>52</v>
      </c>
      <c r="R44" s="606" t="s">
        <v>52</v>
      </c>
      <c r="S44" s="606" t="s">
        <v>52</v>
      </c>
      <c r="T44" s="75"/>
      <c r="U44" s="604" t="s">
        <v>52</v>
      </c>
      <c r="V44" s="606" t="s">
        <v>52</v>
      </c>
      <c r="W44" s="606" t="s">
        <v>52</v>
      </c>
      <c r="X44" s="75"/>
      <c r="Y44" s="604" t="s">
        <v>52</v>
      </c>
      <c r="Z44" s="606" t="s">
        <v>52</v>
      </c>
      <c r="AA44" s="606" t="s">
        <v>52</v>
      </c>
      <c r="AB44" s="661"/>
      <c r="AC44" s="642" t="s">
        <v>52</v>
      </c>
      <c r="AD44" s="606" t="s">
        <v>52</v>
      </c>
      <c r="AE44" s="606" t="s">
        <v>52</v>
      </c>
      <c r="AF44" s="75">
        <f>AF$40</f>
        <v>0</v>
      </c>
      <c r="AG44" s="604" t="s">
        <v>52</v>
      </c>
      <c r="AH44" s="606" t="s">
        <v>52</v>
      </c>
      <c r="AI44" s="606" t="s">
        <v>52</v>
      </c>
      <c r="AJ44" s="624">
        <f>AJ$40</f>
        <v>0.85</v>
      </c>
    </row>
    <row r="45" spans="2:36" ht="25.5" x14ac:dyDescent="0.2">
      <c r="B45" s="599"/>
      <c r="C45" s="256">
        <v>5.3</v>
      </c>
      <c r="D45" s="662" t="str">
        <f>"Adjusted earned premium less Federal and State taxes and licensing or regulatory fees (Line "&amp;$C$25&amp;" CY)"</f>
        <v>Adjusted earned premium less Federal and State taxes and licensing or regulatory fees (Line 2.3 CY)</v>
      </c>
      <c r="E45" s="603" t="s">
        <v>52</v>
      </c>
      <c r="F45" s="606" t="s">
        <v>52</v>
      </c>
      <c r="G45" s="606" t="s">
        <v>52</v>
      </c>
      <c r="H45" s="211"/>
      <c r="I45" s="604" t="s">
        <v>52</v>
      </c>
      <c r="J45" s="606" t="s">
        <v>52</v>
      </c>
      <c r="K45" s="606" t="s">
        <v>52</v>
      </c>
      <c r="L45" s="211"/>
      <c r="M45" s="604" t="s">
        <v>52</v>
      </c>
      <c r="N45" s="606" t="s">
        <v>52</v>
      </c>
      <c r="O45" s="606" t="s">
        <v>52</v>
      </c>
      <c r="P45" s="19"/>
      <c r="Q45" s="604" t="s">
        <v>52</v>
      </c>
      <c r="R45" s="606" t="s">
        <v>52</v>
      </c>
      <c r="S45" s="606" t="s">
        <v>52</v>
      </c>
      <c r="T45" s="211"/>
      <c r="U45" s="604" t="s">
        <v>52</v>
      </c>
      <c r="V45" s="606" t="s">
        <v>52</v>
      </c>
      <c r="W45" s="606" t="s">
        <v>52</v>
      </c>
      <c r="X45" s="211"/>
      <c r="Y45" s="604" t="s">
        <v>52</v>
      </c>
      <c r="Z45" s="606" t="s">
        <v>52</v>
      </c>
      <c r="AA45" s="606" t="s">
        <v>52</v>
      </c>
      <c r="AB45" s="663"/>
      <c r="AC45" s="642" t="s">
        <v>52</v>
      </c>
      <c r="AD45" s="606" t="s">
        <v>52</v>
      </c>
      <c r="AE45" s="606" t="s">
        <v>52</v>
      </c>
      <c r="AF45" s="211">
        <f>AE$25</f>
        <v>0</v>
      </c>
      <c r="AG45" s="604" t="s">
        <v>52</v>
      </c>
      <c r="AH45" s="606" t="s">
        <v>52</v>
      </c>
      <c r="AI45" s="606" t="s">
        <v>52</v>
      </c>
      <c r="AJ45" s="19">
        <f>AI$25</f>
        <v>2574275.3200000003</v>
      </c>
    </row>
    <row r="46" spans="2:36" ht="25.5" x14ac:dyDescent="0.2">
      <c r="B46" s="599"/>
      <c r="C46" s="643">
        <v>5.4</v>
      </c>
      <c r="D46" s="664" t="str">
        <f>"Rebate amount if credibility-adjusted MLR is less than MLR standard (Lines ("&amp;$C$43&amp;" – "&amp;$C$44&amp;") x "&amp;$C$45&amp;")"</f>
        <v>Rebate amount if credibility-adjusted MLR is less than MLR standard (Lines (5.1 – 5.2) x 5.3)</v>
      </c>
      <c r="E46" s="603" t="s">
        <v>52</v>
      </c>
      <c r="F46" s="606" t="s">
        <v>52</v>
      </c>
      <c r="G46" s="606" t="s">
        <v>52</v>
      </c>
      <c r="H46" s="665">
        <v>370978.78649999999</v>
      </c>
      <c r="I46" s="604" t="s">
        <v>52</v>
      </c>
      <c r="J46" s="606" t="s">
        <v>52</v>
      </c>
      <c r="K46" s="606" t="s">
        <v>52</v>
      </c>
      <c r="L46" s="665">
        <v>51687126.8477</v>
      </c>
      <c r="M46" s="604" t="s">
        <v>52</v>
      </c>
      <c r="N46" s="606" t="s">
        <v>52</v>
      </c>
      <c r="O46" s="606" t="s">
        <v>52</v>
      </c>
      <c r="P46" s="666">
        <v>87305903.307099998</v>
      </c>
      <c r="Q46" s="604" t="s">
        <v>52</v>
      </c>
      <c r="R46" s="606" t="s">
        <v>52</v>
      </c>
      <c r="S46" s="606" t="s">
        <v>52</v>
      </c>
      <c r="T46" s="665">
        <v>0</v>
      </c>
      <c r="U46" s="604" t="s">
        <v>52</v>
      </c>
      <c r="V46" s="606" t="s">
        <v>52</v>
      </c>
      <c r="W46" s="606" t="s">
        <v>52</v>
      </c>
      <c r="X46" s="665">
        <v>0</v>
      </c>
      <c r="Y46" s="604" t="s">
        <v>52</v>
      </c>
      <c r="Z46" s="606" t="s">
        <v>52</v>
      </c>
      <c r="AA46" s="606" t="s">
        <v>52</v>
      </c>
      <c r="AB46" s="666">
        <v>0</v>
      </c>
      <c r="AC46" s="604" t="s">
        <v>52</v>
      </c>
      <c r="AD46" s="606" t="s">
        <v>52</v>
      </c>
      <c r="AE46" s="606" t="s">
        <v>52</v>
      </c>
      <c r="AF46" s="667">
        <f>IF(AF$28&lt;1000,0,MAX(0,(AF$43-AF$44)*AF$45))</f>
        <v>0</v>
      </c>
      <c r="AG46" s="604" t="s">
        <v>52</v>
      </c>
      <c r="AH46" s="606" t="s">
        <v>52</v>
      </c>
      <c r="AI46" s="606" t="s">
        <v>52</v>
      </c>
      <c r="AJ46" s="668">
        <f>IF(AJ$28&lt;1000,0,MAX(0,(AJ$43-AJ$44)*AJ$45))</f>
        <v>0</v>
      </c>
    </row>
    <row r="47" spans="2:36" ht="13.5" thickBot="1" x14ac:dyDescent="0.25">
      <c r="B47" s="613"/>
      <c r="C47" s="648"/>
      <c r="D47" s="615"/>
      <c r="E47" s="669"/>
      <c r="F47" s="670"/>
      <c r="G47" s="670"/>
      <c r="H47" s="671"/>
      <c r="I47" s="672"/>
      <c r="J47" s="670"/>
      <c r="K47" s="670"/>
      <c r="L47" s="671"/>
      <c r="M47" s="672"/>
      <c r="N47" s="670"/>
      <c r="O47" s="670"/>
      <c r="P47" s="673"/>
      <c r="Q47" s="669"/>
      <c r="R47" s="670"/>
      <c r="S47" s="670"/>
      <c r="T47" s="671"/>
      <c r="U47" s="672"/>
      <c r="V47" s="670"/>
      <c r="W47" s="670"/>
      <c r="X47" s="671"/>
      <c r="Y47" s="672"/>
      <c r="Z47" s="670"/>
      <c r="AA47" s="670"/>
      <c r="AB47" s="673"/>
      <c r="AC47" s="669"/>
      <c r="AD47" s="670"/>
      <c r="AE47" s="670"/>
      <c r="AF47" s="671"/>
      <c r="AG47" s="672"/>
      <c r="AH47" s="670"/>
      <c r="AI47" s="670"/>
      <c r="AJ47" s="673"/>
    </row>
    <row r="48" spans="2:36" x14ac:dyDescent="0.2">
      <c r="J48" s="674"/>
    </row>
    <row r="49" spans="2:5" x14ac:dyDescent="0.2">
      <c r="B49" s="675" t="s">
        <v>148</v>
      </c>
      <c r="C49" s="675"/>
      <c r="D49" s="675"/>
      <c r="E49" s="37"/>
    </row>
    <row r="50" spans="2:5" x14ac:dyDescent="0.2">
      <c r="B50" s="675"/>
      <c r="C50" s="676" t="s">
        <v>149</v>
      </c>
      <c r="D50" s="676"/>
    </row>
    <row r="51" spans="2:5" x14ac:dyDescent="0.2">
      <c r="B51" s="675"/>
      <c r="C51" s="675" t="s">
        <v>150</v>
      </c>
      <c r="D51" s="675"/>
    </row>
    <row r="52" spans="2:5" x14ac:dyDescent="0.2">
      <c r="B52" s="675"/>
      <c r="C52" s="675" t="s">
        <v>151</v>
      </c>
      <c r="D52" s="675"/>
    </row>
    <row r="53" spans="2:5" x14ac:dyDescent="0.2">
      <c r="B53" s="675"/>
      <c r="C53" s="675" t="s">
        <v>152</v>
      </c>
      <c r="D53" s="675"/>
    </row>
  </sheetData>
  <sheetProtection password="D429" sheet="1" objects="1" scenarios="1"/>
  <mergeCells count="25">
    <mergeCell ref="C50:D50"/>
    <mergeCell ref="AC10:AJ10"/>
    <mergeCell ref="E11:H11"/>
    <mergeCell ref="I11:L11"/>
    <mergeCell ref="M11:P11"/>
    <mergeCell ref="Q11:T11"/>
    <mergeCell ref="U11:X11"/>
    <mergeCell ref="Y11:AB11"/>
    <mergeCell ref="AC11:AF11"/>
    <mergeCell ref="AG11:AJ11"/>
    <mergeCell ref="B8:D8"/>
    <mergeCell ref="F8:G8"/>
    <mergeCell ref="I8:J8"/>
    <mergeCell ref="L8:M8"/>
    <mergeCell ref="E10:P10"/>
    <mergeCell ref="Q10:AB10"/>
    <mergeCell ref="F2:G2"/>
    <mergeCell ref="I2:J2"/>
    <mergeCell ref="F4:G4"/>
    <mergeCell ref="I4:J4"/>
    <mergeCell ref="L4:M4"/>
    <mergeCell ref="B6:D6"/>
    <mergeCell ref="F6:G6"/>
    <mergeCell ref="I6:J6"/>
    <mergeCell ref="L6:M6"/>
  </mergeCells>
  <conditionalFormatting sqref="E15:F17 F18:G18 E23:F24 E28:F28 H30 E37:F37 I37:J37 I28:J28 I23:J24 I15:J17 J18:K18 L30 M28:N28 M38:N38 P30 M23:N24 M15:N17 N18:O18 Q15:R17 R18:S18 Q20:S20 Q23:R24 Q28:R28 Q38:R38 T30:X30 U28:V28 U38:V38 U23:V24 U15:V17 V18:W18 U20:W20 Y23:Z24 Y15:Z17 Z18:AA18 Y20:AA20 AB30 Y28:Z28 Y38:Z38 AC38:AD38 AC28:AD28 AC23:AD24 AC15:AD17 AD18:AE18 AC20:AE20 AF30 AG28:AH28 AG38:AH38 AJ30 AG23:AH24 AG20:AI20 AH18:AI18 AG15:AH17">
    <cfRule type="cellIs" dxfId="1" priority="1" stopIfTrue="1" operator="lessThan">
      <formula>0</formula>
    </cfRule>
  </conditionalFormatting>
  <dataValidations count="3">
    <dataValidation type="custom" allowBlank="1" showInputMessage="1" showErrorMessage="1" errorTitle="Invalid Entry" error="Accepts only a dollar value with up to 15 decimals and up to 10T." sqref="E15:F17 F18:G18 I15:J17 J18:K18 M15:N17 N18:O18 Q15:R17 R18:S18 Q20:S20 U15:V17 V18:W18 U20:W20 Y15:Z17 Z18:AA18 Y20:AA20 AC15:AD17 AD18:AE18 AC20:AE20 AG15:AH17 AH18:AI18 AG20:AI20 E23:F24 I23:J24 AG23:AH24 Y23:Z24 U23:V24 Q23:R24 M23:N24 AC23:AD24">
      <formula1>AND(ISNUMBER(E15),IF((E15&gt;10000000000000),FALSE,TRUE),IF((LEN(E15)-LEN(INT(E15))-1)&lt;=15,TRUE,FALSE))</formula1>
    </dataValidation>
    <dataValidation type="custom" allowBlank="1" showInputMessage="1" showErrorMessage="1" errorTitle="Invalid Entry" error="Accepts only a percentage up to 15 digits with 15 decimals." sqref="AG38:AH38 E37:F37 I37:J37 M38:N38 Q38:R38 U38:V38 Y38:Z38 AC38:AD38">
      <formula1>AND(ISNUMBER(E37),IF(LEN(INT(E37))&lt;=15,TRUE,FALSE),IF((LEN(E37)-LEN(INT(E37))-1)&lt;=15,TRUE,FALSE))</formula1>
    </dataValidation>
    <dataValidation type="custom" allowBlank="1" showInputMessage="1" showErrorMessage="1" errorTitle="Invalid Entry" error="Accepts only a value with up to 15 decimals and up to 10T." sqref="E28:F28 AJ30 AG28:AH28 AF30 AC28:AD28 AB30 Y28:Z28 U28:V28 T30:X30 Q28:R28 P30 M28:N28 L30 I28:J28 H30 H46 L46 P46 T46 X46 AB46 AF46 AJ46">
      <formula1>AND(ISNUMBER(E28),IF((E28&gt;10000000000000),FALSE,TRUE),IF((LEN(E28)-LEN(INT(E28))-1)&lt;=15,TRUE,FALSE))</formula1>
    </dataValidation>
  </dataValidations>
  <pageMargins left="0.19" right="0.17" top="0.3" bottom="0.5" header="0.3" footer="0.25"/>
  <pageSetup scale="45" fitToWidth="2" fitToHeight="0" orientation="landscape"/>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4"/>
    <pageSetUpPr fitToPage="1"/>
  </sheetPr>
  <dimension ref="A1:N43"/>
  <sheetViews>
    <sheetView zoomScale="85" zoomScaleNormal="85" workbookViewId="0"/>
  </sheetViews>
  <sheetFormatPr defaultRowHeight="12.75" x14ac:dyDescent="0.2"/>
  <cols>
    <col min="1" max="1" width="2.42578125" style="29" customWidth="1"/>
    <col min="2" max="2" width="3.85546875" style="29" customWidth="1"/>
    <col min="3" max="3" width="58.85546875" style="29" customWidth="1"/>
    <col min="4" max="9" width="19.42578125" style="29" customWidth="1"/>
    <col min="10" max="10" width="19.42578125" style="77" customWidth="1"/>
    <col min="11" max="11" width="19.42578125" style="29" customWidth="1"/>
    <col min="12" max="16384" width="9.140625" style="29"/>
  </cols>
  <sheetData>
    <row r="1" spans="1:12" x14ac:dyDescent="0.2">
      <c r="A1" s="76"/>
      <c r="B1" s="28" t="s">
        <v>0</v>
      </c>
      <c r="C1" s="76"/>
      <c r="D1" s="76"/>
      <c r="E1" s="29" t="s">
        <v>6</v>
      </c>
      <c r="G1" s="76"/>
      <c r="H1" s="29" t="s">
        <v>17</v>
      </c>
      <c r="I1" s="28"/>
      <c r="J1" s="29"/>
    </row>
    <row r="2" spans="1:12" x14ac:dyDescent="0.2">
      <c r="A2" s="76"/>
      <c r="B2" s="28" t="s">
        <v>1</v>
      </c>
      <c r="C2" s="76"/>
      <c r="D2" s="76"/>
      <c r="E2" s="30" t="str">
        <f>'Pt 1 and 2'!F6&amp;""</f>
        <v>362739571</v>
      </c>
      <c r="F2" s="30"/>
      <c r="G2" s="76"/>
      <c r="H2" s="30" t="str">
        <f>'Pt 1 and 2'!D10&amp;""</f>
        <v>UnitedHealthcare Insurance Company</v>
      </c>
      <c r="I2" s="30"/>
    </row>
    <row r="3" spans="1:12" x14ac:dyDescent="0.2">
      <c r="B3" s="60" t="s">
        <v>336</v>
      </c>
      <c r="E3" s="29" t="s">
        <v>10</v>
      </c>
      <c r="H3" s="29" t="s">
        <v>11</v>
      </c>
      <c r="K3" s="8" t="s">
        <v>12</v>
      </c>
      <c r="L3" s="8"/>
    </row>
    <row r="4" spans="1:12" x14ac:dyDescent="0.2">
      <c r="B4" s="60"/>
      <c r="E4" s="30" t="str">
        <f>'Pt 1 and 2'!F8&amp;""</f>
        <v>008290</v>
      </c>
      <c r="F4" s="30"/>
      <c r="H4" s="30" t="str">
        <f>'Pt 1 and 2'!I8&amp;""</f>
        <v/>
      </c>
      <c r="I4" s="30"/>
      <c r="K4" s="34" t="str">
        <f>'Pt 1 and 2'!L8&amp;""</f>
        <v>No</v>
      </c>
      <c r="L4" s="34"/>
    </row>
    <row r="5" spans="1:12" s="8" customFormat="1" x14ac:dyDescent="0.2">
      <c r="B5" s="35" t="s">
        <v>5</v>
      </c>
      <c r="C5" s="35"/>
      <c r="E5" s="37" t="s">
        <v>18</v>
      </c>
      <c r="F5" s="37"/>
      <c r="H5" s="8" t="s">
        <v>19</v>
      </c>
      <c r="I5" s="29"/>
      <c r="K5" s="8" t="s">
        <v>20</v>
      </c>
    </row>
    <row r="6" spans="1:12" s="8" customFormat="1" x14ac:dyDescent="0.2">
      <c r="B6" s="61" t="str">
        <f>'Pt 1 and 2'!D6&amp;""</f>
        <v>UnitedHealth Group</v>
      </c>
      <c r="C6" s="61"/>
      <c r="E6" s="61" t="str">
        <f>'Pt 1 and 2'!F10&amp;""</f>
        <v>00707</v>
      </c>
      <c r="F6" s="61"/>
      <c r="H6" s="40" t="str">
        <f>'Pt 1 and 2'!I10&amp;""</f>
        <v>Grand Total</v>
      </c>
      <c r="I6" s="40"/>
      <c r="K6" s="34" t="str">
        <f>'Pt 1 and 2'!L10&amp;""</f>
        <v>No</v>
      </c>
      <c r="L6" s="34"/>
    </row>
    <row r="7" spans="1:12" s="8" customFormat="1" x14ac:dyDescent="0.2">
      <c r="B7" s="35" t="s">
        <v>9</v>
      </c>
      <c r="C7" s="35"/>
      <c r="E7" s="37" t="s">
        <v>24</v>
      </c>
      <c r="F7" s="37"/>
      <c r="H7" s="8" t="s">
        <v>25</v>
      </c>
      <c r="I7" s="37"/>
      <c r="K7" s="41" t="s">
        <v>26</v>
      </c>
    </row>
    <row r="8" spans="1:12" s="8" customFormat="1" x14ac:dyDescent="0.2">
      <c r="B8" s="61" t="str">
        <f>'Pt 1 and 2'!D8&amp;""</f>
        <v>UnitedHealthcare Insurance Company</v>
      </c>
      <c r="C8" s="61"/>
      <c r="E8" s="34" t="str">
        <f>'Pt 1 and 2'!F12&amp;""</f>
        <v>79413</v>
      </c>
      <c r="F8" s="34"/>
      <c r="H8" s="40" t="str">
        <f>'Pt 1 and 2'!I12&amp;""</f>
        <v>Connecticut</v>
      </c>
      <c r="I8" s="40"/>
      <c r="K8" s="58" t="str">
        <f>'Pt 1 and 2'!L12&amp;""</f>
        <v>2011</v>
      </c>
      <c r="L8" s="58"/>
    </row>
    <row r="9" spans="1:12" s="39" customFormat="1" ht="13.5" thickBot="1" x14ac:dyDescent="0.25">
      <c r="B9" s="78"/>
      <c r="C9" s="78"/>
      <c r="J9" s="79"/>
      <c r="K9" s="80"/>
    </row>
    <row r="10" spans="1:12" s="39" customFormat="1" ht="13.5" thickBot="1" x14ac:dyDescent="0.25">
      <c r="B10" s="78"/>
      <c r="C10" s="78"/>
      <c r="D10" s="677" t="s">
        <v>31</v>
      </c>
      <c r="E10" s="678"/>
      <c r="F10" s="679"/>
      <c r="G10" s="677" t="s">
        <v>32</v>
      </c>
      <c r="H10" s="678"/>
      <c r="I10" s="679"/>
      <c r="J10" s="677" t="s">
        <v>33</v>
      </c>
      <c r="K10" s="679"/>
    </row>
    <row r="11" spans="1:12" s="39" customFormat="1" x14ac:dyDescent="0.2">
      <c r="B11" s="78"/>
      <c r="C11" s="78"/>
      <c r="D11" s="680" t="s">
        <v>39</v>
      </c>
      <c r="E11" s="681" t="s">
        <v>40</v>
      </c>
      <c r="F11" s="682" t="s">
        <v>41</v>
      </c>
      <c r="G11" s="680" t="s">
        <v>39</v>
      </c>
      <c r="H11" s="681" t="s">
        <v>40</v>
      </c>
      <c r="I11" s="682" t="s">
        <v>41</v>
      </c>
      <c r="J11" s="680" t="s">
        <v>40</v>
      </c>
      <c r="K11" s="682" t="s">
        <v>41</v>
      </c>
    </row>
    <row r="12" spans="1:12" s="39" customFormat="1" x14ac:dyDescent="0.2">
      <c r="B12" s="78"/>
      <c r="C12" s="78"/>
      <c r="D12" s="683">
        <v>1</v>
      </c>
      <c r="E12" s="684">
        <v>2</v>
      </c>
      <c r="F12" s="685">
        <v>3</v>
      </c>
      <c r="G12" s="683">
        <v>4</v>
      </c>
      <c r="H12" s="684">
        <v>5</v>
      </c>
      <c r="I12" s="685">
        <v>6</v>
      </c>
      <c r="J12" s="683">
        <v>7</v>
      </c>
      <c r="K12" s="685">
        <v>8</v>
      </c>
    </row>
    <row r="13" spans="1:12" x14ac:dyDescent="0.2">
      <c r="B13" s="192" t="s">
        <v>49</v>
      </c>
      <c r="C13" s="193" t="s">
        <v>337</v>
      </c>
      <c r="D13" s="686" t="str">
        <f>IF('Pt 5 Rebate Calculation'!$H$46&gt;0,"Yes","No")</f>
        <v>Yes</v>
      </c>
      <c r="E13" s="687" t="str">
        <f>IF('Pt 5 Rebate Calculation'!$L$46&gt;0,"Yes","No")</f>
        <v>Yes</v>
      </c>
      <c r="F13" s="688" t="str">
        <f>IF('Pt 5 Rebate Calculation'!$P$46&gt;0,"Yes","No")</f>
        <v>Yes</v>
      </c>
      <c r="G13" s="686" t="str">
        <f>IF('Pt 5 Rebate Calculation'!$T$46&gt;0,"Yes","No")</f>
        <v>No</v>
      </c>
      <c r="H13" s="687" t="str">
        <f>IF('Pt 5 Rebate Calculation'!$X$46&gt;0,"Yes","No")</f>
        <v>No</v>
      </c>
      <c r="I13" s="688" t="str">
        <f>IF('Pt 5 Rebate Calculation'!$AB$46&gt;0,"Yes","No")</f>
        <v>No</v>
      </c>
      <c r="J13" s="686" t="str">
        <f>IF('Pt 5 Rebate Calculation'!$AF$46&gt;0,"Yes","No")</f>
        <v>No</v>
      </c>
      <c r="K13" s="688" t="str">
        <f>IF('Pt 5 Rebate Calculation'!$AJ$46&gt;0,"Yes","No")</f>
        <v>No</v>
      </c>
    </row>
    <row r="14" spans="1:12" x14ac:dyDescent="0.2">
      <c r="B14" s="689"/>
      <c r="C14" s="690"/>
      <c r="D14" s="691"/>
      <c r="E14" s="692"/>
      <c r="F14" s="693"/>
      <c r="G14" s="694"/>
      <c r="H14" s="695"/>
      <c r="I14" s="696"/>
      <c r="J14" s="81"/>
      <c r="K14" s="82"/>
    </row>
    <row r="15" spans="1:12" x14ac:dyDescent="0.2">
      <c r="B15" s="192" t="s">
        <v>65</v>
      </c>
      <c r="C15" s="193" t="s">
        <v>338</v>
      </c>
      <c r="D15" s="697">
        <f>'Pt 1 and 2'!$J$78</f>
        <v>17962</v>
      </c>
      <c r="E15" s="623">
        <f>'Pt 1 and 2'!$O$78</f>
        <v>800818</v>
      </c>
      <c r="F15" s="698">
        <f>'Pt 1 and 2'!$T$78</f>
        <v>1538082</v>
      </c>
      <c r="G15" s="699">
        <f>'Pt 1 and 2'!$V$78</f>
        <v>0</v>
      </c>
      <c r="H15" s="700">
        <f>'Pt 1 and 2'!$X$78</f>
        <v>0</v>
      </c>
      <c r="I15" s="701">
        <f>'Pt 1 and 2'!$Z$78</f>
        <v>0</v>
      </c>
      <c r="J15" s="699">
        <f>'Pt 1 and 2'!$AE$78</f>
        <v>0</v>
      </c>
      <c r="K15" s="701">
        <f>'Pt 1 and 2'!$AJ$78</f>
        <v>11</v>
      </c>
    </row>
    <row r="16" spans="1:12" x14ac:dyDescent="0.2">
      <c r="B16" s="689"/>
      <c r="C16" s="690"/>
      <c r="D16" s="702"/>
      <c r="E16" s="703"/>
      <c r="F16" s="704"/>
      <c r="G16" s="705"/>
      <c r="H16" s="706"/>
      <c r="I16" s="707"/>
      <c r="J16" s="705"/>
      <c r="K16" s="707"/>
    </row>
    <row r="17" spans="2:12" x14ac:dyDescent="0.2">
      <c r="B17" s="205" t="s">
        <v>86</v>
      </c>
      <c r="C17" s="708" t="s">
        <v>339</v>
      </c>
      <c r="D17" s="709"/>
      <c r="E17" s="710"/>
      <c r="F17" s="711"/>
      <c r="G17" s="712"/>
      <c r="H17" s="713"/>
      <c r="I17" s="714"/>
      <c r="J17" s="712"/>
      <c r="K17" s="714"/>
    </row>
    <row r="18" spans="2:12" x14ac:dyDescent="0.2">
      <c r="B18" s="205"/>
      <c r="C18" s="715" t="str">
        <f>$B$17&amp;"a  Number of policyholders being paid a rebate "</f>
        <v xml:space="preserve">3.a  Number of policyholders being paid a rebate </v>
      </c>
      <c r="D18" s="716" t="s">
        <v>52</v>
      </c>
      <c r="E18" s="717">
        <v>81628</v>
      </c>
      <c r="F18" s="718">
        <v>12208</v>
      </c>
      <c r="G18" s="716" t="s">
        <v>52</v>
      </c>
      <c r="H18" s="719">
        <v>0</v>
      </c>
      <c r="I18" s="719">
        <v>0</v>
      </c>
      <c r="J18" s="720">
        <v>0</v>
      </c>
      <c r="K18" s="721">
        <v>0</v>
      </c>
      <c r="L18" s="226"/>
    </row>
    <row r="19" spans="2:12" x14ac:dyDescent="0.2">
      <c r="B19" s="205"/>
      <c r="C19" s="722" t="str">
        <f>$B$17&amp;"b Number of subscribers being paid a rebate"</f>
        <v>3.b Number of subscribers being paid a rebate</v>
      </c>
      <c r="D19" s="723">
        <v>92</v>
      </c>
      <c r="E19" s="724">
        <v>5380</v>
      </c>
      <c r="F19" s="725">
        <v>1030</v>
      </c>
      <c r="G19" s="723">
        <v>0</v>
      </c>
      <c r="H19" s="726">
        <v>0</v>
      </c>
      <c r="I19" s="727">
        <v>0</v>
      </c>
      <c r="J19" s="728">
        <v>0</v>
      </c>
      <c r="K19" s="729">
        <v>0</v>
      </c>
      <c r="L19" s="226"/>
    </row>
    <row r="20" spans="2:12" x14ac:dyDescent="0.2">
      <c r="B20" s="205"/>
      <c r="C20" s="722" t="str">
        <f>$B$17&amp;"c  Number of policyholders whose rebate would be de minimis"</f>
        <v>3.c  Number of policyholders whose rebate would be de minimis</v>
      </c>
      <c r="D20" s="716" t="s">
        <v>52</v>
      </c>
      <c r="E20" s="717">
        <v>0</v>
      </c>
      <c r="F20" s="718">
        <v>0</v>
      </c>
      <c r="G20" s="716" t="s">
        <v>52</v>
      </c>
      <c r="H20" s="726">
        <v>0</v>
      </c>
      <c r="I20" s="727">
        <v>0</v>
      </c>
      <c r="J20" s="728">
        <v>0</v>
      </c>
      <c r="K20" s="729">
        <v>0</v>
      </c>
      <c r="L20" s="226"/>
    </row>
    <row r="21" spans="2:12" x14ac:dyDescent="0.2">
      <c r="B21" s="205"/>
      <c r="C21" s="722" t="str">
        <f>$B$17&amp;"d  Number of subscribers whose rebate would be de minimis"</f>
        <v>3.d  Number of subscribers whose rebate would be de minimis</v>
      </c>
      <c r="D21" s="723">
        <v>0</v>
      </c>
      <c r="E21" s="724">
        <v>0</v>
      </c>
      <c r="F21" s="725">
        <v>0</v>
      </c>
      <c r="G21" s="723">
        <v>0</v>
      </c>
      <c r="H21" s="726">
        <v>0</v>
      </c>
      <c r="I21" s="727">
        <v>0</v>
      </c>
      <c r="J21" s="728">
        <v>0</v>
      </c>
      <c r="K21" s="729">
        <v>0</v>
      </c>
      <c r="L21" s="226"/>
    </row>
    <row r="22" spans="2:12" x14ac:dyDescent="0.2">
      <c r="B22" s="689"/>
      <c r="C22" s="690"/>
      <c r="D22" s="730"/>
      <c r="E22" s="731"/>
      <c r="F22" s="693"/>
      <c r="G22" s="694"/>
      <c r="H22" s="695"/>
      <c r="I22" s="696"/>
      <c r="J22" s="81"/>
      <c r="K22" s="82"/>
    </row>
    <row r="23" spans="2:12" x14ac:dyDescent="0.2">
      <c r="B23" s="192" t="s">
        <v>97</v>
      </c>
      <c r="C23" s="193" t="str">
        <f>"Total amount of rebates"</f>
        <v>Total amount of rebates</v>
      </c>
      <c r="D23" s="732"/>
      <c r="E23" s="733"/>
      <c r="F23" s="734"/>
      <c r="G23" s="735"/>
      <c r="H23" s="736"/>
      <c r="I23" s="737"/>
      <c r="J23" s="735"/>
      <c r="K23" s="737"/>
    </row>
    <row r="24" spans="2:12" x14ac:dyDescent="0.2">
      <c r="B24" s="205"/>
      <c r="C24" s="715" t="str">
        <f>$B$23&amp;"a  Total amount of rebates (from Part 5, Line "&amp;'Pt 5 Rebate Calculation'!$C$46&amp;")"</f>
        <v>4.a  Total amount of rebates (from Part 5, Line 5.4)</v>
      </c>
      <c r="D24" s="358">
        <f>'Pt 5 Rebate Calculation'!$H$46</f>
        <v>370978.78649999999</v>
      </c>
      <c r="E24" s="212">
        <f>'Pt 5 Rebate Calculation'!$L$46</f>
        <v>51687126.8477</v>
      </c>
      <c r="F24" s="738">
        <f>'Pt 5 Rebate Calculation'!$P$46</f>
        <v>87305903.307099998</v>
      </c>
      <c r="G24" s="739">
        <f>'Pt 5 Rebate Calculation'!$T$46</f>
        <v>0</v>
      </c>
      <c r="H24" s="740">
        <f>'Pt 5 Rebate Calculation'!$X$46</f>
        <v>0</v>
      </c>
      <c r="I24" s="741">
        <f>'Pt 5 Rebate Calculation'!$AB$46</f>
        <v>0</v>
      </c>
      <c r="J24" s="739">
        <f>'Pt 5 Rebate Calculation'!$AF$46</f>
        <v>0</v>
      </c>
      <c r="K24" s="741">
        <f>'Pt 5 Rebate Calculation'!$AJ$46</f>
        <v>0</v>
      </c>
      <c r="L24" s="226"/>
    </row>
    <row r="25" spans="2:12" x14ac:dyDescent="0.2">
      <c r="B25" s="205"/>
      <c r="C25" s="715" t="str">
        <f>$B$23&amp;"b  Amount of de minimis rebates   "</f>
        <v xml:space="preserve">4.b  Amount of de minimis rebates   </v>
      </c>
      <c r="D25" s="357">
        <v>0</v>
      </c>
      <c r="E25" s="217">
        <v>0</v>
      </c>
      <c r="F25" s="742">
        <v>0</v>
      </c>
      <c r="G25" s="743">
        <v>0</v>
      </c>
      <c r="H25" s="744">
        <v>0</v>
      </c>
      <c r="I25" s="745">
        <v>0</v>
      </c>
      <c r="J25" s="746">
        <v>0</v>
      </c>
      <c r="K25" s="747">
        <v>0</v>
      </c>
    </row>
    <row r="26" spans="2:12" x14ac:dyDescent="0.2">
      <c r="B26" s="205"/>
      <c r="C26" s="715" t="str">
        <f>$B$23&amp;"c  Amount of rebates being paid by premium credit"</f>
        <v>4.c  Amount of rebates being paid by premium credit</v>
      </c>
      <c r="D26" s="357">
        <v>0</v>
      </c>
      <c r="E26" s="217">
        <v>0</v>
      </c>
      <c r="F26" s="742">
        <v>0</v>
      </c>
      <c r="G26" s="743">
        <v>0</v>
      </c>
      <c r="H26" s="744">
        <v>0</v>
      </c>
      <c r="I26" s="745">
        <v>0</v>
      </c>
      <c r="J26" s="746">
        <v>0</v>
      </c>
      <c r="K26" s="747">
        <v>0</v>
      </c>
    </row>
    <row r="27" spans="2:12" x14ac:dyDescent="0.2">
      <c r="B27" s="205"/>
      <c r="C27" s="715" t="str">
        <f>$B$23&amp;"d  Amount of rebates being paid by lump-sum reimbursement"</f>
        <v>4.d  Amount of rebates being paid by lump-sum reimbursement</v>
      </c>
      <c r="D27" s="357">
        <v>370978.78649999702</v>
      </c>
      <c r="E27" s="217">
        <v>51687126.847720101</v>
      </c>
      <c r="F27" s="742">
        <v>87305903.307120293</v>
      </c>
      <c r="G27" s="743">
        <v>0</v>
      </c>
      <c r="H27" s="744">
        <v>0</v>
      </c>
      <c r="I27" s="745">
        <v>0</v>
      </c>
      <c r="J27" s="746">
        <v>0</v>
      </c>
      <c r="K27" s="747">
        <v>0</v>
      </c>
    </row>
    <row r="28" spans="2:12" x14ac:dyDescent="0.2">
      <c r="B28" s="689"/>
      <c r="C28" s="690"/>
      <c r="D28" s="730"/>
      <c r="E28" s="731"/>
      <c r="F28" s="693"/>
      <c r="G28" s="694"/>
      <c r="H28" s="695"/>
      <c r="I28" s="696"/>
      <c r="J28" s="81"/>
      <c r="K28" s="82"/>
    </row>
    <row r="29" spans="2:12" x14ac:dyDescent="0.2">
      <c r="B29" s="192" t="s">
        <v>110</v>
      </c>
      <c r="C29" s="708" t="s">
        <v>340</v>
      </c>
      <c r="D29" s="83"/>
      <c r="E29" s="84"/>
      <c r="F29" s="85"/>
      <c r="G29" s="83"/>
      <c r="H29" s="84"/>
      <c r="I29" s="85"/>
      <c r="J29" s="83"/>
      <c r="K29" s="85"/>
    </row>
    <row r="30" spans="2:12" ht="13.5" thickBot="1" x14ac:dyDescent="0.25">
      <c r="B30" s="748"/>
      <c r="C30" s="690"/>
      <c r="D30" s="749"/>
      <c r="E30" s="750"/>
      <c r="F30" s="751"/>
      <c r="G30" s="752"/>
      <c r="H30" s="753"/>
      <c r="I30" s="754"/>
      <c r="J30" s="752"/>
      <c r="K30" s="754"/>
    </row>
    <row r="31" spans="2:12" x14ac:dyDescent="0.2">
      <c r="J31" s="29"/>
      <c r="K31" s="77"/>
    </row>
    <row r="32" spans="2:12" x14ac:dyDescent="0.2">
      <c r="B32" s="77"/>
      <c r="C32" s="77"/>
      <c r="D32" s="77"/>
      <c r="E32" s="77"/>
      <c r="F32" s="77"/>
      <c r="G32" s="77"/>
      <c r="H32" s="77"/>
      <c r="J32" s="29"/>
      <c r="K32" s="77"/>
    </row>
    <row r="33" spans="2:14" x14ac:dyDescent="0.2">
      <c r="B33" s="755" t="s">
        <v>341</v>
      </c>
      <c r="C33" s="756"/>
      <c r="D33" s="756"/>
      <c r="E33" s="756"/>
      <c r="F33" s="756"/>
      <c r="G33" s="756"/>
      <c r="H33" s="756"/>
      <c r="I33" s="756"/>
      <c r="J33" s="756"/>
      <c r="K33" s="757"/>
      <c r="N33" s="77"/>
    </row>
    <row r="34" spans="2:14" ht="41.25" customHeight="1" x14ac:dyDescent="0.2">
      <c r="B34" s="86"/>
      <c r="C34" s="87"/>
      <c r="D34" s="87"/>
      <c r="E34" s="87"/>
      <c r="F34" s="87"/>
      <c r="G34" s="87"/>
      <c r="H34" s="87"/>
      <c r="I34" s="87"/>
      <c r="J34" s="87"/>
      <c r="K34" s="88"/>
      <c r="N34" s="77"/>
    </row>
    <row r="35" spans="2:14" x14ac:dyDescent="0.2">
      <c r="B35" s="77"/>
      <c r="C35" s="77"/>
      <c r="D35" s="77"/>
      <c r="E35" s="77"/>
      <c r="F35" s="77"/>
      <c r="G35" s="77"/>
      <c r="H35" s="77"/>
      <c r="I35" s="77"/>
      <c r="K35" s="77"/>
      <c r="N35" s="77"/>
    </row>
    <row r="36" spans="2:14" x14ac:dyDescent="0.2">
      <c r="B36" s="755" t="s">
        <v>342</v>
      </c>
      <c r="C36" s="756"/>
      <c r="D36" s="756"/>
      <c r="E36" s="756"/>
      <c r="F36" s="756"/>
      <c r="G36" s="756"/>
      <c r="H36" s="756"/>
      <c r="I36" s="756"/>
      <c r="J36" s="756"/>
      <c r="K36" s="757"/>
      <c r="N36" s="77"/>
    </row>
    <row r="37" spans="2:14" ht="42" customHeight="1" x14ac:dyDescent="0.2">
      <c r="B37" s="86"/>
      <c r="C37" s="87"/>
      <c r="D37" s="87"/>
      <c r="E37" s="87"/>
      <c r="F37" s="87"/>
      <c r="G37" s="87"/>
      <c r="H37" s="87"/>
      <c r="I37" s="87"/>
      <c r="J37" s="87"/>
      <c r="K37" s="88"/>
      <c r="N37" s="77"/>
    </row>
    <row r="38" spans="2:14" x14ac:dyDescent="0.2">
      <c r="C38" s="77"/>
      <c r="D38" s="77"/>
      <c r="E38" s="77"/>
      <c r="F38" s="77"/>
      <c r="G38" s="77"/>
      <c r="H38" s="77"/>
      <c r="I38" s="77"/>
      <c r="J38" s="29"/>
      <c r="K38" s="77"/>
    </row>
    <row r="39" spans="2:14" x14ac:dyDescent="0.2">
      <c r="B39" s="758" t="s">
        <v>148</v>
      </c>
      <c r="C39" s="758"/>
      <c r="D39" s="758"/>
    </row>
    <row r="40" spans="2:14" x14ac:dyDescent="0.2">
      <c r="B40" s="758"/>
      <c r="C40" s="759" t="s">
        <v>149</v>
      </c>
      <c r="D40" s="759"/>
    </row>
    <row r="41" spans="2:14" x14ac:dyDescent="0.2">
      <c r="B41" s="758"/>
      <c r="C41" s="758" t="s">
        <v>150</v>
      </c>
      <c r="D41" s="758"/>
    </row>
    <row r="42" spans="2:14" x14ac:dyDescent="0.2">
      <c r="B42" s="758"/>
      <c r="C42" s="758" t="s">
        <v>151</v>
      </c>
      <c r="D42" s="758"/>
    </row>
    <row r="43" spans="2:14" x14ac:dyDescent="0.2">
      <c r="B43" s="758"/>
      <c r="C43" s="758" t="s">
        <v>152</v>
      </c>
      <c r="D43" s="758"/>
    </row>
  </sheetData>
  <sheetProtection password="D429" sheet="1" objects="1" scenarios="1"/>
  <mergeCells count="21">
    <mergeCell ref="B33:K33"/>
    <mergeCell ref="B34:K34"/>
    <mergeCell ref="B36:K36"/>
    <mergeCell ref="B37:K37"/>
    <mergeCell ref="C40:D40"/>
    <mergeCell ref="B8:C8"/>
    <mergeCell ref="E8:F8"/>
    <mergeCell ref="H8:I8"/>
    <mergeCell ref="K8:L8"/>
    <mergeCell ref="D10:F10"/>
    <mergeCell ref="G10:I10"/>
    <mergeCell ref="J10:K10"/>
    <mergeCell ref="E2:F2"/>
    <mergeCell ref="H2:I2"/>
    <mergeCell ref="E4:F4"/>
    <mergeCell ref="H4:I4"/>
    <mergeCell ref="K4:L4"/>
    <mergeCell ref="B6:C6"/>
    <mergeCell ref="E6:F6"/>
    <mergeCell ref="H6:I6"/>
    <mergeCell ref="K6:L6"/>
  </mergeCells>
  <conditionalFormatting sqref="H18:K21 D25:K27 G21 G19 E18:F21 D19 D21">
    <cfRule type="cellIs" dxfId="0" priority="1" stopIfTrue="1" operator="lessThan">
      <formula>0</formula>
    </cfRule>
  </conditionalFormatting>
  <dataValidations count="4">
    <dataValidation type="custom" allowBlank="1" showInputMessage="1" showErrorMessage="1" errorTitle="Invalid Entry" error="Accepts only a text upto 8000 chars. Cannot accept special characters &lt;&gt;;" sqref="B34:K34 B37:K37">
      <formula1>AND(IF((LEN(B34)&gt;8000),FALSE,TRUE),IF(ISERROR(FIND("&lt;",B34,1)),TRUE,FALSE),IF(ISERROR(FIND("&gt;",B34,1)),TRUE,FALSE),IF(ISERROR(FIND(";",B34,1)),TRUE,FALSE))</formula1>
    </dataValidation>
    <dataValidation type="custom" allowBlank="1" showInputMessage="1" showErrorMessage="1" errorTitle="Invalid Entry" error="Accepts only a value with up to 10T." sqref="D19 D21 E18:F21 G21 G19 H18:K21">
      <formula1>AND(ISNUMBER(D18),IF((D18&gt;10000000000000),FALSE,TRUE),IF(LEN(D18)-LEN(INT(D18))&lt;&gt;0,FALSE,TRUE))</formula1>
    </dataValidation>
    <dataValidation type="custom" allowBlank="1" showInputMessage="1" showErrorMessage="1" errorTitle="Invalid Entry" error="Accepts only dollar value up to 10T and 2 decimal places." sqref="D25:K27 D29:K29">
      <formula1>AND(ISNUMBER(D25),IF((D25&gt;10000000000000),FALSE,TRUE),IF((LEN(D25)-LEN(INT(D25))-1)&lt;=15,TRUE,FALSE))</formula1>
    </dataValidation>
    <dataValidation allowBlank="1" showInputMessage="1" showErrorMessage="1" error="Please choose &quot;yes&quot; or &quot;no&quot; from the list." sqref="D13:K13"/>
  </dataValidations>
  <pageMargins left="0.25" right="0.25" top="0.5" bottom="0.35" header="0.3" footer="0.2"/>
  <pageSetup scale="73" fitToHeight="0" orientation="landscape"/>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5"/>
  <sheetViews>
    <sheetView zoomScaleNormal="100" workbookViewId="0"/>
  </sheetViews>
  <sheetFormatPr defaultRowHeight="12.75" x14ac:dyDescent="0.2"/>
  <cols>
    <col min="1" max="1" width="3.5703125" style="89" customWidth="1"/>
    <col min="2" max="2" width="9.140625" style="89" customWidth="1"/>
    <col min="3" max="3" width="23.140625" style="89" customWidth="1"/>
    <col min="4" max="4" width="7" style="89" customWidth="1"/>
    <col min="5" max="10" width="9.140625" style="89" customWidth="1"/>
    <col min="11" max="11" width="12.28515625" style="89" customWidth="1"/>
    <col min="12" max="12" width="12" style="89" customWidth="1"/>
    <col min="13" max="16384" width="9.140625" style="89"/>
  </cols>
  <sheetData>
    <row r="1" spans="1:14" x14ac:dyDescent="0.2">
      <c r="A1" s="28" t="s">
        <v>0</v>
      </c>
    </row>
    <row r="2" spans="1:14" s="29" customFormat="1" x14ac:dyDescent="0.2">
      <c r="A2" s="28" t="s">
        <v>343</v>
      </c>
      <c r="B2" s="76"/>
      <c r="C2" s="76"/>
      <c r="E2" s="90" t="s">
        <v>6</v>
      </c>
      <c r="F2" s="90"/>
      <c r="G2" s="91"/>
      <c r="H2" s="90" t="s">
        <v>17</v>
      </c>
      <c r="I2" s="92"/>
      <c r="J2" s="90"/>
      <c r="K2" s="90"/>
      <c r="L2" s="90"/>
    </row>
    <row r="3" spans="1:14" s="29" customFormat="1" x14ac:dyDescent="0.2">
      <c r="B3" s="76"/>
      <c r="C3" s="76"/>
      <c r="E3" s="61" t="str">
        <f>'Pt 1 and 2'!F6&amp;""</f>
        <v>362739571</v>
      </c>
      <c r="F3" s="61"/>
      <c r="G3" s="90"/>
      <c r="H3" s="30" t="str">
        <f>'Pt 1 and 2'!D10&amp;""</f>
        <v>UnitedHealthcare Insurance Company</v>
      </c>
      <c r="I3" s="30"/>
      <c r="J3" s="93"/>
      <c r="K3" s="90"/>
      <c r="L3" s="90"/>
    </row>
    <row r="4" spans="1:14" s="29" customFormat="1" x14ac:dyDescent="0.2">
      <c r="A4" s="60"/>
      <c r="E4" s="90" t="s">
        <v>10</v>
      </c>
      <c r="F4" s="90"/>
      <c r="G4" s="90"/>
      <c r="H4" s="90" t="s">
        <v>11</v>
      </c>
      <c r="I4" s="90"/>
      <c r="J4" s="93"/>
      <c r="K4" s="93" t="s">
        <v>12</v>
      </c>
      <c r="L4" s="93"/>
    </row>
    <row r="5" spans="1:14" s="29" customFormat="1" x14ac:dyDescent="0.2">
      <c r="B5" s="60"/>
      <c r="E5" s="30" t="str">
        <f>'Pt 1 and 2'!F8&amp;""</f>
        <v>008290</v>
      </c>
      <c r="F5" s="30"/>
      <c r="G5" s="90"/>
      <c r="H5" s="30" t="str">
        <f>'Pt 1 and 2'!I8&amp;""</f>
        <v/>
      </c>
      <c r="I5" s="30"/>
      <c r="J5" s="94"/>
      <c r="K5" s="95" t="str">
        <f>'Pt 1 and 2'!L8&amp;""</f>
        <v>No</v>
      </c>
      <c r="L5" s="95"/>
    </row>
    <row r="6" spans="1:14" s="8" customFormat="1" x14ac:dyDescent="0.2">
      <c r="B6" s="35" t="s">
        <v>5</v>
      </c>
      <c r="C6" s="35"/>
      <c r="E6" s="96" t="s">
        <v>18</v>
      </c>
      <c r="F6" s="96"/>
      <c r="G6" s="93"/>
      <c r="H6" s="93" t="s">
        <v>19</v>
      </c>
      <c r="I6" s="90"/>
      <c r="J6" s="93"/>
      <c r="K6" s="93" t="s">
        <v>344</v>
      </c>
      <c r="L6" s="93"/>
    </row>
    <row r="7" spans="1:14" s="8" customFormat="1" x14ac:dyDescent="0.2">
      <c r="B7" s="61" t="str">
        <f>'Pt 1 and 2'!D6&amp;""</f>
        <v>UnitedHealth Group</v>
      </c>
      <c r="C7" s="61"/>
      <c r="E7" s="34" t="str">
        <f>'Pt 1 and 2'!F10&amp;""</f>
        <v>00707</v>
      </c>
      <c r="F7" s="34"/>
      <c r="G7" s="93"/>
      <c r="H7" s="40" t="str">
        <f>'Pt 1 and 2'!I10&amp;""</f>
        <v>Grand Total</v>
      </c>
      <c r="I7" s="40"/>
      <c r="J7" s="93"/>
      <c r="K7" s="95" t="str">
        <f>'Pt 1 and 2'!L10&amp;""</f>
        <v>No</v>
      </c>
      <c r="L7" s="95"/>
    </row>
    <row r="8" spans="1:14" s="8" customFormat="1" x14ac:dyDescent="0.2">
      <c r="B8" s="35" t="s">
        <v>9</v>
      </c>
      <c r="C8" s="35"/>
      <c r="E8" s="96" t="s">
        <v>24</v>
      </c>
      <c r="F8" s="96"/>
      <c r="G8" s="93"/>
      <c r="H8" s="93" t="s">
        <v>25</v>
      </c>
      <c r="I8" s="96"/>
      <c r="J8" s="93"/>
      <c r="K8" s="97" t="s">
        <v>26</v>
      </c>
      <c r="L8" s="93"/>
    </row>
    <row r="9" spans="1:14" s="8" customFormat="1" x14ac:dyDescent="0.2">
      <c r="B9" s="61" t="str">
        <f>'Pt 1 and 2'!D8&amp;""</f>
        <v>UnitedHealthcare Insurance Company</v>
      </c>
      <c r="C9" s="61"/>
      <c r="E9" s="34" t="str">
        <f>'Pt 1 and 2'!F12&amp;""</f>
        <v>79413</v>
      </c>
      <c r="F9" s="34"/>
      <c r="G9" s="93"/>
      <c r="H9" s="40" t="str">
        <f>'Pt 1 and 2'!I12&amp;""</f>
        <v>Connecticut</v>
      </c>
      <c r="I9" s="40"/>
      <c r="J9" s="93"/>
      <c r="K9" s="58" t="str">
        <f>'Pt 1 and 2'!L12&amp;""</f>
        <v>2011</v>
      </c>
      <c r="L9" s="58"/>
    </row>
    <row r="10" spans="1:14" s="39" customFormat="1" x14ac:dyDescent="0.2">
      <c r="B10" s="98" t="s">
        <v>345</v>
      </c>
      <c r="C10" s="99"/>
      <c r="E10" s="100"/>
      <c r="F10" s="100"/>
      <c r="G10" s="101"/>
      <c r="H10" s="102"/>
      <c r="I10" s="102"/>
      <c r="J10" s="101"/>
      <c r="K10" s="103"/>
      <c r="L10" s="103"/>
    </row>
    <row r="11" spans="1:14" s="39" customFormat="1" x14ac:dyDescent="0.2">
      <c r="B11" s="61" t="str">
        <f>'Pt 1 and 2'!D12&amp;""</f>
        <v>185 Asylum Street Hartford, CT 06103-0450</v>
      </c>
      <c r="C11" s="61"/>
      <c r="E11" s="100"/>
      <c r="F11" s="100"/>
      <c r="G11" s="101"/>
      <c r="H11" s="102"/>
      <c r="I11" s="102"/>
      <c r="J11" s="101"/>
      <c r="K11" s="103"/>
      <c r="L11" s="103"/>
    </row>
    <row r="12" spans="1:14" x14ac:dyDescent="0.2">
      <c r="B12" s="104"/>
      <c r="C12" s="104"/>
      <c r="E12" s="105"/>
      <c r="F12" s="105"/>
      <c r="G12" s="105"/>
      <c r="H12" s="105"/>
      <c r="I12" s="105"/>
      <c r="J12" s="105"/>
      <c r="K12" s="105"/>
      <c r="L12" s="105"/>
    </row>
    <row r="14" spans="1:14" ht="15" x14ac:dyDescent="0.25">
      <c r="A14" s="106" t="s">
        <v>346</v>
      </c>
    </row>
    <row r="15" spans="1:14" ht="15" x14ac:dyDescent="0.25">
      <c r="A15" s="107"/>
    </row>
    <row r="16" spans="1:14" s="109" customFormat="1" ht="31.5" customHeight="1" x14ac:dyDescent="0.2">
      <c r="A16" s="108" t="s">
        <v>347</v>
      </c>
      <c r="B16" s="108"/>
      <c r="C16" s="108"/>
      <c r="D16" s="108"/>
      <c r="E16" s="108"/>
      <c r="F16" s="108"/>
      <c r="G16" s="108"/>
      <c r="H16" s="108"/>
      <c r="I16" s="108"/>
      <c r="J16" s="108"/>
      <c r="K16" s="108"/>
      <c r="L16" s="108"/>
      <c r="M16" s="108"/>
      <c r="N16" s="108"/>
    </row>
    <row r="17" spans="1:14" s="109" customFormat="1" ht="31.5" customHeight="1" x14ac:dyDescent="0.2">
      <c r="A17" s="108"/>
      <c r="B17" s="108"/>
      <c r="C17" s="108"/>
      <c r="D17" s="108"/>
      <c r="E17" s="108"/>
      <c r="F17" s="108"/>
      <c r="G17" s="108"/>
      <c r="H17" s="108"/>
      <c r="I17" s="108"/>
      <c r="J17" s="108"/>
      <c r="K17" s="108"/>
      <c r="L17" s="108"/>
      <c r="M17" s="108"/>
      <c r="N17" s="108"/>
    </row>
    <row r="18" spans="1:14" s="109" customFormat="1" ht="31.5" customHeight="1" x14ac:dyDescent="0.2">
      <c r="A18" s="108"/>
      <c r="B18" s="108"/>
      <c r="C18" s="108"/>
      <c r="D18" s="108"/>
      <c r="E18" s="108"/>
      <c r="F18" s="108"/>
      <c r="G18" s="108"/>
      <c r="H18" s="108"/>
      <c r="I18" s="108"/>
      <c r="J18" s="108"/>
      <c r="K18" s="108"/>
      <c r="L18" s="108"/>
      <c r="M18" s="108"/>
      <c r="N18" s="108"/>
    </row>
    <row r="19" spans="1:14" s="109" customFormat="1" ht="31.5" customHeight="1" x14ac:dyDescent="0.2">
      <c r="A19" s="110"/>
      <c r="B19" s="110"/>
      <c r="C19" s="110"/>
      <c r="D19" s="110"/>
      <c r="E19" s="110"/>
      <c r="F19" s="110"/>
      <c r="G19" s="110"/>
      <c r="H19" s="110"/>
      <c r="I19" s="110"/>
      <c r="J19" s="110"/>
      <c r="K19" s="110"/>
      <c r="L19" s="110"/>
      <c r="M19" s="110"/>
      <c r="N19" s="110"/>
    </row>
    <row r="20" spans="1:14" s="109" customFormat="1" ht="31.5" customHeight="1" x14ac:dyDescent="0.2">
      <c r="A20" s="110"/>
      <c r="B20" s="110"/>
      <c r="C20" s="110"/>
      <c r="D20" s="110"/>
      <c r="E20" s="110"/>
      <c r="F20" s="110"/>
      <c r="G20" s="110"/>
      <c r="H20" s="110"/>
      <c r="I20" s="110"/>
      <c r="J20" s="110"/>
      <c r="K20" s="110"/>
      <c r="L20" s="110"/>
      <c r="M20" s="110"/>
      <c r="N20" s="110"/>
    </row>
    <row r="21" spans="1:14" ht="15" x14ac:dyDescent="0.25">
      <c r="A21" s="107"/>
    </row>
    <row r="22" spans="1:14" ht="15" x14ac:dyDescent="0.25">
      <c r="A22" s="107"/>
    </row>
    <row r="23" spans="1:14" ht="15" x14ac:dyDescent="0.25">
      <c r="A23" s="107"/>
    </row>
    <row r="24" spans="1:14" ht="15" x14ac:dyDescent="0.25">
      <c r="A24" s="107"/>
    </row>
    <row r="25" spans="1:14" ht="15" x14ac:dyDescent="0.25">
      <c r="A25" s="107"/>
    </row>
  </sheetData>
  <sheetProtection password="D429" sheet="1" objects="1" scenarios="1"/>
  <mergeCells count="16">
    <mergeCell ref="A16:N18"/>
    <mergeCell ref="B9:C9"/>
    <mergeCell ref="E9:F9"/>
    <mergeCell ref="H9:I9"/>
    <mergeCell ref="K9:L9"/>
    <mergeCell ref="B11:C11"/>
    <mergeCell ref="B12:C12"/>
    <mergeCell ref="E3:F3"/>
    <mergeCell ref="H3:I3"/>
    <mergeCell ref="E5:F5"/>
    <mergeCell ref="H5:I5"/>
    <mergeCell ref="K5:L5"/>
    <mergeCell ref="B7:C7"/>
    <mergeCell ref="E7:F7"/>
    <mergeCell ref="H7:I7"/>
    <mergeCell ref="K7:L7"/>
  </mergeCells>
  <pageMargins left="0.7" right="0.7" top="0.75" bottom="0.75" header="0.3" footer="0.3"/>
  <pageSetup scale="8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I61"/>
  <sheetViews>
    <sheetView zoomScaleNormal="100" workbookViewId="0"/>
  </sheetViews>
  <sheetFormatPr defaultRowHeight="12.75" x14ac:dyDescent="0.2"/>
  <cols>
    <col min="1" max="1" width="27.5703125" style="113" customWidth="1"/>
    <col min="2" max="2" width="20" style="113" customWidth="1"/>
    <col min="3" max="3" width="30.42578125" style="113" customWidth="1"/>
    <col min="4" max="4" width="9.140625" style="113" customWidth="1"/>
    <col min="5" max="5" width="30.7109375" style="141" customWidth="1"/>
    <col min="6" max="6" width="9.140625" style="113" customWidth="1"/>
    <col min="7" max="7" width="14.42578125" style="113" customWidth="1"/>
    <col min="8" max="16384" width="9.140625" style="113"/>
  </cols>
  <sheetData>
    <row r="3" spans="1:9" x14ac:dyDescent="0.2">
      <c r="A3" s="111" t="s">
        <v>348</v>
      </c>
      <c r="B3" s="111"/>
      <c r="C3" s="112"/>
      <c r="E3" s="114" t="s">
        <v>349</v>
      </c>
      <c r="G3" s="115" t="s">
        <v>350</v>
      </c>
      <c r="I3" s="115" t="s">
        <v>351</v>
      </c>
    </row>
    <row r="4" spans="1:9" x14ac:dyDescent="0.2">
      <c r="A4" s="116" t="s">
        <v>352</v>
      </c>
      <c r="B4" s="116"/>
      <c r="C4" s="117"/>
      <c r="E4" s="114" t="s">
        <v>353</v>
      </c>
      <c r="G4" s="113" t="s">
        <v>354</v>
      </c>
      <c r="I4" s="115" t="s">
        <v>355</v>
      </c>
    </row>
    <row r="5" spans="1:9" x14ac:dyDescent="0.2">
      <c r="A5" s="118" t="s">
        <v>356</v>
      </c>
      <c r="B5" s="119" t="s">
        <v>328</v>
      </c>
      <c r="C5" s="120"/>
      <c r="E5" s="121" t="s">
        <v>357</v>
      </c>
      <c r="G5" s="122">
        <v>2011</v>
      </c>
      <c r="I5" s="123" t="s">
        <v>358</v>
      </c>
    </row>
    <row r="6" spans="1:9" x14ac:dyDescent="0.2">
      <c r="A6" s="124">
        <v>0</v>
      </c>
      <c r="B6" s="125">
        <v>0</v>
      </c>
      <c r="C6" s="126"/>
      <c r="E6" s="127" t="s">
        <v>359</v>
      </c>
      <c r="G6" s="128">
        <v>2012</v>
      </c>
      <c r="I6" s="129" t="s">
        <v>16</v>
      </c>
    </row>
    <row r="7" spans="1:9" x14ac:dyDescent="0.2">
      <c r="A7" s="124">
        <v>1000</v>
      </c>
      <c r="B7" s="125">
        <v>8.3000000000000004E-2</v>
      </c>
      <c r="C7" s="126"/>
      <c r="E7" s="127" t="s">
        <v>360</v>
      </c>
      <c r="G7" s="128">
        <v>2013</v>
      </c>
    </row>
    <row r="8" spans="1:9" x14ac:dyDescent="0.2">
      <c r="A8" s="124">
        <v>2500</v>
      </c>
      <c r="B8" s="125">
        <v>5.1999999999999998E-2</v>
      </c>
      <c r="C8" s="126"/>
      <c r="E8" s="127" t="s">
        <v>361</v>
      </c>
      <c r="G8" s="128">
        <v>2014</v>
      </c>
    </row>
    <row r="9" spans="1:9" x14ac:dyDescent="0.2">
      <c r="A9" s="124">
        <v>5000</v>
      </c>
      <c r="B9" s="125">
        <v>3.6999999999999998E-2</v>
      </c>
      <c r="C9" s="126"/>
      <c r="E9" s="127" t="s">
        <v>362</v>
      </c>
      <c r="G9" s="128">
        <v>2015</v>
      </c>
    </row>
    <row r="10" spans="1:9" x14ac:dyDescent="0.2">
      <c r="A10" s="124">
        <v>10000</v>
      </c>
      <c r="B10" s="125">
        <v>2.5999999999999999E-2</v>
      </c>
      <c r="C10" s="126"/>
      <c r="E10" s="127" t="s">
        <v>363</v>
      </c>
      <c r="G10" s="128">
        <v>2016</v>
      </c>
    </row>
    <row r="11" spans="1:9" x14ac:dyDescent="0.2">
      <c r="A11" s="124">
        <v>25000</v>
      </c>
      <c r="B11" s="125">
        <v>1.6E-2</v>
      </c>
      <c r="C11" s="126"/>
      <c r="E11" s="127" t="s">
        <v>364</v>
      </c>
      <c r="G11" s="128">
        <v>2017</v>
      </c>
    </row>
    <row r="12" spans="1:9" x14ac:dyDescent="0.2">
      <c r="A12" s="124">
        <v>50000</v>
      </c>
      <c r="B12" s="125">
        <v>1.2E-2</v>
      </c>
      <c r="C12" s="126"/>
      <c r="E12" s="127" t="s">
        <v>29</v>
      </c>
      <c r="G12" s="128">
        <v>2018</v>
      </c>
    </row>
    <row r="13" spans="1:9" x14ac:dyDescent="0.2">
      <c r="A13" s="130">
        <v>75000</v>
      </c>
      <c r="B13" s="131">
        <v>0</v>
      </c>
      <c r="C13" s="126"/>
      <c r="E13" s="127" t="s">
        <v>365</v>
      </c>
      <c r="G13" s="128">
        <v>2019</v>
      </c>
    </row>
    <row r="14" spans="1:9" x14ac:dyDescent="0.2">
      <c r="E14" s="127" t="s">
        <v>366</v>
      </c>
      <c r="G14" s="128">
        <v>2020</v>
      </c>
    </row>
    <row r="15" spans="1:9" x14ac:dyDescent="0.2">
      <c r="E15" s="127" t="s">
        <v>367</v>
      </c>
      <c r="G15" s="128">
        <v>2021</v>
      </c>
    </row>
    <row r="16" spans="1:9" x14ac:dyDescent="0.2">
      <c r="A16" s="111" t="s">
        <v>368</v>
      </c>
      <c r="B16" s="111"/>
      <c r="C16" s="112"/>
      <c r="E16" s="127" t="s">
        <v>369</v>
      </c>
      <c r="G16" s="128">
        <v>2022</v>
      </c>
    </row>
    <row r="17" spans="1:7" x14ac:dyDescent="0.2">
      <c r="A17" s="132" t="s">
        <v>370</v>
      </c>
      <c r="B17" s="132"/>
      <c r="C17" s="120"/>
      <c r="E17" s="127" t="s">
        <v>371</v>
      </c>
      <c r="G17" s="128">
        <v>2023</v>
      </c>
    </row>
    <row r="18" spans="1:7" x14ac:dyDescent="0.2">
      <c r="A18" s="133" t="s">
        <v>372</v>
      </c>
      <c r="B18" s="119" t="s">
        <v>330</v>
      </c>
      <c r="C18" s="119" t="s">
        <v>372</v>
      </c>
      <c r="E18" s="127" t="s">
        <v>373</v>
      </c>
      <c r="G18" s="128">
        <v>2024</v>
      </c>
    </row>
    <row r="19" spans="1:7" ht="15" x14ac:dyDescent="0.25">
      <c r="A19" s="134" t="s">
        <v>374</v>
      </c>
      <c r="B19" s="135">
        <v>1</v>
      </c>
      <c r="C19" s="760" t="s">
        <v>375</v>
      </c>
      <c r="E19" s="127" t="s">
        <v>376</v>
      </c>
      <c r="G19" s="128">
        <v>2025</v>
      </c>
    </row>
    <row r="20" spans="1:7" ht="15" x14ac:dyDescent="0.25">
      <c r="A20" s="136">
        <v>2500</v>
      </c>
      <c r="B20" s="120">
        <v>1.1639999999999999</v>
      </c>
      <c r="C20" s="761" t="s">
        <v>377</v>
      </c>
      <c r="E20" s="127" t="s">
        <v>378</v>
      </c>
      <c r="G20" s="128">
        <v>2026</v>
      </c>
    </row>
    <row r="21" spans="1:7" ht="15" x14ac:dyDescent="0.25">
      <c r="A21" s="136">
        <v>5000</v>
      </c>
      <c r="B21" s="120">
        <v>1.4019999999999999</v>
      </c>
      <c r="C21" s="761" t="s">
        <v>379</v>
      </c>
      <c r="E21" s="127" t="s">
        <v>380</v>
      </c>
      <c r="G21" s="128">
        <v>2027</v>
      </c>
    </row>
    <row r="22" spans="1:7" ht="15" x14ac:dyDescent="0.25">
      <c r="A22" s="137">
        <v>10000</v>
      </c>
      <c r="B22" s="138">
        <v>1.736</v>
      </c>
      <c r="C22" s="762" t="s">
        <v>381</v>
      </c>
      <c r="E22" s="127" t="s">
        <v>382</v>
      </c>
      <c r="G22" s="128">
        <v>2028</v>
      </c>
    </row>
    <row r="23" spans="1:7" x14ac:dyDescent="0.2">
      <c r="E23" s="127" t="s">
        <v>383</v>
      </c>
      <c r="G23" s="128">
        <v>2029</v>
      </c>
    </row>
    <row r="24" spans="1:7" x14ac:dyDescent="0.2">
      <c r="E24" s="127" t="s">
        <v>384</v>
      </c>
      <c r="G24" s="128">
        <v>2030</v>
      </c>
    </row>
    <row r="25" spans="1:7" x14ac:dyDescent="0.2">
      <c r="E25" s="127" t="s">
        <v>385</v>
      </c>
      <c r="G25" s="128">
        <v>2031</v>
      </c>
    </row>
    <row r="26" spans="1:7" x14ac:dyDescent="0.2">
      <c r="E26" s="127" t="s">
        <v>386</v>
      </c>
      <c r="G26" s="128">
        <v>2032</v>
      </c>
    </row>
    <row r="27" spans="1:7" x14ac:dyDescent="0.2">
      <c r="E27" s="127" t="s">
        <v>387</v>
      </c>
      <c r="G27" s="128">
        <v>2033</v>
      </c>
    </row>
    <row r="28" spans="1:7" x14ac:dyDescent="0.2">
      <c r="E28" s="127" t="s">
        <v>388</v>
      </c>
      <c r="G28" s="128">
        <v>2034</v>
      </c>
    </row>
    <row r="29" spans="1:7" x14ac:dyDescent="0.2">
      <c r="E29" s="127" t="s">
        <v>389</v>
      </c>
      <c r="G29" s="128">
        <v>2035</v>
      </c>
    </row>
    <row r="30" spans="1:7" x14ac:dyDescent="0.2">
      <c r="E30" s="127" t="s">
        <v>390</v>
      </c>
      <c r="G30" s="128">
        <v>2036</v>
      </c>
    </row>
    <row r="31" spans="1:7" x14ac:dyDescent="0.2">
      <c r="E31" s="127" t="s">
        <v>391</v>
      </c>
      <c r="G31" s="128">
        <v>2037</v>
      </c>
    </row>
    <row r="32" spans="1:7" x14ac:dyDescent="0.2">
      <c r="E32" s="127" t="s">
        <v>392</v>
      </c>
      <c r="G32" s="128">
        <v>2038</v>
      </c>
    </row>
    <row r="33" spans="5:7" x14ac:dyDescent="0.2">
      <c r="E33" s="127" t="s">
        <v>393</v>
      </c>
      <c r="G33" s="128">
        <v>2039</v>
      </c>
    </row>
    <row r="34" spans="5:7" x14ac:dyDescent="0.2">
      <c r="E34" s="127" t="s">
        <v>394</v>
      </c>
      <c r="G34" s="128">
        <v>2040</v>
      </c>
    </row>
    <row r="35" spans="5:7" x14ac:dyDescent="0.2">
      <c r="E35" s="127" t="s">
        <v>395</v>
      </c>
      <c r="G35" s="128">
        <v>2041</v>
      </c>
    </row>
    <row r="36" spans="5:7" x14ac:dyDescent="0.2">
      <c r="E36" s="127" t="s">
        <v>396</v>
      </c>
      <c r="G36" s="128">
        <v>2042</v>
      </c>
    </row>
    <row r="37" spans="5:7" x14ac:dyDescent="0.2">
      <c r="E37" s="127" t="s">
        <v>397</v>
      </c>
      <c r="G37" s="128">
        <v>2043</v>
      </c>
    </row>
    <row r="38" spans="5:7" x14ac:dyDescent="0.2">
      <c r="E38" s="127" t="s">
        <v>398</v>
      </c>
      <c r="G38" s="128">
        <v>2044</v>
      </c>
    </row>
    <row r="39" spans="5:7" x14ac:dyDescent="0.2">
      <c r="E39" s="127" t="s">
        <v>399</v>
      </c>
      <c r="G39" s="128">
        <v>2045</v>
      </c>
    </row>
    <row r="40" spans="5:7" x14ac:dyDescent="0.2">
      <c r="E40" s="127" t="s">
        <v>400</v>
      </c>
      <c r="G40" s="128">
        <v>2046</v>
      </c>
    </row>
    <row r="41" spans="5:7" x14ac:dyDescent="0.2">
      <c r="E41" s="127" t="s">
        <v>401</v>
      </c>
      <c r="G41" s="128">
        <v>2047</v>
      </c>
    </row>
    <row r="42" spans="5:7" x14ac:dyDescent="0.2">
      <c r="E42" s="127" t="s">
        <v>402</v>
      </c>
      <c r="G42" s="128">
        <v>2048</v>
      </c>
    </row>
    <row r="43" spans="5:7" x14ac:dyDescent="0.2">
      <c r="E43" s="127" t="s">
        <v>403</v>
      </c>
      <c r="G43" s="128">
        <v>2049</v>
      </c>
    </row>
    <row r="44" spans="5:7" x14ac:dyDescent="0.2">
      <c r="E44" s="127" t="s">
        <v>404</v>
      </c>
      <c r="G44" s="128">
        <v>2050</v>
      </c>
    </row>
    <row r="45" spans="5:7" x14ac:dyDescent="0.2">
      <c r="E45" s="127" t="s">
        <v>405</v>
      </c>
      <c r="G45" s="128">
        <v>2051</v>
      </c>
    </row>
    <row r="46" spans="5:7" x14ac:dyDescent="0.2">
      <c r="E46" s="127" t="s">
        <v>406</v>
      </c>
      <c r="G46" s="128">
        <v>2052</v>
      </c>
    </row>
    <row r="47" spans="5:7" x14ac:dyDescent="0.2">
      <c r="E47" s="127" t="s">
        <v>407</v>
      </c>
      <c r="G47" s="128">
        <v>2053</v>
      </c>
    </row>
    <row r="48" spans="5:7" x14ac:dyDescent="0.2">
      <c r="E48" s="127" t="s">
        <v>408</v>
      </c>
      <c r="G48" s="128">
        <v>2054</v>
      </c>
    </row>
    <row r="49" spans="5:7" x14ac:dyDescent="0.2">
      <c r="E49" s="127" t="s">
        <v>409</v>
      </c>
      <c r="G49" s="128">
        <v>2055</v>
      </c>
    </row>
    <row r="50" spans="5:7" x14ac:dyDescent="0.2">
      <c r="E50" s="127" t="s">
        <v>410</v>
      </c>
      <c r="G50" s="128">
        <v>2056</v>
      </c>
    </row>
    <row r="51" spans="5:7" x14ac:dyDescent="0.2">
      <c r="E51" s="127" t="s">
        <v>411</v>
      </c>
      <c r="G51" s="128">
        <v>2057</v>
      </c>
    </row>
    <row r="52" spans="5:7" x14ac:dyDescent="0.2">
      <c r="E52" s="127" t="s">
        <v>412</v>
      </c>
      <c r="G52" s="128">
        <v>2058</v>
      </c>
    </row>
    <row r="53" spans="5:7" x14ac:dyDescent="0.2">
      <c r="E53" s="127" t="s">
        <v>413</v>
      </c>
      <c r="G53" s="128">
        <v>2059</v>
      </c>
    </row>
    <row r="54" spans="5:7" x14ac:dyDescent="0.2">
      <c r="E54" s="127" t="s">
        <v>414</v>
      </c>
      <c r="G54" s="139">
        <v>2060</v>
      </c>
    </row>
    <row r="55" spans="5:7" x14ac:dyDescent="0.2">
      <c r="E55" s="127" t="s">
        <v>415</v>
      </c>
    </row>
    <row r="56" spans="5:7" x14ac:dyDescent="0.2">
      <c r="E56" s="127" t="s">
        <v>416</v>
      </c>
    </row>
    <row r="57" spans="5:7" x14ac:dyDescent="0.2">
      <c r="E57" s="127" t="s">
        <v>417</v>
      </c>
    </row>
    <row r="58" spans="5:7" x14ac:dyDescent="0.2">
      <c r="E58" s="127" t="s">
        <v>418</v>
      </c>
    </row>
    <row r="59" spans="5:7" x14ac:dyDescent="0.2">
      <c r="E59" s="127" t="s">
        <v>419</v>
      </c>
    </row>
    <row r="60" spans="5:7" x14ac:dyDescent="0.2">
      <c r="E60" s="127" t="s">
        <v>420</v>
      </c>
    </row>
    <row r="61" spans="5:7" x14ac:dyDescent="0.2">
      <c r="E61" s="140" t="s">
        <v>22</v>
      </c>
    </row>
  </sheetData>
  <sheetProtection password="D429" sheet="1" objects="1" scenarios="1"/>
  <mergeCells count="4">
    <mergeCell ref="A3:B3"/>
    <mergeCell ref="A4:B4"/>
    <mergeCell ref="A16:B16"/>
    <mergeCell ref="A17:B1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412</vt:i4>
      </vt:variant>
    </vt:vector>
  </HeadingPairs>
  <TitlesOfParts>
    <vt:vector size="419" baseType="lpstr">
      <vt:lpstr>Pt 1 and 2</vt:lpstr>
      <vt:lpstr>Pt 3</vt:lpstr>
      <vt:lpstr>Pt 4 Allocation</vt:lpstr>
      <vt:lpstr>Pt 5 Rebate Calculation</vt:lpstr>
      <vt:lpstr>Pt 6 Rebate Report</vt:lpstr>
      <vt:lpstr>Attestation</vt:lpstr>
      <vt:lpstr>Tables</vt:lpstr>
      <vt:lpstr>'Pt 1 and 2'!ACC_MED_INC_POOLS_BON_CURR_YR</vt:lpstr>
      <vt:lpstr>'Pt 1 and 2'!ACC_MED_INC_POOLS_BON_PRIOR_YR</vt:lpstr>
      <vt:lpstr>'Pt 4 Allocation'!ACT_PREVENT_HOSP_READM_1</vt:lpstr>
      <vt:lpstr>'Pt 4 Allocation'!ACT_PREVENT_HOSP_READM_10</vt:lpstr>
      <vt:lpstr>'Pt 4 Allocation'!ACT_PREVENT_HOSP_READM_2</vt:lpstr>
      <vt:lpstr>'Pt 4 Allocation'!ACT_PREVENT_HOSP_READM_3</vt:lpstr>
      <vt:lpstr>'Pt 4 Allocation'!ACT_PREVENT_HOSP_READM_4</vt:lpstr>
      <vt:lpstr>'Pt 4 Allocation'!ACT_PREVENT_HOSP_READM_5</vt:lpstr>
      <vt:lpstr>'Pt 4 Allocation'!ACT_PREVENT_HOSP_READM_6</vt:lpstr>
      <vt:lpstr>'Pt 4 Allocation'!ACT_PREVENT_HOSP_READM_7</vt:lpstr>
      <vt:lpstr>'Pt 4 Allocation'!ACT_PREVENT_HOSP_READM_8</vt:lpstr>
      <vt:lpstr>'Pt 4 Allocation'!ACT_PREVENT_HOSP_READM_9</vt:lpstr>
      <vt:lpstr>'Pt 5 Rebate Calculation'!ACT_PREVENT_HOSP_READM_9</vt:lpstr>
      <vt:lpstr>'Pt 1 and 2'!ACTIVITES_TO_PREVENT_HOSP_READM</vt:lpstr>
      <vt:lpstr>'Pt 5 Rebate Calculation'!ADJ_EARNED_PREMIUM_LIC_REG_FEE</vt:lpstr>
      <vt:lpstr>'Pt 5 Rebate Calculation'!ADJ_INCURRED_CLAIMS</vt:lpstr>
      <vt:lpstr>'Pt 5 Rebate Calculation'!ADJ_INCURRED_CLAIMS_RESTATED_Q1</vt:lpstr>
      <vt:lpstr>'Pt 1 and 2'!ADJUSTED_INCURRED_CLAIMS</vt:lpstr>
      <vt:lpstr>'Pt 1 and 2'!AFTER_TAX_NET_GAIN</vt:lpstr>
      <vt:lpstr>'Pt 1 and 2'!AGGREGATE_2PERCENT_RULE_YEARLY</vt:lpstr>
      <vt:lpstr>'Pt 1 and 2'!AGNTS_AND_BROKERS_FEES_COMMS</vt:lpstr>
      <vt:lpstr>'Pt 4 Allocation'!AGTS_AND_BRKRS_FEES_AND_COMM_1</vt:lpstr>
      <vt:lpstr>'Pt 4 Allocation'!AGTS_AND_BRKRS_FEES_AND_COMM_2</vt:lpstr>
      <vt:lpstr>'Pt 4 Allocation'!AGTS_AND_BRKRS_FEES_AND_COMM_3</vt:lpstr>
      <vt:lpstr>'Pt 4 Allocation'!AGTS_AND_BRKRS_FEES_AND_COMM_4</vt:lpstr>
      <vt:lpstr>'Pt 4 Allocation'!AGTS_AND_BRKRS_FEES_AND_COMM_5</vt:lpstr>
      <vt:lpstr>'Pt 4 Allocation'!AGTS_AND_BRKRS_FEES_AND_COMM_6</vt:lpstr>
      <vt:lpstr>'Pt 4 Allocation'!AGTS_AND_BRKRS_FEES_AND_COMM_7</vt:lpstr>
      <vt:lpstr>'Pt 4 Allocation'!ALL_OTH_CLAIMS_ADJ_EXP_1</vt:lpstr>
      <vt:lpstr>'Pt 4 Allocation'!ALL_OTH_CLAIMS_ADJ_EXP_2</vt:lpstr>
      <vt:lpstr>'Pt 4 Allocation'!ALL_OTH_CLAIMS_ADJ_EXP_3</vt:lpstr>
      <vt:lpstr>'Pt 4 Allocation'!ALL_OTH_CLAIMS_ADJ_EXP_4</vt:lpstr>
      <vt:lpstr>'Pt 4 Allocation'!ALL_OTH_CLAIMS_ADJ_EXP_5</vt:lpstr>
      <vt:lpstr>'Pt 4 Allocation'!ALL_OTH_CLAIMS_ADJ_EXP_6</vt:lpstr>
      <vt:lpstr>'Pt 4 Allocation'!ALL_OTH_CLAIMS_ADJ_EXP_7</vt:lpstr>
      <vt:lpstr>'Pt 1 and 2'!ALL_OTHER_CLAIMS_ADJ_EXPENSES</vt:lpstr>
      <vt:lpstr>'Pt 1 and 2'!ALLOWABLE_FRAUD_REDUCTION_EXP</vt:lpstr>
      <vt:lpstr>'Pt 1 and 2'!AMBEST_NUMBER</vt:lpstr>
      <vt:lpstr>'Pt 6 Rebate Report'!AMT_OF_DE_MINIMIS_REBATES</vt:lpstr>
      <vt:lpstr>'Pt 6 Rebate Report'!AMT_REBATES_PAID_BY_PREM_CREDIT</vt:lpstr>
      <vt:lpstr>'Pt 6 Rebate Report'!AMT_REBATES_PAID_LUMP_SUM_REIMB</vt:lpstr>
      <vt:lpstr>'Pt 6 Rebate Report'!AMT_UNCLAIM_REBATE_PRIOR_REP_YR</vt:lpstr>
      <vt:lpstr>'Pt 5 Rebate Calculation'!AVERAGE_DEDUCTIBLE</vt:lpstr>
      <vt:lpstr>'Pt 5 Rebate Calculation'!BASE_CREDIBILITY_FACTOR</vt:lpstr>
      <vt:lpstr>'Pt 1 and 2'!BLENDED_RATE_ADJUSTMENT</vt:lpstr>
      <vt:lpstr>'Pt 1 and 2'!BUSINESS_STATE</vt:lpstr>
      <vt:lpstr>BUSINESS_STATE_LIST</vt:lpstr>
      <vt:lpstr>'Pt 3'!CAE_COST_CONTAINMENT_EXP</vt:lpstr>
      <vt:lpstr>'Pt 3'!CAE_OTHER_CLAIMS_ADJ_EXP</vt:lpstr>
      <vt:lpstr>'Pt 1 and 2'!CHANGE_IN_RES_EXP_RAT_REFUNDS</vt:lpstr>
      <vt:lpstr>'Pt 1 and 2'!CHANGE_IN_UNEARNED_PREMIUM</vt:lpstr>
      <vt:lpstr>'Pt 1 and 2'!CLM_ALL_INCU_DATES_PAID_REP_YR</vt:lpstr>
      <vt:lpstr>'Pt 1 and 2'!CLM_INC_REP_YR_AND_FOLL_YR</vt:lpstr>
      <vt:lpstr>'Pt 3'!CMM_INDIVIDUAL</vt:lpstr>
      <vt:lpstr>'Pt 6 Rebate Report'!CMM_INDIVIDUAL</vt:lpstr>
      <vt:lpstr>'Pt 5 Rebate Calculation'!CMM_INDIVIDUAL_CY</vt:lpstr>
      <vt:lpstr>'Pt 1 and 2'!CMM_INDIVIDUAL_DEFERRED_CY</vt:lpstr>
      <vt:lpstr>'Pt 3'!CMM_INDIVIDUAL_DEFERRED_CY</vt:lpstr>
      <vt:lpstr>'Pt 1 and 2'!CMM_INDIVIDUAL_DEFERRED_PY</vt:lpstr>
      <vt:lpstr>'Pt 3'!CMM_INDIVIDUAL_DEFERRED_PY</vt:lpstr>
      <vt:lpstr>'Pt 5 Rebate Calculation'!CMM_INDIVIDUAL_PY1</vt:lpstr>
      <vt:lpstr>'Pt 5 Rebate Calculation'!CMM_INDIVIDUAL_PY2</vt:lpstr>
      <vt:lpstr>'Pt 1 and 2'!CMM_INDIVIDUAL_Q1</vt:lpstr>
      <vt:lpstr>'Pt 1 and 2'!CMM_INDIVIDUAL_TOTAL</vt:lpstr>
      <vt:lpstr>'Pt 3'!CMM_INDIVIDUAL_TOTAL</vt:lpstr>
      <vt:lpstr>'Pt 5 Rebate Calculation'!CMM_INDIVIDUAL_TOTAL</vt:lpstr>
      <vt:lpstr>'Pt 1 and 2'!CMM_INDIVIDUAL_YEARLY</vt:lpstr>
      <vt:lpstr>'Pt 3'!CMM_LARGE_GROUP</vt:lpstr>
      <vt:lpstr>'Pt 6 Rebate Report'!CMM_LARGE_GROUP</vt:lpstr>
      <vt:lpstr>'Pt 5 Rebate Calculation'!CMM_LARGE_GROUP_CY</vt:lpstr>
      <vt:lpstr>'Pt 1 and 2'!CMM_LARGE_GROUP_DEFERRED_CY</vt:lpstr>
      <vt:lpstr>'Pt 3'!CMM_LARGE_GROUP_DEFERRED_CY</vt:lpstr>
      <vt:lpstr>'Pt 1 and 2'!CMM_LARGE_GROUP_DEFERRED_PY</vt:lpstr>
      <vt:lpstr>'Pt 3'!CMM_LARGE_GROUP_DEFERRED_PY</vt:lpstr>
      <vt:lpstr>'Pt 5 Rebate Calculation'!CMM_LARGE_GROUP_PY1</vt:lpstr>
      <vt:lpstr>'Pt 5 Rebate Calculation'!CMM_LARGE_GROUP_PY2</vt:lpstr>
      <vt:lpstr>'Pt 1 and 2'!CMM_LARGE_GROUP_Q1</vt:lpstr>
      <vt:lpstr>'Pt 1 and 2'!CMM_LARGE_GROUP_TOTAL</vt:lpstr>
      <vt:lpstr>'Pt 3'!CMM_LARGE_GROUP_TOTAL</vt:lpstr>
      <vt:lpstr>'Pt 5 Rebate Calculation'!CMM_LARGE_GROUP_TOTAL</vt:lpstr>
      <vt:lpstr>'Pt 1 and 2'!CMM_LARGE_GROUP_YEARLY</vt:lpstr>
      <vt:lpstr>'Pt 3'!CMM_SMALL_GROUP</vt:lpstr>
      <vt:lpstr>'Pt 6 Rebate Report'!CMM_SMALL_GROUP</vt:lpstr>
      <vt:lpstr>'Pt 5 Rebate Calculation'!CMM_SMALL_GROUP_CY</vt:lpstr>
      <vt:lpstr>'Pt 1 and 2'!CMM_SMALL_GROUP_DEFERRED_CY</vt:lpstr>
      <vt:lpstr>'Pt 3'!CMM_SMALL_GROUP_DEFERRED_CY</vt:lpstr>
      <vt:lpstr>'Pt 1 and 2'!CMM_SMALL_GROUP_DEFERRED_PY</vt:lpstr>
      <vt:lpstr>'Pt 3'!CMM_SMALL_GROUP_DEFERRED_PY</vt:lpstr>
      <vt:lpstr>'Pt 5 Rebate Calculation'!CMM_SMALL_GROUP_PY1</vt:lpstr>
      <vt:lpstr>'Pt 5 Rebate Calculation'!CMM_SMALL_GROUP_PY2</vt:lpstr>
      <vt:lpstr>'Pt 1 and 2'!CMM_SMALL_GROUP_Q1</vt:lpstr>
      <vt:lpstr>'Pt 1 and 2'!CMM_SMALL_GROUP_TOTAL</vt:lpstr>
      <vt:lpstr>'Pt 3'!CMM_SMALL_GROUP_TOTAL</vt:lpstr>
      <vt:lpstr>'Pt 5 Rebate Calculation'!CMM_SMALL_GROUP_TOTAL</vt:lpstr>
      <vt:lpstr>'Pt 1 and 2'!CMM_SMALL_GROUP_YEARLY</vt:lpstr>
      <vt:lpstr>'Pt 4 Allocation'!COMM_BEN_EXP_NOT_FOR_PROFIT_1</vt:lpstr>
      <vt:lpstr>'Pt 4 Allocation'!COMM_BEN_EXP_NOT_FOR_PROFIT_2</vt:lpstr>
      <vt:lpstr>'Pt 4 Allocation'!COMM_BEN_EXP_NOT_FOR_PROFIT_3</vt:lpstr>
      <vt:lpstr>'Pt 4 Allocation'!COMM_BEN_EXP_NOT_FOR_PROFIT_4</vt:lpstr>
      <vt:lpstr>'Pt 4 Allocation'!COMM_BEN_EXP_NOT_FOR_PROFIT_5</vt:lpstr>
      <vt:lpstr>'Pt 4 Allocation'!COMM_BEN_EXP_NOT_FOR_PROFIT_6</vt:lpstr>
      <vt:lpstr>'Pt 1 and 2'!COMMUNITY_BENEFIT_EXP</vt:lpstr>
      <vt:lpstr>'Pt 4 Allocation'!COMMUNITY_BENEFIT_EXP_1</vt:lpstr>
      <vt:lpstr>'Pt 4 Allocation'!COMMUNITY_BENEFIT_EXP_2</vt:lpstr>
      <vt:lpstr>'Pt 4 Allocation'!COMMUNITY_BENEFIT_EXP_3</vt:lpstr>
      <vt:lpstr>'Pt 4 Allocation'!COMMUNITY_BENEFIT_EXP_4</vt:lpstr>
      <vt:lpstr>'Pt 4 Allocation'!COMMUNITY_BENEFIT_EXP_5</vt:lpstr>
      <vt:lpstr>'Pt 4 Allocation'!COMMUNITY_BENEFIT_EXP_6</vt:lpstr>
      <vt:lpstr>'Pt 4 Allocation'!COMMUNITY_BENEFIT_EXP_7</vt:lpstr>
      <vt:lpstr>'Pt 1 and 2'!COMMUNITY_BENEFIT_EXPENDITURES</vt:lpstr>
      <vt:lpstr>'Pt 1 and 2'!COMPANY_ADDRESS</vt:lpstr>
      <vt:lpstr>'Pt 1 and 2'!COMPANY_CODE</vt:lpstr>
      <vt:lpstr>'Pt 1 and 2'!COMPANY_NAME</vt:lpstr>
      <vt:lpstr>'Pt 1 and 2'!CONTINGENT_BEN_LAWSUIT_RESERVE</vt:lpstr>
      <vt:lpstr>'Pt 4 Allocation'!COST_CONT_EXP_INC_QTY_IMP_EXP_1</vt:lpstr>
      <vt:lpstr>'Pt 4 Allocation'!COST_CONT_EXP_INC_QTY_IMP_EXP_2</vt:lpstr>
      <vt:lpstr>'Pt 4 Allocation'!COST_CONT_EXP_INC_QTY_IMP_EXP_3</vt:lpstr>
      <vt:lpstr>'Pt 4 Allocation'!COST_CONT_EXP_INC_QTY_IMP_EXP_4</vt:lpstr>
      <vt:lpstr>'Pt 4 Allocation'!COST_CONT_EXP_INC_QTY_IMP_EXP_5</vt:lpstr>
      <vt:lpstr>'Pt 4 Allocation'!COST_CONT_EXP_INC_QTY_IMP_EXP_6</vt:lpstr>
      <vt:lpstr>'Pt 4 Allocation'!COST_CONT_EXP_INC_QTY_IMP_EXP_7</vt:lpstr>
      <vt:lpstr>'Pt 1 and 2'!COST_CONTAINMENT_EXP_NOT_INCL</vt:lpstr>
      <vt:lpstr>'Pt 5 Rebate Calculation'!CREDIBILITY_ADJ_FACTOR_LN3_5</vt:lpstr>
      <vt:lpstr>'Pt 5 Rebate Calculation'!CREDIBILITY_ADJUSTED_MLR</vt:lpstr>
      <vt:lpstr>'Pt 5 Rebate Calculation'!CREDIBILITY_ADJUSTED_MLR_LN4_4</vt:lpstr>
      <vt:lpstr>'Pt 5 Rebate Calculation'!CREDIBILITY_ADJUSTMENT_FACTOR</vt:lpstr>
      <vt:lpstr>'Pt 1 and 2'!DBA_MARKETING_NAME</vt:lpstr>
      <vt:lpstr>'Pt 5 Rebate Calculation'!DEDUCTIBLE_FACTOR</vt:lpstr>
      <vt:lpstr>'Pt 6 Rebate Report'!DESC_DISB_PRI_REP_UNCLM_REB</vt:lpstr>
      <vt:lpstr>'Pt 6 Rebate Report'!DESC_LOCATE_PLCY_HLERS_SUB</vt:lpstr>
      <vt:lpstr>'Pt 4 Allocation'!DESC_OF_EXP_ELEMENT_BY_TYPE</vt:lpstr>
      <vt:lpstr>'Pt 4 Allocation'!DET_DESC_OF_EXP_ALLOC_METHODS</vt:lpstr>
      <vt:lpstr>'Pt 1 and 2'!DIR_CLAIM_LIABILITY_CURR_YR</vt:lpstr>
      <vt:lpstr>'Pt 1 and 2'!DIR_CLAIM_LIABILITY_PRIOR_YR</vt:lpstr>
      <vt:lpstr>'Pt 1 and 2'!DIR_CLAIM_RESERVES_CURR_YR</vt:lpstr>
      <vt:lpstr>'Pt 1 and 2'!DIR_CLAIM_RESERVES_PRIOR_YR</vt:lpstr>
      <vt:lpstr>'Pt 1 and 2'!DIR_CONTRACT_RESERVES_CURR_YR</vt:lpstr>
      <vt:lpstr>'Pt 1 and 2'!DIR_CONTRACT_RESERVES_PRIOR_YR</vt:lpstr>
      <vt:lpstr>'Pt 1 and 2'!DIR_SALES_SALARIES_AND_BENEFITS</vt:lpstr>
      <vt:lpstr>'Pt 1 and 2'!DIRECT_PREMIUM_WRITTEN</vt:lpstr>
      <vt:lpstr>'Pt 4 Allocation'!DIRECT_SALES_SAL_AND_BEN_1</vt:lpstr>
      <vt:lpstr>'Pt 4 Allocation'!DIRECT_SALES_SAL_AND_BEN_2</vt:lpstr>
      <vt:lpstr>'Pt 4 Allocation'!DIRECT_SALES_SAL_AND_BEN_3</vt:lpstr>
      <vt:lpstr>'Pt 4 Allocation'!DIRECT_SALES_SAL_AND_BEN_4</vt:lpstr>
      <vt:lpstr>'Pt 4 Allocation'!DIRECT_SALES_SAL_AND_BEN_5</vt:lpstr>
      <vt:lpstr>'Pt 4 Allocation'!DIRECT_SALES_SAL_AND_BEN_6</vt:lpstr>
      <vt:lpstr>'Pt 4 Allocation'!DIRECT_SALES_SAL_AND_BEN_7</vt:lpstr>
      <vt:lpstr>'Pt 1 and 2'!DOMICILIARY_STATE</vt:lpstr>
      <vt:lpstr>'Pt 1 and 2'!EST_REB_UNPAID_CURR_MLR_REP_YR</vt:lpstr>
      <vt:lpstr>'Pt 1 and 2'!EST_REB_UNPAID_PRIOR_MLR_REP_YR</vt:lpstr>
      <vt:lpstr>'Pt 1 and 2'!EXP_RAT_REF_INC_REP_YR_FOLL_YR</vt:lpstr>
      <vt:lpstr>'Pt 1 and 2'!EXP_RAT_REFUNDS_INC_DATE_REP_YR</vt:lpstr>
      <vt:lpstr>'Pt 1 and 2'!EXP_RATING_REFUNDS_PAID_REP_YR</vt:lpstr>
      <vt:lpstr>'Pt 1 and 2'!EXP_RATING_REFUNDS_PAID_YR_Q1</vt:lpstr>
      <vt:lpstr>'Pt 3'!EXPAT_LARGE_GROUP</vt:lpstr>
      <vt:lpstr>'Pt 1 and 2'!EXPAT_LARGE_GROUP_DEFERRED_CY</vt:lpstr>
      <vt:lpstr>'Pt 3'!EXPAT_LARGE_GROUP_DEFERRED_CY</vt:lpstr>
      <vt:lpstr>'Pt 1 and 2'!EXPAT_LARGE_GROUP_DEFERRED_PY</vt:lpstr>
      <vt:lpstr>'Pt 3'!EXPAT_LARGE_GROUP_DEFERRED_PY</vt:lpstr>
      <vt:lpstr>'Pt 1 and 2'!EXPAT_LARGE_GROUP_Q1</vt:lpstr>
      <vt:lpstr>'Pt 1 and 2'!EXPAT_LARGE_GROUP_TOTAL</vt:lpstr>
      <vt:lpstr>'Pt 3'!EXPAT_LARGE_GROUP_TOTAL</vt:lpstr>
      <vt:lpstr>'Pt 1 and 2'!EXPAT_LARGE_GROUP_YEARLY</vt:lpstr>
      <vt:lpstr>'Pt 3'!EXPAT_SMALL_GROUP</vt:lpstr>
      <vt:lpstr>'Pt 1 and 2'!EXPAT_SMALL_GROUP_DEFERRED_CY</vt:lpstr>
      <vt:lpstr>'Pt 3'!EXPAT_SMALL_GROUP_DEFERRED_CY</vt:lpstr>
      <vt:lpstr>'Pt 1 and 2'!EXPAT_SMALL_GROUP_DEFERRED_PY</vt:lpstr>
      <vt:lpstr>'Pt 3'!EXPAT_SMALL_GROUP_DEFERRED_PY</vt:lpstr>
      <vt:lpstr>'Pt 1 and 2'!EXPAT_SMALL_GROUP_Q1</vt:lpstr>
      <vt:lpstr>'Pt 1 and 2'!EXPAT_SMALL_GROUP_TOTAL</vt:lpstr>
      <vt:lpstr>'Pt 3'!EXPAT_SMALL_GROUP_TOTAL</vt:lpstr>
      <vt:lpstr>'Pt 1 and 2'!EXPAT_SMALL_GROUP_YEARLY</vt:lpstr>
      <vt:lpstr>'Pt 6 Rebate Report'!EXPATRIATE_LARGE_GROUP</vt:lpstr>
      <vt:lpstr>'Pt 5 Rebate Calculation'!EXPATRIATE_LARGE_GROUP_CY</vt:lpstr>
      <vt:lpstr>'Pt 5 Rebate Calculation'!EXPATRIATE_LARGE_GROUP_PY1</vt:lpstr>
      <vt:lpstr>'Pt 5 Rebate Calculation'!EXPATRIATE_LARGE_GROUP_PY2</vt:lpstr>
      <vt:lpstr>'Pt 5 Rebate Calculation'!EXPATRIATE_LARGE_GROUP_TOTAL</vt:lpstr>
      <vt:lpstr>'Pt 6 Rebate Report'!EXPATRIATE_SMALL_GROUP</vt:lpstr>
      <vt:lpstr>'Pt 5 Rebate Calculation'!EXPATRIATE_SMALL_GROUP_CY</vt:lpstr>
      <vt:lpstr>'Pt 5 Rebate Calculation'!EXPATRIATE_SMALL_GROUP_PY1</vt:lpstr>
      <vt:lpstr>'Pt 5 Rebate Calculation'!EXPATRIATE_SMALL_GROUP_PY2</vt:lpstr>
      <vt:lpstr>'Pt 5 Rebate Calculation'!EXPATRIATE_SMALL_GROUP_TOTAL</vt:lpstr>
      <vt:lpstr>'Pt 5 Rebate Calculation'!FED_STATE_TAXES_LIC_OR_REG_FEE</vt:lpstr>
      <vt:lpstr>'Pt 4 Allocation'!FED_TAXES_AND_ASSESSMENTS_1</vt:lpstr>
      <vt:lpstr>'Pt 4 Allocation'!FED_TAXES_AND_ASSESSMENTS_2</vt:lpstr>
      <vt:lpstr>'Pt 4 Allocation'!FED_TAXES_AND_ASSESSMENTS_3</vt:lpstr>
      <vt:lpstr>'Pt 4 Allocation'!FED_TAXES_AND_ASSESSMENTS_4</vt:lpstr>
      <vt:lpstr>'Pt 4 Allocation'!FED_TAXES_AND_ASSESSMENTS_5</vt:lpstr>
      <vt:lpstr>'Pt 4 Allocation'!FED_TAXES_AND_ASSESSMENTS_6</vt:lpstr>
      <vt:lpstr>'Pt 1 and 2'!FEDERAL_EIN</vt:lpstr>
      <vt:lpstr>'Pt 1 and 2'!FEDERAL_HIGH_RISK_POOLS</vt:lpstr>
      <vt:lpstr>'Pt 1 and 2'!FEDERAL_INCOME_TAXES</vt:lpstr>
      <vt:lpstr>'Pt 1 and 2'!FEDERAL_TAXES_AND_ASSESSMENTS</vt:lpstr>
      <vt:lpstr>'Pt 1 and 2'!FEE_FOR_SERVICE_AND_CO_PAY_REV</vt:lpstr>
      <vt:lpstr>'Pt 1 and 2'!FINES_PENLTS_OF_REG_AUTHORITIES</vt:lpstr>
      <vt:lpstr>'Pt 3'!GENERAL_ADMINISTRATIVE_EXP</vt:lpstr>
      <vt:lpstr>'Pt 1 and 2'!GOVERNMENT_PROG_PLANS_YEARLY</vt:lpstr>
      <vt:lpstr>'Pt 1 and 2'!GRAND_TOTAL</vt:lpstr>
      <vt:lpstr>'Pt 1 and 2'!GROUP_AFFILIATION</vt:lpstr>
      <vt:lpstr>'Pt 1 and 2'!GROUP_CONVERSION_CHARGES</vt:lpstr>
      <vt:lpstr>'Pt 1 and 2'!HEALTHCARE_RECEIVABLES_CURR_YR</vt:lpstr>
      <vt:lpstr>'Pt 1 and 2'!HEALTHCARE_RECEIVABLES_PRIOR_YR</vt:lpstr>
      <vt:lpstr>'Pt 4 Allocation'!HIT_EXP_RELATED_TO_HEALTH_IMP_1</vt:lpstr>
      <vt:lpstr>'Pt 4 Allocation'!HIT_EXP_RELATED_TO_HEALTH_IMP_10</vt:lpstr>
      <vt:lpstr>'Pt 4 Allocation'!HIT_EXP_RELATED_TO_HEALTH_IMP_2</vt:lpstr>
      <vt:lpstr>'Pt 4 Allocation'!HIT_EXP_RELATED_TO_HEALTH_IMP_3</vt:lpstr>
      <vt:lpstr>'Pt 4 Allocation'!HIT_EXP_RELATED_TO_HEALTH_IMP_4</vt:lpstr>
      <vt:lpstr>'Pt 4 Allocation'!HIT_EXP_RELATED_TO_HEALTH_IMP_5</vt:lpstr>
      <vt:lpstr>'Pt 4 Allocation'!HIT_EXP_RELATED_TO_HEALTH_IMP_6</vt:lpstr>
      <vt:lpstr>'Pt 4 Allocation'!HIT_EXP_RELATED_TO_HEALTH_IMP_7</vt:lpstr>
      <vt:lpstr>'Pt 4 Allocation'!HIT_EXP_RELATED_TO_HEALTH_IMP_8</vt:lpstr>
      <vt:lpstr>'Pt 4 Allocation'!HIT_EXP_RELATED_TO_HEALTH_IMP_9</vt:lpstr>
      <vt:lpstr>'Pt 1 and 2'!HITER_TO_HEALTH_IMPROVEMENT</vt:lpstr>
      <vt:lpstr>'Pt 1 and 2'!ICD10_IMPLEMENTATION_EXPENSES</vt:lpstr>
      <vt:lpstr>'Pt 3'!IHCQE_ACT_TO_PRE_HOSP_READM</vt:lpstr>
      <vt:lpstr>'Pt 3'!IHCQE_HIT_EXP</vt:lpstr>
      <vt:lpstr>'Pt 3'!IHCQE_IMPROVE_HEALTH_OUTCOMES</vt:lpstr>
      <vt:lpstr>'Pt 3'!IHCQE_W_AND_H_PROMOTION_ACT</vt:lpstr>
      <vt:lpstr>'Pt 3'!IIHCQE_IPS_AND_REDUCE_MED_ERRS</vt:lpstr>
      <vt:lpstr>'Pt 4 Allocation'!IMP_PAT_SAFETY_REDUCE_MED_ERR_1</vt:lpstr>
      <vt:lpstr>'Pt 4 Allocation'!IMP_PAT_SAFETY_REDUCE_MED_ERR_10</vt:lpstr>
      <vt:lpstr>'Pt 4 Allocation'!IMP_PAT_SAFETY_REDUCE_MED_ERR_2</vt:lpstr>
      <vt:lpstr>'Pt 4 Allocation'!IMP_PAT_SAFETY_REDUCE_MED_ERR_3</vt:lpstr>
      <vt:lpstr>'Pt 4 Allocation'!IMP_PAT_SAFETY_REDUCE_MED_ERR_4</vt:lpstr>
      <vt:lpstr>'Pt 4 Allocation'!IMP_PAT_SAFETY_REDUCE_MED_ERR_5</vt:lpstr>
      <vt:lpstr>'Pt 4 Allocation'!IMP_PAT_SAFETY_REDUCE_MED_ERR_6</vt:lpstr>
      <vt:lpstr>'Pt 4 Allocation'!IMP_PAT_SAFETY_REDUCE_MED_ERR_7</vt:lpstr>
      <vt:lpstr>'Pt 4 Allocation'!IMP_PAT_SAFETY_REDUCE_MED_ERR_8</vt:lpstr>
      <vt:lpstr>'Pt 4 Allocation'!IMP_PAT_SAFETY_REDUCE_MED_ERR_9</vt:lpstr>
      <vt:lpstr>'Pt 1 and 2'!IMP_PAT_SAFETY_REDUCE_MED_ERRS</vt:lpstr>
      <vt:lpstr>'Pt 1 and 2'!IMPROVE_HEALTH_OUTCOMES</vt:lpstr>
      <vt:lpstr>'Pt 4 Allocation'!IMPROVE_HEALTH_OUTCOMES_1</vt:lpstr>
      <vt:lpstr>'Pt 4 Allocation'!IMPROVE_HEALTH_OUTCOMES_10</vt:lpstr>
      <vt:lpstr>'Pt 4 Allocation'!IMPROVE_HEALTH_OUTCOMES_2</vt:lpstr>
      <vt:lpstr>'Pt 4 Allocation'!IMPROVE_HEALTH_OUTCOMES_3</vt:lpstr>
      <vt:lpstr>'Pt 4 Allocation'!IMPROVE_HEALTH_OUTCOMES_4</vt:lpstr>
      <vt:lpstr>'Pt 4 Allocation'!IMPROVE_HEALTH_OUTCOMES_5</vt:lpstr>
      <vt:lpstr>'Pt 4 Allocation'!IMPROVE_HEALTH_OUTCOMES_6</vt:lpstr>
      <vt:lpstr>'Pt 4 Allocation'!IMPROVE_HEALTH_OUTCOMES_7</vt:lpstr>
      <vt:lpstr>'Pt 4 Allocation'!IMPROVE_HEALTH_OUTCOMES_8</vt:lpstr>
      <vt:lpstr>'Pt 4 Allocation'!IMPROVE_HEALTH_OUTCOMES_9</vt:lpstr>
      <vt:lpstr>'Pt 1 and 2'!INC_FROM_FEES_OF_UNINS_PLANS</vt:lpstr>
      <vt:lpstr>'Pt 4 Allocation'!INCURRED_CLAIMS_1</vt:lpstr>
      <vt:lpstr>'Pt 4 Allocation'!INCURRED_CLAIMS_10</vt:lpstr>
      <vt:lpstr>'Pt 4 Allocation'!INCURRED_CLAIMS_11</vt:lpstr>
      <vt:lpstr>'Pt 4 Allocation'!INCURRED_CLAIMS_12</vt:lpstr>
      <vt:lpstr>'Pt 4 Allocation'!INCURRED_CLAIMS_13</vt:lpstr>
      <vt:lpstr>'Pt 4 Allocation'!INCURRED_CLAIMS_14</vt:lpstr>
      <vt:lpstr>'Pt 4 Allocation'!INCURRED_CLAIMS_15</vt:lpstr>
      <vt:lpstr>'Pt 4 Allocation'!INCURRED_CLAIMS_16</vt:lpstr>
      <vt:lpstr>'Pt 4 Allocation'!INCURRED_CLAIMS_17</vt:lpstr>
      <vt:lpstr>'Pt 4 Allocation'!INCURRED_CLAIMS_18</vt:lpstr>
      <vt:lpstr>'Pt 4 Allocation'!INCURRED_CLAIMS_19</vt:lpstr>
      <vt:lpstr>'Pt 4 Allocation'!INCURRED_CLAIMS_2</vt:lpstr>
      <vt:lpstr>'Pt 4 Allocation'!INCURRED_CLAIMS_20</vt:lpstr>
      <vt:lpstr>'Pt 4 Allocation'!INCURRED_CLAIMS_3</vt:lpstr>
      <vt:lpstr>'Pt 4 Allocation'!INCURRED_CLAIMS_4</vt:lpstr>
      <vt:lpstr>'Pt 4 Allocation'!INCURRED_CLAIMS_5</vt:lpstr>
      <vt:lpstr>'Pt 4 Allocation'!INCURRED_CLAIMS_6</vt:lpstr>
      <vt:lpstr>'Pt 4 Allocation'!INCURRED_CLAIMS_7</vt:lpstr>
      <vt:lpstr>'Pt 4 Allocation'!INCURRED_CLAIMS_8</vt:lpstr>
      <vt:lpstr>'Pt 4 Allocation'!INCURRED_CLAIMS_9</vt:lpstr>
      <vt:lpstr>'Pt 5 Rebate Calculation'!IS_EXPERIENCE_CREDIBLE</vt:lpstr>
      <vt:lpstr>'Pt 4 Allocation'!IS_NEW</vt:lpstr>
      <vt:lpstr>'Pt 6 Rebate Report'!IS_REBATE_OWED</vt:lpstr>
      <vt:lpstr>'Pt 1 and 2'!ISSUER_ID</vt:lpstr>
      <vt:lpstr>'Pt 5 Rebate Calculation'!LIFE_YEARS_TO_DETERMINE_CRED</vt:lpstr>
      <vt:lpstr>'Pt 1 and 2'!MEMBER_MONTHS</vt:lpstr>
      <vt:lpstr>'Pt 1 and 2'!MERGE_MARKETS_IND_SMALL_GRP</vt:lpstr>
      <vt:lpstr>'Pt 3'!MINI_MED_INDIVIDUAL</vt:lpstr>
      <vt:lpstr>'Pt 6 Rebate Report'!MINI_MED_INDIVIDUAL</vt:lpstr>
      <vt:lpstr>'Pt 5 Rebate Calculation'!MINI_MED_INDIVIDUAL_CY</vt:lpstr>
      <vt:lpstr>'Pt 5 Rebate Calculation'!MINI_MED_INDIVIDUAL_PY1</vt:lpstr>
      <vt:lpstr>'Pt 5 Rebate Calculation'!MINI_MED_INDIVIDUAL_PY2</vt:lpstr>
      <vt:lpstr>'Pt 1 and 2'!MINI_MED_INDIVIDUAL_Q1</vt:lpstr>
      <vt:lpstr>'Pt 5 Rebate Calculation'!MINI_MED_INDIVIDUAL_TOTAL</vt:lpstr>
      <vt:lpstr>'Pt 1 and 2'!MINI_MED_INDIVIDUAL_YEARLY</vt:lpstr>
      <vt:lpstr>'Pt 3'!MINI_MED_LARGE_GROUP</vt:lpstr>
      <vt:lpstr>'Pt 6 Rebate Report'!MINI_MED_LARGE_GROUP</vt:lpstr>
      <vt:lpstr>'Pt 5 Rebate Calculation'!MINI_MED_LARGE_GROUP_CY</vt:lpstr>
      <vt:lpstr>'Pt 5 Rebate Calculation'!MINI_MED_LARGE_GROUP_PY1</vt:lpstr>
      <vt:lpstr>'Pt 5 Rebate Calculation'!MINI_MED_LARGE_GROUP_PY2</vt:lpstr>
      <vt:lpstr>'Pt 1 and 2'!MINI_MED_LARGE_GROUP_Q1</vt:lpstr>
      <vt:lpstr>'Pt 5 Rebate Calculation'!MINI_MED_LARGE_GROUP_TOTAL</vt:lpstr>
      <vt:lpstr>'Pt 1 and 2'!MINI_MED_LARGE_GROUP_YEARLY</vt:lpstr>
      <vt:lpstr>'Pt 3'!MINI_MED_SMALL_GROUP</vt:lpstr>
      <vt:lpstr>'Pt 6 Rebate Report'!MINI_MED_SMALL_GROUP</vt:lpstr>
      <vt:lpstr>'Pt 5 Rebate Calculation'!MINI_MED_SMALL_GROUP_CY</vt:lpstr>
      <vt:lpstr>'Pt 5 Rebate Calculation'!MINI_MED_SMALL_GROUP_PY1</vt:lpstr>
      <vt:lpstr>'Pt 5 Rebate Calculation'!MINI_MED_SMALL_GROUP_PY2</vt:lpstr>
      <vt:lpstr>'Pt 1 and 2'!MINI_MED_SMALL_GROUP_Q1</vt:lpstr>
      <vt:lpstr>'Pt 5 Rebate Calculation'!MINI_MED_SMALL_GROUP_TOTAL</vt:lpstr>
      <vt:lpstr>'Pt 1 and 2'!MINI_MED_SMALL_GROUP_YEARLY</vt:lpstr>
      <vt:lpstr>'Pt 5 Rebate Calculation'!MLR_DENOMINATOR</vt:lpstr>
      <vt:lpstr>'Pt 5 Rebate Calculation'!MLR_NUMERATOR</vt:lpstr>
      <vt:lpstr>'Pt 5 Rebate Calculation'!MLR_NUMERATOR_MINI_MED_EXPAT</vt:lpstr>
      <vt:lpstr>'Pt 5 Rebate Calculation'!MLR_REBATES_PAID_BASED_EXP</vt:lpstr>
      <vt:lpstr>'Pt 5 Rebate Calculation'!MLR_STANDARD</vt:lpstr>
      <vt:lpstr>'Pt 1 and 2'!MLR_XLS_Key</vt:lpstr>
      <vt:lpstr>'Pt 1 and 2'!MLR_XLS_Key_Final</vt:lpstr>
      <vt:lpstr>'Pt 1 and 2'!NAIC_COMPANY_CODE</vt:lpstr>
      <vt:lpstr>'Pt 1 and 2'!NAIC_GROUP_CODE</vt:lpstr>
      <vt:lpstr>'Pt 1 and 2'!NET_ASSUMED_CEDED_REINS_PREM</vt:lpstr>
      <vt:lpstr>'Pt 1 and 2'!NET_ASSUMED_LESS_CEDED_CLM_INC</vt:lpstr>
      <vt:lpstr>'Pt 1 and 2'!NET_INCURRED_CLAIMS_AFTER_REINS</vt:lpstr>
      <vt:lpstr>'Pt 1 and 2'!NET_INVESTMENT_AND_OTHER_GAIN</vt:lpstr>
      <vt:lpstr>'Pt 6 Rebate Report'!NO_OF_POL_HOLDS_REB_DE_MINIMIS</vt:lpstr>
      <vt:lpstr>'Pt 6 Rebate Report'!NO_OF_POLICIES_CERTS</vt:lpstr>
      <vt:lpstr>'Pt 6 Rebate Report'!NO_OF_POLICYHOLDERS_OWN_A_REB</vt:lpstr>
      <vt:lpstr>'Pt 6 Rebate Report'!NO_OF_SUBSCRIBERS_OWED_A_REB</vt:lpstr>
      <vt:lpstr>'Pt 6 Rebate Report'!NO_RECEIVE_PREMIUM_CREDIT</vt:lpstr>
      <vt:lpstr>'Pt 1 and 2'!NOT_FOR_PROFIT</vt:lpstr>
      <vt:lpstr>'Pt 1 and 2'!NUMBER_OF_COVERED_LIVES</vt:lpstr>
      <vt:lpstr>'Pt 1 and 2'!NUMBER_OF_GROUPS</vt:lpstr>
      <vt:lpstr>'Pt 1 and 2'!NUMBER_OF_LIFE_YEARS</vt:lpstr>
      <vt:lpstr>'Pt 1 and 2'!NUMBER_OF_POLICIES_CERTIFICATES</vt:lpstr>
      <vt:lpstr>'Pt 1 and 2'!OTH_ADJ_DUE_TO_MLR_CALC_CLM_INC</vt:lpstr>
      <vt:lpstr>'Pt 1 and 2'!OTH_ADJ_MLR_CALC_PREMIUM</vt:lpstr>
      <vt:lpstr>'Pt 3'!OTH_AGGREGATE_2_RULE</vt:lpstr>
      <vt:lpstr>'Pt 4 Allocation'!OTH_GEN_AND_ADM_EXPENSES_1</vt:lpstr>
      <vt:lpstr>'Pt 4 Allocation'!OTH_GEN_AND_ADM_EXPENSES_2</vt:lpstr>
      <vt:lpstr>'Pt 4 Allocation'!OTH_GEN_AND_ADM_EXPENSES_3</vt:lpstr>
      <vt:lpstr>'Pt 4 Allocation'!OTH_GEN_AND_ADM_EXPENSES_4</vt:lpstr>
      <vt:lpstr>'Pt 4 Allocation'!OTH_GEN_AND_ADM_EXPENSES_5</vt:lpstr>
      <vt:lpstr>'Pt 4 Allocation'!OTH_GEN_AND_ADM_EXPENSES_6</vt:lpstr>
      <vt:lpstr>'Pt 4 Allocation'!OTH_GEN_AND_ADM_EXPENSES_7</vt:lpstr>
      <vt:lpstr>'Pt 3'!OTH_GOVERNMENT_PROGRAM_PLANS</vt:lpstr>
      <vt:lpstr>'Pt 3'!OTH_HEALTH_BUSINESS</vt:lpstr>
      <vt:lpstr>'Pt 3'!OTH_UNINSURED_SELF_FUNDED_PLANS</vt:lpstr>
      <vt:lpstr>'Pt 1 and 2'!OTHER_GENERAL_AND_ADM_EXPENSES</vt:lpstr>
      <vt:lpstr>'Pt 1 and 2'!OTHER_HEALTH_BUSINESS_YEARLY</vt:lpstr>
      <vt:lpstr>'Pt 4 Allocation'!OTHER_TAXES_1</vt:lpstr>
      <vt:lpstr>'Pt 4 Allocation'!OTHER_TAXES_2</vt:lpstr>
      <vt:lpstr>'Pt 4 Allocation'!OTHER_TAXES_3</vt:lpstr>
      <vt:lpstr>'Pt 4 Allocation'!OTHER_TAXES_4</vt:lpstr>
      <vt:lpstr>'Pt 4 Allocation'!OTHER_TAXES_5</vt:lpstr>
      <vt:lpstr>'Pt 4 Allocation'!OTHER_TAXES_6</vt:lpstr>
      <vt:lpstr>'Pt 4 Allocation'!OTHER_TAXES_7</vt:lpstr>
      <vt:lpstr>'Pt 1 and 2'!PAID_MED_INC_POOLS_BON_CURR_YR</vt:lpstr>
      <vt:lpstr>'Pt 3'!PART3_TOTAL</vt:lpstr>
      <vt:lpstr>'Pt 1 and 2'!PHARMACEUTICAL_REBATES</vt:lpstr>
      <vt:lpstr>'Pt 1 and 2'!PRE_EARNED_INC_FED_STATE_HRP</vt:lpstr>
      <vt:lpstr>'Pt 1 and 2'!PRE_GROUP_CONVERSION_CHARGES</vt:lpstr>
      <vt:lpstr>'Pt 1 and 2'!PRE_RES_EXP_RAT_REF_CURR_YR</vt:lpstr>
      <vt:lpstr>'Pt 1 and 2'!PRE_RES_EXP_RAT_REF_PRIOR_YR</vt:lpstr>
      <vt:lpstr>'Pt 1 and 2'!PRE_TAX_UNDERWRITING_GAIN</vt:lpstr>
      <vt:lpstr>'Pt 5 Rebate Calculation'!PRELIMINARY_MLR</vt:lpstr>
      <vt:lpstr>'Pt 5 Rebate Calculation'!PRELIMINARY_MLR_MINI_MED_EXPAT</vt:lpstr>
      <vt:lpstr>'Pt 1 and 2'!PREM_ASSUMED_UNDER_100_REINS</vt:lpstr>
      <vt:lpstr>'Pt 1 and 2'!PREM_CEDED_UNDER_100_REINS</vt:lpstr>
      <vt:lpstr>'Pt 1 and 2'!PREM_EARN_INC_FASHRP_NET_REINS</vt:lpstr>
      <vt:lpstr>'Pt 1 and 2'!PREMIUM_BALANCES_WRITTEN_OFF</vt:lpstr>
      <vt:lpstr>'Pt 5 Rebate Calculation'!PREMIUM_EARNED_INCLUDING_FSHRP</vt:lpstr>
      <vt:lpstr>'Pt 1 and 2'!PRESCRIPTION_DRUGS</vt:lpstr>
      <vt:lpstr>'Pt 1 and 2'!Print_Area</vt:lpstr>
      <vt:lpstr>'Pt 5 Rebate Calculation'!Print_Area</vt:lpstr>
      <vt:lpstr>'Pt 1 and 2'!Print_Titles</vt:lpstr>
      <vt:lpstr>'Pt 3'!Print_Titles</vt:lpstr>
      <vt:lpstr>'Pt 5 Rebate Calculation'!Print_Titles</vt:lpstr>
      <vt:lpstr>'Pt 5 Rebate Calculation'!QUALITY_IMPROVEMENT_EXPENSES</vt:lpstr>
      <vt:lpstr>'Pt 5 Rebate Calculation'!REBATE_AMT_CREDIBILITY_ADJ_MLR</vt:lpstr>
      <vt:lpstr>'Pt 1 and 2'!REBATES_PAID</vt:lpstr>
      <vt:lpstr>'Pt 4 Allocation'!REG_AUTHORITY_LIC_FEES_1</vt:lpstr>
      <vt:lpstr>'Pt 4 Allocation'!REG_AUTHORITY_LIC_FEES_2</vt:lpstr>
      <vt:lpstr>'Pt 4 Allocation'!REG_AUTHORITY_LIC_FEES_3</vt:lpstr>
      <vt:lpstr>'Pt 4 Allocation'!REG_AUTHORITY_LIC_FEES_4</vt:lpstr>
      <vt:lpstr>'Pt 4 Allocation'!REG_AUTHORITY_LIC_FEES_5</vt:lpstr>
      <vt:lpstr>'Pt 4 Allocation'!REG_AUTHORITY_LIC_FEES_6</vt:lpstr>
      <vt:lpstr>'Pt 1 and 2'!REG_AUTHORITY_LICENSES_AND_FEES</vt:lpstr>
      <vt:lpstr>'Pt 1 and 2'!REPORTING_YEAR</vt:lpstr>
      <vt:lpstr>'Pt 1 and 2'!RES_EXP_RAT_REFUNDS_CURR_YR</vt:lpstr>
      <vt:lpstr>'Pt 1 and 2'!RES_EXP_RAT_REFUNDS_PRIOR_YR</vt:lpstr>
      <vt:lpstr>'Pt 1 and 2'!RISK_REVENUE</vt:lpstr>
      <vt:lpstr>'Pt 1 and 2'!STATE_HIGH_RISK_POOLS</vt:lpstr>
      <vt:lpstr>'Pt 1 and 2'!STATE_INCOME_EXCISE_BUSINES_OTH</vt:lpstr>
      <vt:lpstr>'Pt 4 Allocation'!STATE_INS_PREM_OTH_TAXES_1</vt:lpstr>
      <vt:lpstr>'Pt 4 Allocation'!STATE_INS_PREM_OTH_TAXES_2</vt:lpstr>
      <vt:lpstr>'Pt 4 Allocation'!STATE_INS_PREM_OTH_TAXES_3</vt:lpstr>
      <vt:lpstr>'Pt 4 Allocation'!STATE_INS_PREM_OTH_TAXES_4</vt:lpstr>
      <vt:lpstr>'Pt 4 Allocation'!STATE_INS_PREM_OTH_TAXES_5</vt:lpstr>
      <vt:lpstr>'Pt 4 Allocation'!STATE_INS_PREM_OTH_TAXES_6</vt:lpstr>
      <vt:lpstr>'Pt 1 and 2'!STATE_PREMIUM_TAXES</vt:lpstr>
      <vt:lpstr>'Pt 1 and 2'!STATE_STOP_LOSS_MARKET</vt:lpstr>
      <vt:lpstr>'Pt 1 and 2'!STATE_TAXES_ASSMTS_NOT_EXC_PREM</vt:lpstr>
      <vt:lpstr>STATES_ONLY_LIST</vt:lpstr>
      <vt:lpstr>'Pt 1 and 2'!TOT_DEF_EXP_INCUR_IMP_HLT_CARE</vt:lpstr>
      <vt:lpstr>'Pt 1 and 2'!TOTAL_ADJ_INCURRED_CLAIMS_Q1</vt:lpstr>
      <vt:lpstr>'Pt 1 and 2'!TOTAL_ADJ_INCURRED_CLAIMS_YR</vt:lpstr>
      <vt:lpstr>'Pt 6 Rebate Report'!TOTAL_AMOUNT_OF_REBATES</vt:lpstr>
      <vt:lpstr>'Pt 1 and 2'!TOTAL_DIRECT_PREMIUM_EARNED</vt:lpstr>
      <vt:lpstr>'Pt 1 and 2'!TOTAL_DIRECT_PREMIUM_EARNED_1_11</vt:lpstr>
      <vt:lpstr>'Pt 3'!TOTAL_EXPENSES</vt:lpstr>
      <vt:lpstr>'Pt 1 and 2'!TOTAL_FED_AND_STATE_TAXES_FEES</vt:lpstr>
      <vt:lpstr>'Pt 1 and 2'!TOTAL_FRAUD_REC_RED_PAID_CLAIMS</vt:lpstr>
      <vt:lpstr>'Pt 1 and 2'!TOTAL_FRAUD_REDUCTION_EXPENSE</vt:lpstr>
      <vt:lpstr>'Pt 1 and 2'!TOTAL_NON_CLAIMS_COSTS</vt:lpstr>
      <vt:lpstr>'Pt 1 and 2'!UNEARNED_PREMIUM_CURRENT_YEAR</vt:lpstr>
      <vt:lpstr>'Pt 1 and 2'!UNEARNED_PREMIUM_PRIOR_YEAR</vt:lpstr>
      <vt:lpstr>'Pt 1 and 2'!UNINSURED_PLANS_YEARLY</vt:lpstr>
      <vt:lpstr>'Pt 4 Allocation'!WELLNESS_AND_HEALTH_PROM_ACT_1</vt:lpstr>
      <vt:lpstr>'Pt 4 Allocation'!WELLNESS_AND_HEALTH_PROM_ACT_10</vt:lpstr>
      <vt:lpstr>'Pt 4 Allocation'!WELLNESS_AND_HEALTH_PROM_ACT_2</vt:lpstr>
      <vt:lpstr>'Pt 4 Allocation'!WELLNESS_AND_HEALTH_PROM_ACT_3</vt:lpstr>
      <vt:lpstr>'Pt 4 Allocation'!WELLNESS_AND_HEALTH_PROM_ACT_4</vt:lpstr>
      <vt:lpstr>'Pt 4 Allocation'!WELLNESS_AND_HEALTH_PROM_ACT_5</vt:lpstr>
      <vt:lpstr>'Pt 4 Allocation'!WELLNESS_AND_HEALTH_PROM_ACT_6</vt:lpstr>
      <vt:lpstr>'Pt 4 Allocation'!WELLNESS_AND_HEALTH_PROM_ACT_7</vt:lpstr>
      <vt:lpstr>'Pt 4 Allocation'!WELLNESS_AND_HEALTH_PROM_ACT_8</vt:lpstr>
      <vt:lpstr>'Pt 4 Allocation'!WELLNESS_AND_HEALTH_PROM_ACT_9</vt:lpstr>
      <vt:lpstr>'Pt 1 and 2'!WELLNESS_AND_HEALTH_PROM_ACTS</vt:lpstr>
      <vt:lpstr>YEARS_LIST</vt:lpstr>
      <vt:lpstr>YES_NO_LIST</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Satkowski</dc:creator>
  <cp:lastModifiedBy>John Satkowski</cp:lastModifiedBy>
  <dcterms:created xsi:type="dcterms:W3CDTF">2012-07-24T18:55:00Z</dcterms:created>
  <dcterms:modified xsi:type="dcterms:W3CDTF">2012-07-24T18:55:01Z</dcterms:modified>
</cp:coreProperties>
</file>