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hidePivotFieldList="1" defaultThemeVersion="166925"/>
  <mc:AlternateContent xmlns:mc="http://schemas.openxmlformats.org/markup-compatibility/2006">
    <mc:Choice Requires="x15">
      <x15ac:absPath xmlns:x15ac="http://schemas.microsoft.com/office/spreadsheetml/2010/11/ac" url="https://pstrustorg.sharepoint.com/sites/PipelineSafetyTrust/Shared Documents/Transparency-Studies/State Website Transparency/2023 website review/"/>
    </mc:Choice>
  </mc:AlternateContent>
  <xr:revisionPtr revIDLastSave="1396" documentId="8_{B4D25427-96BA-A14F-9F05-886C228545C5}" xr6:coauthVersionLast="47" xr6:coauthVersionMax="47" xr10:uidLastSave="{5AB919AF-D3FE-1F43-85CA-21318CED9E36}"/>
  <bookViews>
    <workbookView xWindow="4720" yWindow="500" windowWidth="21340" windowHeight="14620" xr2:uid="{BEF8D901-CB8C-724F-B36B-14E8578E92C2}"/>
  </bookViews>
  <sheets>
    <sheet name="2023 Review" sheetId="1" r:id="rId1"/>
    <sheet name="2023 Analysis" sheetId="2" r:id="rId2"/>
    <sheet name="Audits" sheetId="5" r:id="rId3"/>
    <sheet name="categories" sheetId="3" r:id="rId4"/>
    <sheet name="jurisdiction" sheetId="4" r:id="rId5"/>
  </sheets>
  <externalReferences>
    <externalReference r:id="rId6"/>
  </externalReferences>
  <definedNames>
    <definedName name="_xlnm._FilterDatabase" localSheetId="3" hidden="1">categories!$AK$1:$AW$154</definedName>
    <definedName name="_xlnm._FilterDatabase" localSheetId="4" hidden="1">jurisdiction!$A$1:$K$52</definedName>
  </definedNames>
  <calcPr calcId="191029"/>
  <pivotCaches>
    <pivotCache cacheId="0" r:id="rId7"/>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AC3" i="5" l="1"/>
  <c r="AD4" i="5" l="1"/>
  <c r="AD3" i="5"/>
  <c r="AC4" i="5"/>
  <c r="AF16" i="5"/>
  <c r="AC13" i="5"/>
  <c r="AD14" i="5"/>
  <c r="AD12" i="5"/>
  <c r="AD13" i="5"/>
  <c r="AC12" i="5"/>
  <c r="AE12" i="5" s="1"/>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2" i="5"/>
  <c r="W2" i="5"/>
  <c r="AO3" i="5"/>
  <c r="AO2" i="5"/>
  <c r="AN3" i="5"/>
  <c r="AN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2" i="5"/>
  <c r="W3" i="5"/>
  <c r="W4" i="5"/>
  <c r="W5" i="5"/>
  <c r="W6" i="5"/>
  <c r="W7"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2" i="4"/>
  <c r="AE4" i="5" l="1"/>
  <c r="AE3" i="5"/>
  <c r="AE13" i="5"/>
  <c r="V53" i="5"/>
  <c r="W53" i="5"/>
  <c r="AD10" i="5"/>
  <c r="AP3" i="5"/>
  <c r="AP2" i="5"/>
  <c r="AD9" i="5"/>
  <c r="AC8" i="5"/>
  <c r="AD8" i="5"/>
  <c r="AC9" i="5"/>
  <c r="AC10" i="5"/>
  <c r="AE10" i="5" l="1"/>
  <c r="AE9" i="5"/>
  <c r="AE8" i="5"/>
  <c r="AF8" i="5" l="1"/>
  <c r="J85" i="2" l="1"/>
  <c r="K85" i="2"/>
  <c r="L85" i="2"/>
  <c r="M85" i="2"/>
  <c r="N85" i="2"/>
  <c r="J86" i="2"/>
  <c r="K86" i="2"/>
  <c r="L86" i="2"/>
  <c r="M86" i="2"/>
  <c r="N86" i="2"/>
  <c r="J87" i="2"/>
  <c r="K87" i="2"/>
  <c r="L87" i="2"/>
  <c r="M87" i="2"/>
  <c r="N87" i="2"/>
  <c r="J88" i="2"/>
  <c r="K88" i="2"/>
  <c r="L88" i="2"/>
  <c r="M88" i="2"/>
  <c r="N88" i="2"/>
  <c r="C85" i="2"/>
  <c r="D85" i="2"/>
  <c r="F85" i="2"/>
  <c r="G85" i="2"/>
  <c r="H85" i="2"/>
  <c r="C86" i="2"/>
  <c r="D86" i="2"/>
  <c r="F86" i="2"/>
  <c r="G86" i="2"/>
  <c r="H86" i="2"/>
  <c r="C87" i="2"/>
  <c r="D87" i="2"/>
  <c r="F87" i="2"/>
  <c r="G87" i="2"/>
  <c r="H87" i="2"/>
  <c r="C88" i="2"/>
  <c r="D88" i="2"/>
  <c r="F88" i="2"/>
  <c r="G88" i="2"/>
  <c r="H88" i="2"/>
  <c r="B86" i="2"/>
  <c r="B87" i="2"/>
  <c r="B88" i="2"/>
  <c r="B85" i="2"/>
  <c r="H73" i="2"/>
  <c r="I76" i="2"/>
  <c r="I74" i="2"/>
  <c r="G75" i="2"/>
  <c r="G74" i="2"/>
  <c r="I73" i="2"/>
  <c r="G73" i="2"/>
  <c r="J74" i="2"/>
  <c r="G76" i="2"/>
  <c r="H74" i="2"/>
  <c r="J76" i="2"/>
  <c r="J75" i="2"/>
  <c r="H76" i="2"/>
  <c r="H75" i="2"/>
  <c r="J73" i="2"/>
  <c r="I75" i="2"/>
  <c r="G79" i="2" l="1"/>
  <c r="I80" i="2"/>
  <c r="H80" i="2"/>
  <c r="J80" i="2"/>
  <c r="G80" i="2"/>
  <c r="I79" i="2"/>
  <c r="G78" i="2"/>
  <c r="I78" i="2"/>
  <c r="H79" i="2"/>
  <c r="J79" i="2"/>
  <c r="H78" i="2"/>
  <c r="J78" i="2"/>
  <c r="B54" i="2"/>
  <c r="C54" i="2"/>
  <c r="D54" i="2"/>
  <c r="F54" i="2"/>
  <c r="G54" i="2"/>
  <c r="H54" i="2"/>
  <c r="J54" i="2"/>
  <c r="K54" i="2"/>
  <c r="L54" i="2"/>
  <c r="M54" i="2"/>
  <c r="N54" i="2"/>
  <c r="O21" i="2"/>
  <c r="O22" i="2"/>
  <c r="O23" i="2"/>
  <c r="O7" i="2"/>
  <c r="O24" i="2"/>
  <c r="O25" i="2"/>
  <c r="O26" i="2"/>
  <c r="O27" i="2"/>
  <c r="O28" i="2"/>
  <c r="O36" i="2"/>
  <c r="O9" i="2"/>
  <c r="O12" i="2"/>
  <c r="O37" i="2"/>
  <c r="O5" i="2"/>
  <c r="O50" i="2"/>
  <c r="O43" i="2"/>
  <c r="O51" i="2"/>
  <c r="O11" i="2"/>
  <c r="O6" i="2"/>
  <c r="O4" i="2"/>
  <c r="O3" i="2"/>
  <c r="O29" i="2"/>
  <c r="O30" i="2"/>
  <c r="O38" i="2"/>
  <c r="O44" i="2"/>
  <c r="O39" i="2"/>
  <c r="O40" i="2"/>
  <c r="O31" i="2"/>
  <c r="O13" i="2"/>
  <c r="O20" i="2"/>
  <c r="O8" i="2"/>
  <c r="O2" i="2"/>
  <c r="O32" i="2"/>
  <c r="O33" i="2"/>
  <c r="O34" i="2"/>
  <c r="O14" i="2"/>
  <c r="O19" i="2"/>
  <c r="O15" i="2"/>
  <c r="O16" i="2"/>
  <c r="O48" i="2"/>
  <c r="O35" i="2"/>
  <c r="O49" i="2"/>
  <c r="O41" i="2"/>
  <c r="O52" i="2"/>
  <c r="O10" i="2"/>
  <c r="O45" i="2"/>
  <c r="O46" i="2"/>
  <c r="O17" i="2"/>
  <c r="O18" i="2"/>
  <c r="O47" i="2"/>
  <c r="O42" i="2"/>
  <c r="I21" i="2"/>
  <c r="I22" i="2"/>
  <c r="I23" i="2"/>
  <c r="I7" i="2"/>
  <c r="I24" i="2"/>
  <c r="I25" i="2"/>
  <c r="I26" i="2"/>
  <c r="I27" i="2"/>
  <c r="I28" i="2"/>
  <c r="I36" i="2"/>
  <c r="I9" i="2"/>
  <c r="I12" i="2"/>
  <c r="I37" i="2"/>
  <c r="I5" i="2"/>
  <c r="I50" i="2"/>
  <c r="I43" i="2"/>
  <c r="I51" i="2"/>
  <c r="I11" i="2"/>
  <c r="I6" i="2"/>
  <c r="I4" i="2"/>
  <c r="I3" i="2"/>
  <c r="I29" i="2"/>
  <c r="I30" i="2"/>
  <c r="I38" i="2"/>
  <c r="I44" i="2"/>
  <c r="I39" i="2"/>
  <c r="I40" i="2"/>
  <c r="I31" i="2"/>
  <c r="I13" i="2"/>
  <c r="I20" i="2"/>
  <c r="I8" i="2"/>
  <c r="I2" i="2"/>
  <c r="I32" i="2"/>
  <c r="I33" i="2"/>
  <c r="I34" i="2"/>
  <c r="I14" i="2"/>
  <c r="I19" i="2"/>
  <c r="I15" i="2"/>
  <c r="I16" i="2"/>
  <c r="I48" i="2"/>
  <c r="I35" i="2"/>
  <c r="I49" i="2"/>
  <c r="I41" i="2"/>
  <c r="I52" i="2"/>
  <c r="I10" i="2"/>
  <c r="I45" i="2"/>
  <c r="I46" i="2"/>
  <c r="I17" i="2"/>
  <c r="I18" i="2"/>
  <c r="I47" i="2"/>
  <c r="I42" i="2"/>
  <c r="E21" i="2"/>
  <c r="E22" i="2"/>
  <c r="E23" i="2"/>
  <c r="E7" i="2"/>
  <c r="E24" i="2"/>
  <c r="E25" i="2"/>
  <c r="E26" i="2"/>
  <c r="E27" i="2"/>
  <c r="E28" i="2"/>
  <c r="E36" i="2"/>
  <c r="E9" i="2"/>
  <c r="E12" i="2"/>
  <c r="E37" i="2"/>
  <c r="E5" i="2"/>
  <c r="E50" i="2"/>
  <c r="E43" i="2"/>
  <c r="E51" i="2"/>
  <c r="E11" i="2"/>
  <c r="E6" i="2"/>
  <c r="E4" i="2"/>
  <c r="E3" i="2"/>
  <c r="E29" i="2"/>
  <c r="E30" i="2"/>
  <c r="E38" i="2"/>
  <c r="E44" i="2"/>
  <c r="E39" i="2"/>
  <c r="E40" i="2"/>
  <c r="E31" i="2"/>
  <c r="E13" i="2"/>
  <c r="E20" i="2"/>
  <c r="E8" i="2"/>
  <c r="E2" i="2"/>
  <c r="E32" i="2"/>
  <c r="E33" i="2"/>
  <c r="E34" i="2"/>
  <c r="E14" i="2"/>
  <c r="E19" i="2"/>
  <c r="E15" i="2"/>
  <c r="E16" i="2"/>
  <c r="E48" i="2"/>
  <c r="E35" i="2"/>
  <c r="E49" i="2"/>
  <c r="E41" i="2"/>
  <c r="E52" i="2"/>
  <c r="E10" i="2"/>
  <c r="E45" i="2"/>
  <c r="E46" i="2"/>
  <c r="E17" i="2"/>
  <c r="E18" i="2"/>
  <c r="E47" i="2"/>
  <c r="E42" i="2"/>
  <c r="Q42" i="2"/>
  <c r="P42" i="2"/>
  <c r="T42" i="2" s="1"/>
  <c r="Q47" i="2"/>
  <c r="P47" i="2"/>
  <c r="T47" i="2" s="1"/>
  <c r="Q18" i="2"/>
  <c r="P18" i="2"/>
  <c r="T18" i="2" s="1"/>
  <c r="Q17" i="2"/>
  <c r="P17" i="2"/>
  <c r="T17" i="2" s="1"/>
  <c r="Q46" i="2"/>
  <c r="P46" i="2"/>
  <c r="T46" i="2" s="1"/>
  <c r="Q45" i="2"/>
  <c r="P45" i="2"/>
  <c r="T45" i="2" s="1"/>
  <c r="Q10" i="2"/>
  <c r="P10" i="2"/>
  <c r="T10" i="2" s="1"/>
  <c r="Q52" i="2"/>
  <c r="P52" i="2"/>
  <c r="T52" i="2" s="1"/>
  <c r="Q41" i="2"/>
  <c r="P41" i="2"/>
  <c r="T41" i="2" s="1"/>
  <c r="Q49" i="2"/>
  <c r="P49" i="2"/>
  <c r="T49" i="2" s="1"/>
  <c r="Q35" i="2"/>
  <c r="P35" i="2"/>
  <c r="T35" i="2" s="1"/>
  <c r="Q48" i="2"/>
  <c r="P48" i="2"/>
  <c r="T48" i="2" s="1"/>
  <c r="Q16" i="2"/>
  <c r="P16" i="2"/>
  <c r="T16" i="2" s="1"/>
  <c r="Q15" i="2"/>
  <c r="P15" i="2"/>
  <c r="T15" i="2" s="1"/>
  <c r="Q19" i="2"/>
  <c r="P19" i="2"/>
  <c r="T19" i="2" s="1"/>
  <c r="Q14" i="2"/>
  <c r="P14" i="2"/>
  <c r="T14" i="2" s="1"/>
  <c r="Q34" i="2"/>
  <c r="P34" i="2"/>
  <c r="T34" i="2" s="1"/>
  <c r="Q33" i="2"/>
  <c r="P33" i="2"/>
  <c r="T33" i="2" s="1"/>
  <c r="Q32" i="2"/>
  <c r="P32" i="2"/>
  <c r="T32" i="2" s="1"/>
  <c r="Q2" i="2"/>
  <c r="P2" i="2"/>
  <c r="T2" i="2" s="1"/>
  <c r="Q8" i="2"/>
  <c r="P8" i="2"/>
  <c r="T8" i="2" s="1"/>
  <c r="Q20" i="2"/>
  <c r="P20" i="2"/>
  <c r="T20" i="2" s="1"/>
  <c r="Q13" i="2"/>
  <c r="P13" i="2"/>
  <c r="T13" i="2" s="1"/>
  <c r="Q31" i="2"/>
  <c r="P31" i="2"/>
  <c r="T31" i="2" s="1"/>
  <c r="Q40" i="2"/>
  <c r="P40" i="2"/>
  <c r="T40" i="2" s="1"/>
  <c r="Q39" i="2"/>
  <c r="P39" i="2"/>
  <c r="T39" i="2" s="1"/>
  <c r="Q44" i="2"/>
  <c r="P44" i="2"/>
  <c r="T44" i="2" s="1"/>
  <c r="Q38" i="2"/>
  <c r="P38" i="2"/>
  <c r="T38" i="2" s="1"/>
  <c r="Q30" i="2"/>
  <c r="P30" i="2"/>
  <c r="T30" i="2" s="1"/>
  <c r="Q29" i="2"/>
  <c r="P29" i="2"/>
  <c r="T29" i="2" s="1"/>
  <c r="Q3" i="2"/>
  <c r="P3" i="2"/>
  <c r="T3" i="2" s="1"/>
  <c r="Q4" i="2"/>
  <c r="P4" i="2"/>
  <c r="T4" i="2" s="1"/>
  <c r="Q6" i="2"/>
  <c r="P6" i="2"/>
  <c r="T6" i="2" s="1"/>
  <c r="Q11" i="2"/>
  <c r="P11" i="2"/>
  <c r="T11" i="2" s="1"/>
  <c r="Q51" i="2"/>
  <c r="P51" i="2"/>
  <c r="T51" i="2" s="1"/>
  <c r="Q43" i="2"/>
  <c r="P43" i="2"/>
  <c r="T43" i="2" s="1"/>
  <c r="Q50" i="2"/>
  <c r="P50" i="2"/>
  <c r="T50" i="2" s="1"/>
  <c r="Q5" i="2"/>
  <c r="P5" i="2"/>
  <c r="T5" i="2" s="1"/>
  <c r="Q37" i="2"/>
  <c r="P37" i="2"/>
  <c r="T37" i="2" s="1"/>
  <c r="Q12" i="2"/>
  <c r="P12" i="2"/>
  <c r="T12" i="2" s="1"/>
  <c r="Q9" i="2"/>
  <c r="P9" i="2"/>
  <c r="T9" i="2" s="1"/>
  <c r="Q36" i="2"/>
  <c r="P36" i="2"/>
  <c r="T36" i="2" s="1"/>
  <c r="Q28" i="2"/>
  <c r="P28" i="2"/>
  <c r="T28" i="2" s="1"/>
  <c r="Q27" i="2"/>
  <c r="P27" i="2"/>
  <c r="T27" i="2" s="1"/>
  <c r="Q26" i="2"/>
  <c r="P26" i="2"/>
  <c r="T26" i="2" s="1"/>
  <c r="Q25" i="2"/>
  <c r="P25" i="2"/>
  <c r="T25" i="2" s="1"/>
  <c r="Q24" i="2"/>
  <c r="P24" i="2"/>
  <c r="T24" i="2" s="1"/>
  <c r="Q7" i="2"/>
  <c r="P7" i="2"/>
  <c r="T7" i="2" s="1"/>
  <c r="Q23" i="2"/>
  <c r="P23" i="2"/>
  <c r="T23" i="2" s="1"/>
  <c r="Q22" i="2"/>
  <c r="P22" i="2"/>
  <c r="T22" i="2" s="1"/>
  <c r="Q21" i="2"/>
  <c r="P21" i="2"/>
  <c r="T21" i="2" s="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27" i="1"/>
  <c r="M27" i="1"/>
  <c r="N38" i="1"/>
  <c r="M38" i="1"/>
  <c r="N37" i="1"/>
  <c r="O37" i="1" s="1"/>
  <c r="M37" i="1"/>
  <c r="N36" i="1"/>
  <c r="M36" i="1"/>
  <c r="N35" i="1"/>
  <c r="M35" i="1"/>
  <c r="N22" i="1"/>
  <c r="M22" i="1"/>
  <c r="N34" i="1"/>
  <c r="O34" i="1" s="1"/>
  <c r="M34" i="1"/>
  <c r="N33" i="1"/>
  <c r="M33" i="1"/>
  <c r="N32" i="1"/>
  <c r="M32" i="1"/>
  <c r="N31" i="1"/>
  <c r="M31" i="1"/>
  <c r="N30" i="1"/>
  <c r="M30" i="1"/>
  <c r="N29" i="1"/>
  <c r="M29" i="1"/>
  <c r="N28" i="1"/>
  <c r="M28" i="1"/>
  <c r="N26" i="1"/>
  <c r="M26" i="1"/>
  <c r="N25" i="1"/>
  <c r="M25" i="1"/>
  <c r="N24" i="1"/>
  <c r="M24" i="1"/>
  <c r="N17" i="1"/>
  <c r="M17" i="1"/>
  <c r="N16" i="1"/>
  <c r="M16" i="1"/>
  <c r="N11" i="1"/>
  <c r="M11" i="1"/>
  <c r="N23" i="1"/>
  <c r="M23" i="1"/>
  <c r="N21" i="1"/>
  <c r="M21" i="1"/>
  <c r="N20" i="1"/>
  <c r="M20" i="1"/>
  <c r="N19" i="1"/>
  <c r="M19" i="1"/>
  <c r="N18" i="1"/>
  <c r="M18" i="1"/>
  <c r="N15" i="1"/>
  <c r="M15" i="1"/>
  <c r="N14" i="1"/>
  <c r="M14" i="1"/>
  <c r="N13" i="1"/>
  <c r="M13" i="1"/>
  <c r="N12" i="1"/>
  <c r="M12" i="1"/>
  <c r="N10" i="1"/>
  <c r="M10" i="1"/>
  <c r="N9" i="1"/>
  <c r="M9" i="1"/>
  <c r="N8" i="1"/>
  <c r="M8" i="1"/>
  <c r="N6" i="1"/>
  <c r="M6" i="1"/>
  <c r="N7" i="1"/>
  <c r="N5" i="1"/>
  <c r="M5" i="1"/>
  <c r="N4" i="1"/>
  <c r="M4" i="1"/>
  <c r="N3" i="1"/>
  <c r="M3" i="1"/>
  <c r="N2" i="1"/>
  <c r="M2" i="1"/>
  <c r="M54" i="1" l="1"/>
  <c r="F111" i="2"/>
  <c r="F105" i="2"/>
  <c r="F95" i="2"/>
  <c r="H108" i="2"/>
  <c r="F108" i="2"/>
  <c r="F114" i="2"/>
  <c r="G114" i="2"/>
  <c r="G108" i="2"/>
  <c r="H114" i="2"/>
  <c r="H99" i="2"/>
  <c r="G98" i="2"/>
  <c r="F100" i="2"/>
  <c r="F98" i="2"/>
  <c r="H100" i="2"/>
  <c r="F99" i="2"/>
  <c r="H101" i="2"/>
  <c r="G100" i="2"/>
  <c r="G99" i="2"/>
  <c r="H98" i="2"/>
  <c r="F101" i="2"/>
  <c r="G101" i="2"/>
  <c r="H105" i="2"/>
  <c r="H111" i="2"/>
  <c r="G106" i="2"/>
  <c r="G112" i="2"/>
  <c r="G95" i="2"/>
  <c r="H94" i="2"/>
  <c r="G92" i="2"/>
  <c r="G93" i="2"/>
  <c r="H93" i="2"/>
  <c r="F92" i="2"/>
  <c r="G94" i="2"/>
  <c r="F93" i="2"/>
  <c r="H95" i="2"/>
  <c r="F94" i="2"/>
  <c r="H92" i="2"/>
  <c r="G107" i="2"/>
  <c r="G113" i="2"/>
  <c r="F106" i="2"/>
  <c r="F112" i="2"/>
  <c r="G105" i="2"/>
  <c r="G111" i="2"/>
  <c r="F113" i="2"/>
  <c r="F107" i="2"/>
  <c r="H106" i="2"/>
  <c r="H112" i="2"/>
  <c r="H113" i="2"/>
  <c r="H107" i="2"/>
  <c r="I54" i="2"/>
  <c r="I55" i="2" s="1"/>
  <c r="O54" i="2"/>
  <c r="O55" i="2" s="1"/>
  <c r="E54" i="2"/>
  <c r="E55" i="2" s="1"/>
  <c r="N54" i="1"/>
  <c r="R37" i="2"/>
  <c r="R3" i="2"/>
  <c r="R13" i="2"/>
  <c r="R22" i="2"/>
  <c r="R36" i="2"/>
  <c r="R7" i="2"/>
  <c r="R27" i="2"/>
  <c r="R4" i="2"/>
  <c r="R38" i="2"/>
  <c r="R31" i="2"/>
  <c r="R2" i="2"/>
  <c r="R28" i="2"/>
  <c r="R35" i="2"/>
  <c r="R29" i="2"/>
  <c r="R39" i="2"/>
  <c r="R20" i="2"/>
  <c r="R33" i="2"/>
  <c r="R49" i="2"/>
  <c r="R45" i="2"/>
  <c r="R23" i="2"/>
  <c r="R26" i="2"/>
  <c r="R6" i="2"/>
  <c r="R30" i="2"/>
  <c r="R16" i="2"/>
  <c r="R46" i="2"/>
  <c r="R11" i="2"/>
  <c r="R17" i="2"/>
  <c r="R18" i="2"/>
  <c r="R34" i="2"/>
  <c r="R47" i="2"/>
  <c r="R24" i="2"/>
  <c r="R51" i="2"/>
  <c r="R44" i="2"/>
  <c r="R14" i="2"/>
  <c r="R48" i="2"/>
  <c r="R41" i="2"/>
  <c r="R19" i="2"/>
  <c r="R10" i="2"/>
  <c r="R40" i="2"/>
  <c r="R25" i="2"/>
  <c r="R32" i="2"/>
  <c r="R52" i="2"/>
  <c r="R21" i="2"/>
  <c r="R12" i="2"/>
  <c r="R43" i="2"/>
  <c r="R8" i="2"/>
  <c r="R15" i="2"/>
  <c r="Q54" i="2"/>
  <c r="R5" i="2"/>
  <c r="R9" i="2"/>
  <c r="R50" i="2"/>
  <c r="R42" i="2"/>
  <c r="P54" i="2"/>
  <c r="O10" i="1"/>
  <c r="O15" i="1"/>
  <c r="O27" i="1"/>
  <c r="O14" i="1"/>
  <c r="O31" i="1"/>
  <c r="O42" i="1"/>
  <c r="O49" i="1"/>
  <c r="O6" i="1"/>
  <c r="O12" i="1"/>
  <c r="O43" i="1"/>
  <c r="O8" i="1"/>
  <c r="O13" i="1"/>
  <c r="O44" i="1"/>
  <c r="O48" i="1"/>
  <c r="O22" i="1"/>
  <c r="O45" i="1"/>
  <c r="O32" i="1"/>
  <c r="O35" i="1"/>
  <c r="O20" i="1"/>
  <c r="O7" i="1"/>
  <c r="O18" i="1"/>
  <c r="O23" i="1"/>
  <c r="O24" i="1"/>
  <c r="O29" i="1"/>
  <c r="O33" i="1"/>
  <c r="O36" i="1"/>
  <c r="O19" i="1"/>
  <c r="O11" i="1"/>
  <c r="O25" i="1"/>
  <c r="O30" i="1"/>
  <c r="O39" i="1"/>
  <c r="O47" i="1"/>
  <c r="O4" i="1"/>
  <c r="O5" i="1"/>
  <c r="O41" i="1"/>
  <c r="O2" i="1"/>
  <c r="O9" i="1"/>
  <c r="O16" i="1"/>
  <c r="O26" i="1"/>
  <c r="O46" i="1"/>
  <c r="O38" i="1"/>
  <c r="O50" i="1"/>
  <c r="O3" i="1"/>
  <c r="O21" i="1"/>
  <c r="O17" i="1"/>
  <c r="O28" i="1"/>
  <c r="O51" i="1"/>
  <c r="O40" i="1"/>
  <c r="O52" i="1"/>
  <c r="B58" i="2" l="1"/>
  <c r="C59" i="2"/>
  <c r="C60" i="2"/>
  <c r="C58" i="2"/>
  <c r="D58" i="2" s="1"/>
  <c r="B60" i="2"/>
  <c r="B59" i="2"/>
  <c r="O54" i="1"/>
  <c r="R54" i="2"/>
  <c r="D60" i="2" l="1"/>
  <c r="D59" i="2"/>
</calcChain>
</file>

<file path=xl/sharedStrings.xml><?xml version="1.0" encoding="utf-8"?>
<sst xmlns="http://schemas.openxmlformats.org/spreadsheetml/2006/main" count="2260" uniqueCount="218">
  <si>
    <t>Column1</t>
  </si>
  <si>
    <t>1. Finding agency web site</t>
  </si>
  <si>
    <t>2. Contacts for agency staff</t>
  </si>
  <si>
    <t>3. Access to statutes, regulations</t>
  </si>
  <si>
    <t>4. Describe what state regulates</t>
  </si>
  <si>
    <t>5. Transmission pipeline maps</t>
  </si>
  <si>
    <t>6. Pipeline company contact info</t>
  </si>
  <si>
    <t>7. Inspection records</t>
  </si>
  <si>
    <t>8. Incident data</t>
  </si>
  <si>
    <t>9. Enforcement data</t>
  </si>
  <si>
    <t>10. Excavation damage data</t>
  </si>
  <si>
    <t>11. Siting &amp; routing info</t>
  </si>
  <si>
    <t>2023 Total Score</t>
  </si>
  <si>
    <t>2022</t>
  </si>
  <si>
    <t>Difference</t>
  </si>
  <si>
    <t>Illinois</t>
  </si>
  <si>
    <t>Nevada</t>
  </si>
  <si>
    <t>Washington</t>
  </si>
  <si>
    <t>Wisconsin</t>
  </si>
  <si>
    <t>Arkansas</t>
  </si>
  <si>
    <t>California Gas</t>
  </si>
  <si>
    <t>Louisiana</t>
  </si>
  <si>
    <t>Minnesota</t>
  </si>
  <si>
    <t>Nebraska</t>
  </si>
  <si>
    <t>Connecticut</t>
  </si>
  <si>
    <t>Indiana</t>
  </si>
  <si>
    <t>Montana</t>
  </si>
  <si>
    <t>West Virginia</t>
  </si>
  <si>
    <t>Iowa</t>
  </si>
  <si>
    <t>Maine</t>
  </si>
  <si>
    <t>New York</t>
  </si>
  <si>
    <t>New Hampshire</t>
  </si>
  <si>
    <t>Idaho</t>
  </si>
  <si>
    <t>Massachusetts</t>
  </si>
  <si>
    <t>Texas</t>
  </si>
  <si>
    <t>California Liquid*</t>
  </si>
  <si>
    <t>Pennsylvania</t>
  </si>
  <si>
    <t>South Dakota</t>
  </si>
  <si>
    <t>Virginia</t>
  </si>
  <si>
    <t>Mississippi</t>
  </si>
  <si>
    <t>Missouri</t>
  </si>
  <si>
    <t>New Jersey</t>
  </si>
  <si>
    <t>North Dakota</t>
  </si>
  <si>
    <t>South Carolina</t>
  </si>
  <si>
    <t>Utah</t>
  </si>
  <si>
    <t>Arkansas OGC</t>
  </si>
  <si>
    <t>Michigan</t>
  </si>
  <si>
    <t>New Mexico</t>
  </si>
  <si>
    <t>Kentucky</t>
  </si>
  <si>
    <t>North Carolina</t>
  </si>
  <si>
    <t>Delaware</t>
  </si>
  <si>
    <t>Arizona</t>
  </si>
  <si>
    <t>Rhode Island</t>
  </si>
  <si>
    <t>Wyoming</t>
  </si>
  <si>
    <t>Georgia</t>
  </si>
  <si>
    <t>Kansas</t>
  </si>
  <si>
    <t>Ohio</t>
  </si>
  <si>
    <t>Alabama</t>
  </si>
  <si>
    <t>Colorado</t>
  </si>
  <si>
    <t>Maryland</t>
  </si>
  <si>
    <t>Oklahoma</t>
  </si>
  <si>
    <t>Tennessee</t>
  </si>
  <si>
    <t>DC</t>
  </si>
  <si>
    <t>Vermont</t>
  </si>
  <si>
    <t>Oregon</t>
  </si>
  <si>
    <t>Florida</t>
  </si>
  <si>
    <t>Inidividual Audit Requested</t>
  </si>
  <si>
    <t>Rank</t>
  </si>
  <si>
    <t>Communications</t>
  </si>
  <si>
    <t>Agency Authority</t>
  </si>
  <si>
    <t>Data + Maps</t>
  </si>
  <si>
    <t>Rating</t>
  </si>
  <si>
    <t>Row Labels</t>
  </si>
  <si>
    <t>(blank)</t>
  </si>
  <si>
    <t>Grand Total</t>
  </si>
  <si>
    <t>Average of Communications</t>
  </si>
  <si>
    <t>Average of Agency Authority</t>
  </si>
  <si>
    <t>Average of Data + Maps</t>
  </si>
  <si>
    <t>Average of 2023 Total Score</t>
  </si>
  <si>
    <t>Average of Difference</t>
  </si>
  <si>
    <t>1 Excellent</t>
  </si>
  <si>
    <t>2 Good</t>
  </si>
  <si>
    <t>3 Passing</t>
  </si>
  <si>
    <t>4 Failing</t>
  </si>
  <si>
    <t>Comms</t>
  </si>
  <si>
    <t>Total</t>
  </si>
  <si>
    <t>Score</t>
  </si>
  <si>
    <t>pct</t>
  </si>
  <si>
    <t>Data and Maps</t>
  </si>
  <si>
    <t>category</t>
  </si>
  <si>
    <t>All scores the same</t>
  </si>
  <si>
    <t>Best is 3</t>
  </si>
  <si>
    <t>Best is between 2 and 3</t>
  </si>
  <si>
    <t>Best is below 2</t>
  </si>
  <si>
    <t>Worst is 3</t>
  </si>
  <si>
    <t>Worst is between 2 and 3</t>
  </si>
  <si>
    <t>Worst is below 2</t>
  </si>
  <si>
    <t>Exemplary Transparency</t>
  </si>
  <si>
    <t>NA</t>
  </si>
  <si>
    <t>Extra best</t>
  </si>
  <si>
    <t>This state did well in all the categories! Great Job!</t>
  </si>
  <si>
    <t xml:space="preserve">This category was especially good. </t>
  </si>
  <si>
    <t>Exemplary Overall Transparency</t>
  </si>
  <si>
    <t xml:space="preserve">You did well in this one category </t>
  </si>
  <si>
    <t>Commendable Transparency</t>
  </si>
  <si>
    <t xml:space="preserve">You did not do very well actually but this was the best of the worst. Maybe you did well in a specific criteria? </t>
  </si>
  <si>
    <t>Two best scores, One worst score</t>
  </si>
  <si>
    <t>One best score, One worst score</t>
  </si>
  <si>
    <t>Two worst scores, One best score</t>
  </si>
  <si>
    <t>Positive Box Name</t>
  </si>
  <si>
    <t>Negative Box Name</t>
  </si>
  <si>
    <t>Exemplary</t>
  </si>
  <si>
    <t>Commendable</t>
  </si>
  <si>
    <t>Area for Improvement</t>
  </si>
  <si>
    <t>Overall Exemplary</t>
  </si>
  <si>
    <t>Strongest Category</t>
  </si>
  <si>
    <t>Area for Growth</t>
  </si>
  <si>
    <t>text</t>
  </si>
  <si>
    <t>Connection</t>
  </si>
  <si>
    <t>It is important for members of the public to be able to easily find the regulator’s website, contact information for agency staff, and contact information for pipeline companies operating within the state.</t>
  </si>
  <si>
    <t xml:space="preserve">It is important for members of the public to be able to easily find clear information about what types of pipelines and pipeline safety issues an agency regulates. </t>
  </si>
  <si>
    <t>It is important for members of the public to be able to easily access maps of pipelines and data on inspections, excavation damage, and enforcement actions.</t>
  </si>
  <si>
    <t>All Categories</t>
  </si>
  <si>
    <t xml:space="preserve">This state program earned full points in this review. </t>
  </si>
  <si>
    <t xml:space="preserve">It is important for members of the public to be able to easily access maps of pipelines and data on inspections, excavation damage, and enforcement actions. </t>
  </si>
  <si>
    <t>Negative box symbol</t>
  </si>
  <si>
    <t>Minus</t>
  </si>
  <si>
    <t>(Symbol for growth)</t>
  </si>
  <si>
    <t>intra</t>
  </si>
  <si>
    <t>pipelines</t>
  </si>
  <si>
    <t>and intra</t>
  </si>
  <si>
    <t xml:space="preserve">state </t>
  </si>
  <si>
    <t xml:space="preserve">natural gas </t>
  </si>
  <si>
    <t xml:space="preserve">harzardous liquid </t>
  </si>
  <si>
    <t>State</t>
  </si>
  <si>
    <t>2022 Total Score</t>
  </si>
  <si>
    <t>California Gas*</t>
  </si>
  <si>
    <t>Total Score</t>
  </si>
  <si>
    <t>2020 Total Score</t>
  </si>
  <si>
    <t>Alaska</t>
  </si>
  <si>
    <t>2018 Total Score</t>
  </si>
  <si>
    <t>N/A</t>
  </si>
  <si>
    <t>2020</t>
  </si>
  <si>
    <t>2018 Audit</t>
  </si>
  <si>
    <t>2022 Audit</t>
  </si>
  <si>
    <t>Any audit</t>
  </si>
  <si>
    <t>Program Abreviation</t>
  </si>
  <si>
    <t>AL</t>
  </si>
  <si>
    <t>AZ</t>
  </si>
  <si>
    <t>AR</t>
  </si>
  <si>
    <t>AR-O</t>
  </si>
  <si>
    <t>CA-G</t>
  </si>
  <si>
    <t>California</t>
  </si>
  <si>
    <t>CA-L</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</si>
  <si>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</si>
  <si>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</si>
  <si>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</si>
  <si>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</si>
  <si>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</si>
  <si>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</si>
  <si>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</si>
  <si>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</si>
  <si>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</si>
  <si>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</si>
  <si>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</si>
  <si>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</si>
  <si>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</si>
  <si>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</si>
  <si>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</si>
  <si>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</si>
  <si>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</si>
  <si>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</si>
  <si>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</si>
  <si>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</si>
  <si>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</si>
  <si>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</si>
  <si>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</si>
  <si>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</si>
  <si>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</si>
  <si>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</si>
  <si>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</si>
  <si>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</si>
  <si>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</si>
  <si>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</si>
  <si>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</si>
  <si>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</si>
  <si>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</si>
  <si>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</si>
  <si>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</si>
  <si>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</si>
  <si>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</si>
  <si>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</si>
  <si>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VA</t>
  </si>
  <si>
    <t>VT</t>
  </si>
  <si>
    <t>WA</t>
  </si>
  <si>
    <t>WV</t>
  </si>
  <si>
    <t>WI</t>
  </si>
  <si>
    <t>WY</t>
  </si>
  <si>
    <t>5 yr score change</t>
  </si>
  <si>
    <t>Audited</t>
  </si>
  <si>
    <t>Not audited</t>
  </si>
  <si>
    <t>Audited, exclude CO</t>
  </si>
  <si>
    <t>Change from 2016</t>
  </si>
  <si>
    <t>Audit year</t>
  </si>
  <si>
    <t>Non-audit year</t>
  </si>
  <si>
    <t>All audits</t>
  </si>
  <si>
    <t>2023 audit</t>
  </si>
  <si>
    <t>Ever Audited within 5yrs</t>
  </si>
  <si>
    <t>Never audited within 5yrs</t>
  </si>
  <si>
    <t>2023 - Michigan</t>
  </si>
  <si>
    <t>2023 Not Audited</t>
  </si>
  <si>
    <t>2023 Audited Average</t>
  </si>
  <si>
    <t>No change</t>
  </si>
  <si>
    <t>Improved</t>
  </si>
  <si>
    <t>Declined</t>
  </si>
  <si>
    <t xml:space="preserve"> &amp; inter</t>
  </si>
  <si>
    <t xml:space="preserve"> &amp; inter </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</si>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</sst>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
    <numFmt numFmtId="165" formatCode="0.0"/>
  </numFmts>
  <fonts count="17" x14ac:knownFonts="1">
    <font>
      <sz val="12"/>
      <color theme="1"/>
      <name val="Calibri"/>
      <family val="2"/>
      <scheme val="minor"/>
    </font>
    <font>
      <sz val="12"/>
      <color theme="1"/>
      <name val="Calibri"/>
      <family val="2"/>
      <scheme val="minor"/>
    </font>
    <font>
      <u/>
      <sz val="12"/>
      <color theme="10"/>
      <name val="Calibri"/>
      <family val="2"/>
      <scheme val="minor"/>
    </font>
    <font>
      <sz val="12"/>
      <color rgb="FF0000FF"/>
      <name val="Calibri"/>
      <family val="2"/>
      <scheme val="minor"/>
    </font>
    <font>
      <sz val="12"/>
      <color rgb="FF000000"/>
      <name val="Calibri"/>
      <family val="2"/>
      <scheme val="minor"/>
    </font>
    <font>
      <sz val="12"/>
      <color rgb="FF000000"/>
      <name val="Calibri"/>
      <family val="2"/>
    </font>
    <font>
      <b/>
      <sz val="12"/>
      <color theme="1"/>
      <name val="Calibri"/>
      <family val="2"/>
      <scheme val="minor"/>
    </font>
    <font>
      <b/>
      <sz val="12"/>
      <color rgb="FF000000"/>
      <name val="Calibri"/>
      <family val="2"/>
      <scheme val="minor"/>
    </font>
    <font>
      <b/>
      <sz val="12"/>
      <color rgb="FF0000FF"/>
      <name val="Calibri"/>
      <family val="2"/>
      <scheme val="minor"/>
    </font>
    <font>
      <sz val="11"/>
      <color rgb="FF000000"/>
      <name val="Arial"/>
      <family val="2"/>
    </font>
    <font>
      <u/>
      <sz val="12"/>
      <color rgb="FF0000FF"/>
      <name val="Calibri"/>
      <family val="2"/>
      <scheme val="minor"/>
    </font>
    <font>
      <sz val="12"/>
      <color rgb="FF0000FF"/>
      <name val="Calibri"/>
      <family val="2"/>
    </font>
    <font>
      <u/>
      <sz val="12"/>
      <color rgb="FF0000FF"/>
      <name val="Calibri"/>
      <family val="2"/>
    </font>
    <font>
      <sz val="12"/>
      <name val="Calibri"/>
      <family val="2"/>
    </font>
    <font>
      <sz val="10"/>
      <name val="Arial"/>
      <family val="2"/>
    </font>
    <font>
      <sz val="10"/>
      <color rgb="FF000000"/>
      <name val="Arial"/>
      <family val="2"/>
    </font>
    <font>
      <u/>
      <sz val="12"/>
      <color rgb="FF000000"/>
      <name val="Calibri"/>
      <family val="2"/>
    </font>
  </fonts>
  <fills count="22">
    <fill>
      <patternFill patternType="none"/>
    </fill>
    <fill>
      <patternFill patternType="gray125"/>
    </fill>
    <fill>
      <patternFill patternType="solid">
        <fgColor rgb="FFFFFFFF"/>
        <bgColor rgb="FFFFFFFF"/>
      </patternFill>
    </fill>
    <fill>
      <patternFill patternType="solid">
        <fgColor rgb="FFFFC000"/>
        <bgColor rgb="FFFFFFFF"/>
      </patternFill>
    </fill>
    <fill>
      <patternFill patternType="solid">
        <fgColor rgb="FFFFC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bgColor indexed="64"/>
      </patternFill>
    </fill>
    <fill>
      <patternFill patternType="solid">
        <fgColor theme="4" tint="-0.249977111117893"/>
        <bgColor indexed="64"/>
      </patternFill>
    </fill>
    <fill>
      <patternFill patternType="solid">
        <fgColor theme="9"/>
        <bgColor indexed="64"/>
      </patternFill>
    </fill>
    <fill>
      <patternFill patternType="solid">
        <fgColor rgb="FFFFFF00"/>
        <bgColor rgb="FFFFFFFF"/>
      </patternFill>
    </fill>
    <fill>
      <patternFill patternType="solid">
        <fgColor rgb="FF92D050"/>
        <bgColor indexed="64"/>
      </patternFill>
    </fill>
    <fill>
      <patternFill patternType="solid">
        <fgColor rgb="FF92D050"/>
        <bgColor rgb="FFFFFFFF"/>
      </patternFill>
    </fill>
    <fill>
      <patternFill patternType="solid">
        <fgColor rgb="FFFFFF00"/>
        <bgColor indexed="64"/>
      </patternFill>
    </fill>
    <fill>
      <patternFill patternType="solid">
        <fgColor rgb="FFFFE599"/>
        <bgColor rgb="FFFFE599"/>
      </patternFill>
    </fill>
    <fill>
      <patternFill patternType="solid">
        <fgColor theme="7"/>
        <bgColor rgb="FFFFFFFF"/>
      </patternFill>
    </fill>
    <fill>
      <patternFill patternType="solid">
        <fgColor rgb="FFFFFF00"/>
        <bgColor rgb="FFFFFF00"/>
      </patternFill>
    </fill>
    <fill>
      <patternFill patternType="solid">
        <fgColor rgb="FFFABF8F"/>
        <bgColor rgb="FFFABF8F"/>
      </patternFill>
    </fill>
    <fill>
      <patternFill patternType="solid">
        <fgColor theme="7"/>
        <bgColor rgb="FFF9CB9C"/>
      </patternFill>
    </fill>
  </fills>
  <borders count="21">
    <border>
      <left/>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 fillId="0" borderId="0" applyFont="0" applyFill="0" applyBorder="0" applyAlignment="0" applyProtection="0"/>
  </cellStyleXfs>
  <cellXfs count="194">
    <xf numFmtId="0" fontId="0" fillId="0" borderId="0" xfId="0"/>
    <xf numFmtId="0" fontId="3" fillId="2" borderId="1" xfId="0" applyFont="1" applyFill="1" applyBorder="1" applyAlignment="1">
      <alignment wrapText="1"/>
    </xf>
    <xf numFmtId="0" fontId="4" fillId="0" borderId="1" xfId="0" applyFont="1" applyBorder="1" applyAlignment="1">
      <alignment wrapText="1"/>
    </xf>
    <xf numFmtId="1" fontId="4" fillId="0" borderId="1" xfId="0" applyNumberFormat="1" applyFont="1" applyBorder="1" applyAlignment="1">
      <alignment wrapText="1"/>
    </xf>
    <xf numFmtId="0" fontId="4" fillId="0" borderId="0" xfId="0" applyFont="1"/>
    <xf numFmtId="0" fontId="2" fillId="0" borderId="0" xfId="1" applyBorder="1"/>
    <xf numFmtId="0" fontId="4" fillId="0" borderId="2" xfId="0" applyFont="1" applyBorder="1"/>
    <xf numFmtId="0" fontId="4" fillId="0" borderId="2" xfId="0" applyFont="1" applyBorder="1" applyAlignment="1">
      <alignment horizontal="right"/>
    </xf>
    <xf numFmtId="1" fontId="4" fillId="0" borderId="2" xfId="0" applyNumberFormat="1" applyFont="1" applyBorder="1"/>
    <xf numFmtId="0" fontId="4" fillId="0" borderId="3" xfId="0" applyFont="1" applyBorder="1"/>
    <xf numFmtId="0" fontId="5" fillId="0" borderId="3" xfId="0" applyFont="1" applyBorder="1"/>
    <xf numFmtId="1" fontId="4" fillId="0" borderId="3" xfId="0" applyNumberFormat="1" applyFont="1" applyBorder="1"/>
    <xf numFmtId="0" fontId="2" fillId="0" borderId="0" xfId="1"/>
    <xf numFmtId="0" fontId="2" fillId="3" borderId="0" xfId="1" applyFill="1" applyBorder="1"/>
    <xf numFmtId="0" fontId="4" fillId="4" borderId="3" xfId="0" applyFont="1" applyFill="1" applyBorder="1"/>
    <xf numFmtId="0" fontId="4" fillId="4" borderId="4" xfId="0" applyFont="1" applyFill="1" applyBorder="1"/>
    <xf numFmtId="0" fontId="4" fillId="4" borderId="2" xfId="0" applyFont="1" applyFill="1" applyBorder="1" applyAlignment="1">
      <alignment horizontal="right"/>
    </xf>
    <xf numFmtId="1" fontId="4" fillId="4" borderId="3" xfId="0" applyNumberFormat="1" applyFont="1" applyFill="1" applyBorder="1"/>
    <xf numFmtId="0" fontId="4" fillId="0" borderId="4" xfId="0" applyFont="1" applyBorder="1"/>
    <xf numFmtId="0" fontId="5" fillId="0" borderId="4" xfId="0" applyFont="1" applyBorder="1"/>
    <xf numFmtId="0" fontId="4" fillId="4" borderId="0" xfId="0" applyFont="1" applyFill="1"/>
    <xf numFmtId="0" fontId="2" fillId="4" borderId="0" xfId="1" applyFill="1"/>
    <xf numFmtId="0" fontId="5" fillId="4" borderId="4" xfId="0" applyFont="1" applyFill="1" applyBorder="1"/>
    <xf numFmtId="0" fontId="5" fillId="4" borderId="3" xfId="0" applyFont="1" applyFill="1" applyBorder="1"/>
    <xf numFmtId="0" fontId="4" fillId="5" borderId="0" xfId="0" applyFont="1" applyFill="1"/>
    <xf numFmtId="0" fontId="2" fillId="4" borderId="0" xfId="1" applyFill="1" applyBorder="1"/>
    <xf numFmtId="0" fontId="2" fillId="0" borderId="0" xfId="1" applyFill="1"/>
    <xf numFmtId="1" fontId="4" fillId="0" borderId="8" xfId="0" applyNumberFormat="1" applyFont="1" applyBorder="1"/>
    <xf numFmtId="1" fontId="4" fillId="4" borderId="8" xfId="0" applyNumberFormat="1" applyFont="1" applyFill="1" applyBorder="1"/>
    <xf numFmtId="0" fontId="2" fillId="5" borderId="0" xfId="1" applyFill="1" applyBorder="1"/>
    <xf numFmtId="0" fontId="4" fillId="5" borderId="2" xfId="0" applyFont="1" applyFill="1" applyBorder="1" applyAlignment="1">
      <alignment horizontal="right"/>
    </xf>
    <xf numFmtId="0" fontId="4" fillId="6" borderId="3" xfId="0" applyFont="1" applyFill="1" applyBorder="1"/>
    <xf numFmtId="0" fontId="4" fillId="7" borderId="0" xfId="0" applyFont="1" applyFill="1"/>
    <xf numFmtId="0" fontId="2" fillId="0" borderId="3" xfId="1" applyBorder="1"/>
    <xf numFmtId="0" fontId="2" fillId="7" borderId="0" xfId="1" applyFill="1"/>
    <xf numFmtId="0" fontId="4" fillId="7" borderId="3" xfId="0" applyFont="1" applyFill="1" applyBorder="1"/>
    <xf numFmtId="0" fontId="4" fillId="7" borderId="2" xfId="0" applyFont="1" applyFill="1" applyBorder="1" applyAlignment="1">
      <alignment horizontal="right"/>
    </xf>
    <xf numFmtId="1" fontId="4" fillId="7" borderId="8" xfId="0" applyNumberFormat="1" applyFont="1" applyFill="1" applyBorder="1"/>
    <xf numFmtId="0" fontId="5" fillId="2" borderId="4" xfId="0" applyFont="1" applyFill="1" applyBorder="1"/>
    <xf numFmtId="0" fontId="5" fillId="2" borderId="3" xfId="0" applyFont="1" applyFill="1" applyBorder="1"/>
    <xf numFmtId="0" fontId="2" fillId="2" borderId="0" xfId="1" applyFill="1" applyBorder="1"/>
    <xf numFmtId="0" fontId="5" fillId="3" borderId="4" xfId="0" applyFont="1" applyFill="1" applyBorder="1"/>
    <xf numFmtId="0" fontId="3" fillId="2" borderId="4" xfId="0" applyFont="1" applyFill="1" applyBorder="1"/>
    <xf numFmtId="1" fontId="4" fillId="0" borderId="0" xfId="0" applyNumberFormat="1" applyFont="1"/>
    <xf numFmtId="0" fontId="1" fillId="3" borderId="4" xfId="0" applyFont="1" applyFill="1" applyBorder="1"/>
    <xf numFmtId="0" fontId="1" fillId="4" borderId="0" xfId="0" applyFont="1" applyFill="1"/>
    <xf numFmtId="0" fontId="5" fillId="0" borderId="0" xfId="0" applyFont="1"/>
    <xf numFmtId="0" fontId="5" fillId="5" borderId="6" xfId="0" applyFont="1" applyFill="1" applyBorder="1"/>
    <xf numFmtId="0" fontId="4" fillId="4" borderId="5" xfId="0" applyFont="1" applyFill="1" applyBorder="1"/>
    <xf numFmtId="0" fontId="4" fillId="5" borderId="6" xfId="0" applyFont="1" applyFill="1" applyBorder="1"/>
    <xf numFmtId="1" fontId="4" fillId="5" borderId="7" xfId="0" applyNumberFormat="1" applyFont="1" applyFill="1" applyBorder="1"/>
    <xf numFmtId="1" fontId="4" fillId="4" borderId="5" xfId="0" applyNumberFormat="1" applyFont="1" applyFill="1" applyBorder="1"/>
    <xf numFmtId="0" fontId="4" fillId="0" borderId="6" xfId="0" applyFont="1" applyBorder="1"/>
    <xf numFmtId="0" fontId="4" fillId="0" borderId="10" xfId="0" applyFont="1" applyBorder="1"/>
    <xf numFmtId="0" fontId="1" fillId="0" borderId="0" xfId="0" applyFont="1"/>
    <xf numFmtId="0" fontId="2" fillId="0" borderId="3" xfId="1" applyFill="1" applyBorder="1"/>
    <xf numFmtId="0" fontId="2" fillId="0" borderId="0" xfId="1" applyFill="1" applyBorder="1"/>
    <xf numFmtId="0" fontId="4" fillId="9" borderId="1" xfId="0" applyFont="1" applyFill="1" applyBorder="1" applyAlignment="1">
      <alignment wrapText="1"/>
    </xf>
    <xf numFmtId="1" fontId="4" fillId="9" borderId="1" xfId="0" applyNumberFormat="1" applyFont="1" applyFill="1" applyBorder="1" applyAlignment="1">
      <alignment wrapText="1"/>
    </xf>
    <xf numFmtId="0" fontId="4" fillId="10" borderId="1" xfId="0" applyFont="1" applyFill="1" applyBorder="1" applyAlignment="1">
      <alignment wrapText="1"/>
    </xf>
    <xf numFmtId="0" fontId="0" fillId="0" borderId="0" xfId="0" pivotButton="1"/>
    <xf numFmtId="0" fontId="0" fillId="0" borderId="0" xfId="0" applyAlignment="1">
      <alignment horizontal="left"/>
    </xf>
    <xf numFmtId="0" fontId="6" fillId="8" borderId="11" xfId="0" applyFont="1" applyFill="1" applyBorder="1"/>
    <xf numFmtId="0" fontId="7" fillId="9" borderId="9" xfId="0" applyFont="1" applyFill="1" applyBorder="1" applyAlignment="1">
      <alignment wrapText="1"/>
    </xf>
    <xf numFmtId="0" fontId="8" fillId="2" borderId="9" xfId="0" applyFont="1" applyFill="1" applyBorder="1" applyAlignment="1">
      <alignment wrapText="1"/>
    </xf>
    <xf numFmtId="0" fontId="2" fillId="8" borderId="12" xfId="1" applyFill="1" applyBorder="1"/>
    <xf numFmtId="0" fontId="2" fillId="0" borderId="12" xfId="1" applyBorder="1"/>
    <xf numFmtId="0" fontId="2" fillId="3" borderId="12" xfId="1" applyFill="1" applyBorder="1"/>
    <xf numFmtId="0" fontId="2" fillId="4" borderId="12" xfId="1" applyFill="1" applyBorder="1"/>
    <xf numFmtId="0" fontId="2" fillId="5" borderId="12" xfId="1" applyFill="1" applyBorder="1"/>
    <xf numFmtId="0" fontId="2" fillId="7" borderId="12" xfId="1" applyFill="1" applyBorder="1"/>
    <xf numFmtId="0" fontId="2" fillId="8" borderId="3" xfId="1" applyFill="1" applyBorder="1"/>
    <xf numFmtId="0" fontId="2" fillId="8" borderId="0" xfId="1" applyFill="1" applyBorder="1"/>
    <xf numFmtId="0" fontId="2" fillId="7" borderId="0" xfId="1" applyFill="1" applyBorder="1"/>
    <xf numFmtId="0" fontId="2" fillId="8" borderId="14" xfId="1" applyFill="1" applyBorder="1"/>
    <xf numFmtId="0" fontId="2" fillId="8" borderId="11" xfId="1" applyFill="1" applyBorder="1"/>
    <xf numFmtId="0" fontId="8" fillId="0" borderId="9" xfId="0" applyFont="1" applyBorder="1"/>
    <xf numFmtId="0" fontId="7" fillId="0" borderId="9" xfId="0" applyFont="1" applyBorder="1"/>
    <xf numFmtId="0" fontId="4" fillId="0" borderId="5" xfId="0" applyFont="1" applyBorder="1"/>
    <xf numFmtId="0" fontId="5" fillId="0" borderId="13" xfId="0" applyFont="1" applyBorder="1"/>
    <xf numFmtId="0" fontId="2" fillId="0" borderId="0" xfId="1" applyFill="1" applyBorder="1" applyAlignment="1"/>
    <xf numFmtId="0" fontId="2" fillId="0" borderId="14" xfId="1" applyFill="1" applyBorder="1" applyAlignment="1"/>
    <xf numFmtId="0" fontId="4" fillId="0" borderId="13" xfId="0" applyFont="1" applyBorder="1"/>
    <xf numFmtId="0" fontId="4" fillId="0" borderId="9" xfId="0" applyFont="1" applyBorder="1"/>
    <xf numFmtId="0" fontId="2" fillId="3" borderId="3" xfId="1" applyFill="1" applyBorder="1"/>
    <xf numFmtId="0" fontId="2" fillId="4" borderId="3" xfId="1" applyFill="1" applyBorder="1"/>
    <xf numFmtId="0" fontId="2" fillId="0" borderId="9" xfId="1" applyFill="1" applyBorder="1" applyAlignment="1"/>
    <xf numFmtId="0" fontId="7" fillId="0" borderId="0" xfId="0" applyFont="1"/>
    <xf numFmtId="0" fontId="7" fillId="0" borderId="14" xfId="0" applyFont="1" applyBorder="1"/>
    <xf numFmtId="0" fontId="0" fillId="0" borderId="0" xfId="0" quotePrefix="1"/>
    <xf numFmtId="0" fontId="0" fillId="7" borderId="0" xfId="0" applyFill="1"/>
    <xf numFmtId="0" fontId="0" fillId="11" borderId="0" xfId="0" applyFill="1"/>
    <xf numFmtId="0" fontId="0" fillId="12" borderId="0" xfId="0" applyFill="1"/>
    <xf numFmtId="0" fontId="0" fillId="10" borderId="0" xfId="0" applyFill="1"/>
    <xf numFmtId="0" fontId="4" fillId="0" borderId="1" xfId="0" applyFont="1" applyBorder="1"/>
    <xf numFmtId="0" fontId="2" fillId="0" borderId="11" xfId="1" applyBorder="1"/>
    <xf numFmtId="0" fontId="2" fillId="4" borderId="11" xfId="1" applyFill="1" applyBorder="1"/>
    <xf numFmtId="0" fontId="2" fillId="5" borderId="11" xfId="1" applyFill="1" applyBorder="1"/>
    <xf numFmtId="0" fontId="2" fillId="8" borderId="10" xfId="1" applyFill="1" applyBorder="1"/>
    <xf numFmtId="0" fontId="2" fillId="0" borderId="14" xfId="1" applyBorder="1"/>
    <xf numFmtId="0" fontId="2" fillId="4" borderId="14" xfId="1" applyFill="1" applyBorder="1"/>
    <xf numFmtId="0" fontId="2" fillId="3" borderId="14" xfId="1" applyFill="1" applyBorder="1"/>
    <xf numFmtId="0" fontId="0" fillId="0" borderId="11" xfId="0" applyBorder="1"/>
    <xf numFmtId="0" fontId="0" fillId="0" borderId="10" xfId="0" applyBorder="1"/>
    <xf numFmtId="0" fontId="9" fillId="0" borderId="0" xfId="0" applyFont="1"/>
    <xf numFmtId="0" fontId="2" fillId="2" borderId="3" xfId="1" applyFill="1" applyBorder="1"/>
    <xf numFmtId="0" fontId="4" fillId="5" borderId="3" xfId="0" applyFont="1" applyFill="1" applyBorder="1"/>
    <xf numFmtId="0" fontId="2" fillId="2" borderId="15" xfId="1" applyFill="1" applyBorder="1"/>
    <xf numFmtId="0" fontId="2" fillId="2" borderId="16" xfId="1" applyFill="1" applyBorder="1"/>
    <xf numFmtId="0" fontId="2" fillId="13" borderId="16" xfId="1" applyFill="1" applyBorder="1"/>
    <xf numFmtId="0" fontId="2" fillId="3" borderId="16" xfId="1" applyFill="1" applyBorder="1"/>
    <xf numFmtId="0" fontId="2" fillId="13" borderId="16" xfId="1" applyFill="1" applyBorder="1" applyAlignment="1"/>
    <xf numFmtId="0" fontId="2" fillId="14" borderId="16" xfId="1" applyFill="1" applyBorder="1"/>
    <xf numFmtId="0" fontId="2" fillId="2" borderId="17" xfId="1" applyFill="1" applyBorder="1"/>
    <xf numFmtId="0" fontId="2" fillId="2" borderId="6" xfId="1" applyFill="1" applyBorder="1"/>
    <xf numFmtId="0" fontId="2" fillId="2" borderId="3" xfId="1" applyFill="1" applyBorder="1" applyAlignment="1"/>
    <xf numFmtId="0" fontId="10" fillId="3" borderId="3" xfId="0" applyFont="1" applyFill="1" applyBorder="1"/>
    <xf numFmtId="0" fontId="2" fillId="15" borderId="3" xfId="1" applyFill="1" applyBorder="1"/>
    <xf numFmtId="0" fontId="10" fillId="2" borderId="3" xfId="0" applyFont="1" applyFill="1" applyBorder="1"/>
    <xf numFmtId="0" fontId="10" fillId="15" borderId="3" xfId="0" applyFont="1" applyFill="1" applyBorder="1"/>
    <xf numFmtId="0" fontId="5" fillId="13" borderId="4" xfId="0" applyFont="1" applyFill="1" applyBorder="1"/>
    <xf numFmtId="0" fontId="4" fillId="16" borderId="3" xfId="0" applyFont="1" applyFill="1" applyBorder="1"/>
    <xf numFmtId="0" fontId="4" fillId="14" borderId="3" xfId="0" applyFont="1" applyFill="1" applyBorder="1"/>
    <xf numFmtId="0" fontId="3" fillId="2" borderId="10" xfId="0" applyFont="1" applyFill="1" applyBorder="1" applyAlignment="1">
      <alignment wrapText="1"/>
    </xf>
    <xf numFmtId="0" fontId="10" fillId="2" borderId="15" xfId="0" applyFont="1" applyFill="1" applyBorder="1"/>
    <xf numFmtId="0" fontId="10" fillId="2" borderId="16" xfId="0" applyFont="1" applyFill="1" applyBorder="1"/>
    <xf numFmtId="0" fontId="10" fillId="13" borderId="16" xfId="0" applyFont="1" applyFill="1" applyBorder="1"/>
    <xf numFmtId="0" fontId="10" fillId="2" borderId="17" xfId="0" applyFont="1" applyFill="1" applyBorder="1"/>
    <xf numFmtId="0" fontId="10" fillId="2" borderId="6" xfId="0" applyFont="1" applyFill="1" applyBorder="1"/>
    <xf numFmtId="0" fontId="4" fillId="0" borderId="10" xfId="0" applyFont="1" applyBorder="1" applyAlignment="1">
      <alignment wrapText="1"/>
    </xf>
    <xf numFmtId="0" fontId="11" fillId="2" borderId="4" xfId="0" applyFont="1" applyFill="1" applyBorder="1" applyAlignment="1">
      <alignment wrapText="1"/>
    </xf>
    <xf numFmtId="0" fontId="12" fillId="2" borderId="4" xfId="0" applyFont="1" applyFill="1" applyBorder="1"/>
    <xf numFmtId="0" fontId="11" fillId="2" borderId="4" xfId="0" applyFont="1" applyFill="1" applyBorder="1"/>
    <xf numFmtId="0" fontId="2" fillId="2" borderId="4" xfId="1" applyFill="1" applyBorder="1" applyAlignment="1"/>
    <xf numFmtId="0" fontId="5" fillId="0" borderId="4" xfId="0" applyFont="1" applyBorder="1" applyAlignment="1">
      <alignment wrapText="1"/>
    </xf>
    <xf numFmtId="0" fontId="5" fillId="17" borderId="4" xfId="0" applyFont="1" applyFill="1" applyBorder="1"/>
    <xf numFmtId="0" fontId="14" fillId="0" borderId="4" xfId="0" applyFont="1" applyBorder="1"/>
    <xf numFmtId="0" fontId="5" fillId="13" borderId="4" xfId="0" applyFont="1" applyFill="1" applyBorder="1" applyAlignment="1">
      <alignment horizontal="right"/>
    </xf>
    <xf numFmtId="0" fontId="4" fillId="0" borderId="6" xfId="0" applyFont="1" applyBorder="1" applyAlignment="1">
      <alignment horizontal="right"/>
    </xf>
    <xf numFmtId="44" fontId="5" fillId="0" borderId="4" xfId="0" applyNumberFormat="1" applyFont="1" applyBorder="1" applyAlignment="1">
      <alignment wrapText="1"/>
    </xf>
    <xf numFmtId="0" fontId="5" fillId="2" borderId="4" xfId="0" applyFont="1" applyFill="1" applyBorder="1" applyAlignment="1">
      <alignment horizontal="right"/>
    </xf>
    <xf numFmtId="164" fontId="5" fillId="0" borderId="4" xfId="0" applyNumberFormat="1" applyFont="1" applyBorder="1"/>
    <xf numFmtId="164" fontId="5" fillId="2" borderId="4" xfId="0" applyNumberFormat="1" applyFont="1" applyFill="1" applyBorder="1"/>
    <xf numFmtId="0" fontId="5" fillId="0" borderId="4" xfId="0" applyFont="1" applyBorder="1" applyAlignment="1">
      <alignment horizontal="right"/>
    </xf>
    <xf numFmtId="164" fontId="5" fillId="17" borderId="4" xfId="0" applyNumberFormat="1" applyFont="1" applyFill="1" applyBorder="1"/>
    <xf numFmtId="0" fontId="15" fillId="0" borderId="4" xfId="0" applyFont="1" applyBorder="1"/>
    <xf numFmtId="44" fontId="15" fillId="0" borderId="4" xfId="0" applyNumberFormat="1" applyFont="1" applyBorder="1"/>
    <xf numFmtId="1" fontId="4" fillId="5" borderId="3" xfId="0" applyNumberFormat="1" applyFont="1" applyFill="1" applyBorder="1"/>
    <xf numFmtId="1" fontId="4" fillId="0" borderId="5" xfId="0" applyNumberFormat="1" applyFont="1" applyBorder="1"/>
    <xf numFmtId="1" fontId="4" fillId="0" borderId="7" xfId="0" applyNumberFormat="1" applyFont="1" applyBorder="1"/>
    <xf numFmtId="1" fontId="4" fillId="4" borderId="0" xfId="0" applyNumberFormat="1" applyFont="1" applyFill="1"/>
    <xf numFmtId="1" fontId="4" fillId="7" borderId="0" xfId="0" applyNumberFormat="1" applyFont="1" applyFill="1"/>
    <xf numFmtId="0" fontId="4" fillId="14" borderId="2" xfId="0" applyFont="1" applyFill="1" applyBorder="1" applyAlignment="1">
      <alignment horizontal="right"/>
    </xf>
    <xf numFmtId="1" fontId="4" fillId="16" borderId="3" xfId="0" applyNumberFormat="1" applyFont="1" applyFill="1" applyBorder="1"/>
    <xf numFmtId="1" fontId="4" fillId="14" borderId="3" xfId="0" applyNumberFormat="1" applyFont="1" applyFill="1" applyBorder="1"/>
    <xf numFmtId="1" fontId="4" fillId="14" borderId="8" xfId="0" applyNumberFormat="1" applyFont="1" applyFill="1" applyBorder="1"/>
    <xf numFmtId="1" fontId="4" fillId="0" borderId="10" xfId="0" applyNumberFormat="1" applyFont="1" applyBorder="1" applyAlignment="1">
      <alignment wrapText="1"/>
    </xf>
    <xf numFmtId="164" fontId="5" fillId="16" borderId="4" xfId="0" applyNumberFormat="1" applyFont="1" applyFill="1" applyBorder="1"/>
    <xf numFmtId="0" fontId="12" fillId="18" borderId="4" xfId="0" applyFont="1" applyFill="1" applyBorder="1"/>
    <xf numFmtId="0" fontId="5" fillId="18" borderId="4" xfId="0" applyFont="1" applyFill="1" applyBorder="1"/>
    <xf numFmtId="0" fontId="5" fillId="18" borderId="4" xfId="0" applyFont="1" applyFill="1" applyBorder="1" applyAlignment="1">
      <alignment horizontal="right"/>
    </xf>
    <xf numFmtId="164" fontId="5" fillId="7" borderId="4" xfId="0" applyNumberFormat="1" applyFont="1" applyFill="1" applyBorder="1"/>
    <xf numFmtId="0" fontId="5" fillId="7" borderId="4" xfId="0" applyFont="1" applyFill="1" applyBorder="1"/>
    <xf numFmtId="0" fontId="5" fillId="7" borderId="4" xfId="0" applyFont="1" applyFill="1" applyBorder="1" applyAlignment="1">
      <alignment horizontal="right"/>
    </xf>
    <xf numFmtId="164" fontId="5" fillId="18" borderId="4" xfId="0" applyNumberFormat="1" applyFont="1" applyFill="1" applyBorder="1"/>
    <xf numFmtId="1" fontId="4" fillId="0" borderId="0" xfId="0" applyNumberFormat="1" applyFont="1" applyAlignment="1">
      <alignment wrapText="1"/>
    </xf>
    <xf numFmtId="1" fontId="4" fillId="16" borderId="0" xfId="0" applyNumberFormat="1" applyFont="1" applyFill="1"/>
    <xf numFmtId="1" fontId="4" fillId="0" borderId="18" xfId="0" applyNumberFormat="1" applyFont="1" applyBorder="1"/>
    <xf numFmtId="1" fontId="4" fillId="0" borderId="19" xfId="0" applyNumberFormat="1" applyFont="1" applyBorder="1"/>
    <xf numFmtId="1" fontId="4" fillId="16" borderId="19" xfId="0" applyNumberFormat="1" applyFont="1" applyFill="1" applyBorder="1"/>
    <xf numFmtId="1" fontId="4" fillId="4" borderId="19" xfId="0" applyNumberFormat="1" applyFont="1" applyFill="1" applyBorder="1"/>
    <xf numFmtId="1" fontId="4" fillId="14" borderId="19" xfId="0" applyNumberFormat="1" applyFont="1" applyFill="1" applyBorder="1"/>
    <xf numFmtId="1" fontId="4" fillId="0" borderId="20" xfId="0" applyNumberFormat="1" applyFont="1" applyBorder="1"/>
    <xf numFmtId="1" fontId="4" fillId="14" borderId="0" xfId="0" applyNumberFormat="1" applyFont="1" applyFill="1"/>
    <xf numFmtId="1" fontId="4" fillId="5" borderId="19" xfId="0" applyNumberFormat="1" applyFont="1" applyFill="1" applyBorder="1"/>
    <xf numFmtId="1" fontId="0" fillId="0" borderId="0" xfId="0" applyNumberFormat="1"/>
    <xf numFmtId="0" fontId="16" fillId="2" borderId="4" xfId="0" applyFont="1" applyFill="1" applyBorder="1"/>
    <xf numFmtId="0" fontId="12" fillId="0" borderId="4" xfId="0" applyFont="1" applyBorder="1"/>
    <xf numFmtId="0" fontId="12" fillId="19" borderId="4" xfId="0" applyFont="1" applyFill="1" applyBorder="1"/>
    <xf numFmtId="0" fontId="13" fillId="0" borderId="4" xfId="0" applyFont="1" applyBorder="1"/>
    <xf numFmtId="0" fontId="5" fillId="20" borderId="4" xfId="0" applyFont="1" applyFill="1" applyBorder="1" applyAlignment="1">
      <alignment wrapText="1"/>
    </xf>
    <xf numFmtId="0" fontId="5" fillId="19" borderId="4" xfId="0" applyFont="1" applyFill="1" applyBorder="1"/>
    <xf numFmtId="0" fontId="5" fillId="19" borderId="4" xfId="0" applyFont="1" applyFill="1" applyBorder="1" applyAlignment="1">
      <alignment horizontal="right"/>
    </xf>
    <xf numFmtId="0" fontId="12" fillId="21" borderId="4" xfId="0" applyFont="1" applyFill="1" applyBorder="1"/>
    <xf numFmtId="0" fontId="5" fillId="21" borderId="4" xfId="0" applyFont="1" applyFill="1" applyBorder="1"/>
    <xf numFmtId="0" fontId="5" fillId="21" borderId="4" xfId="0" applyFont="1" applyFill="1" applyBorder="1" applyAlignment="1">
      <alignment horizontal="right"/>
    </xf>
    <xf numFmtId="0" fontId="16" fillId="18" borderId="4" xfId="0" applyFont="1" applyFill="1" applyBorder="1"/>
    <xf numFmtId="0" fontId="12" fillId="7" borderId="4" xfId="0" applyFont="1" applyFill="1" applyBorder="1"/>
    <xf numFmtId="9" fontId="0" fillId="0" borderId="0" xfId="2" applyFont="1"/>
    <xf numFmtId="165" fontId="0" fillId="0" borderId="0" xfId="0" applyNumberFormat="1"/>
    <xf numFmtId="0" fontId="4" fillId="7" borderId="2" xfId="0" applyFont="1" applyFill="1" applyBorder="1"/>
    <xf numFmtId="0" fontId="5" fillId="5" borderId="3" xfId="0" applyFont="1" applyFill="1" applyBorder="1"/>
    <xf numFmtId="1" fontId="4" fillId="7" borderId="2" xfId="0" applyNumberFormat="1" applyFont="1" applyFill="1" applyBorder="1"/>
    <xf numFmtId="165" fontId="4" fillId="0" borderId="0" xfId="0" applyNumberFormat="1" applyFont="1"/>
  </cellXfs>
  <cellStyles count="3">
    <cellStyle name="Hyperlink" xfId="1" builtinId="8"/>
    <cellStyle name="Normal" xfId="0" builtinId="0"/>
    <cellStyle name="Percent" xfId="2" builtinId="5"/>
  </cellStyles>
  <dxfs count="52">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val="0"/>
        <i val="0"/>
        <strike val="0"/>
        <condense val="0"/>
        <extend val="0"/>
        <outline val="0"/>
        <shadow val="0"/>
        <u val="none"/>
        <vertAlign val="baseline"/>
        <sz val="12"/>
        <color rgb="FF000000"/>
        <name val="Calibri"/>
        <family val="2"/>
        <scheme val="none"/>
      </font>
      <numFmt numFmtId="0" formatCode="General"/>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numFmt numFmtId="1" formatCode="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numFmt numFmtId="0" formatCode="General"/>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numFmt numFmtId="1" formatCode="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numFmt numFmtId="0" formatCode="General"/>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293936744163478E-2"/>
          <c:y val="0.12044243102872045"/>
          <c:w val="0.77327994522396859"/>
          <c:h val="0.82317591122105205"/>
        </c:manualLayout>
      </c:layout>
      <c:line3DChart>
        <c:grouping val="standard"/>
        <c:varyColors val="0"/>
        <c:ser>
          <c:idx val="0"/>
          <c:order val="0"/>
          <c:tx>
            <c:strRef>
              <c:f>'2023 Analysis'!$G$72</c:f>
              <c:strCache>
                <c:ptCount val="1"/>
                <c:pt idx="0">
                  <c:v>Comms</c:v>
                </c:pt>
              </c:strCache>
            </c:strRef>
          </c:tx>
          <c:spPr>
            <a:solidFill>
              <a:schemeClr val="accent1"/>
            </a:solidFill>
            <a:ln w="25400">
              <a:noFill/>
            </a:ln>
            <a:effectLst/>
            <a:sp3d/>
          </c:spPr>
          <c:val>
            <c:numRef>
              <c:f>'2023 Analysis'!$G$73:$G$76</c:f>
              <c:numCache>
                <c:formatCode>General</c:formatCode>
                <c:ptCount val="4"/>
                <c:pt idx="0">
                  <c:v>3</c:v>
                </c:pt>
                <c:pt idx="1">
                  <c:v>2.5111111111111111</c:v>
                </c:pt>
                <c:pt idx="2">
                  <c:v>1.9019607843137256</c:v>
                </c:pt>
                <c:pt idx="3">
                  <c:v>1.377777777777778</c:v>
                </c:pt>
              </c:numCache>
            </c:numRef>
          </c:val>
          <c:smooth val="0"/>
          <c:extLst>
            <c:ext xmlns:c16="http://schemas.microsoft.com/office/drawing/2014/chart" uri="{C3380CC4-5D6E-409C-BE32-E72D297353CC}">
              <c16:uniqueId val="{00000000-4514-DF49-BAE2-2BCF1D8B80BA}"/>
            </c:ext>
          </c:extLst>
        </c:ser>
        <c:ser>
          <c:idx val="1"/>
          <c:order val="1"/>
          <c:tx>
            <c:strRef>
              <c:f>'2023 Analysis'!$H$72</c:f>
              <c:strCache>
                <c:ptCount val="1"/>
                <c:pt idx="0">
                  <c:v>Agency Authority</c:v>
                </c:pt>
              </c:strCache>
            </c:strRef>
          </c:tx>
          <c:spPr>
            <a:solidFill>
              <a:schemeClr val="accent2"/>
            </a:solidFill>
            <a:ln w="25400">
              <a:noFill/>
            </a:ln>
            <a:effectLst/>
            <a:sp3d/>
          </c:spPr>
          <c:val>
            <c:numRef>
              <c:f>'2023 Analysis'!$H$73:$H$76</c:f>
              <c:numCache>
                <c:formatCode>General</c:formatCode>
                <c:ptCount val="4"/>
                <c:pt idx="0">
                  <c:v>3</c:v>
                </c:pt>
                <c:pt idx="1">
                  <c:v>2.6222222222222222</c:v>
                </c:pt>
                <c:pt idx="2">
                  <c:v>1.7254901960784315</c:v>
                </c:pt>
                <c:pt idx="3">
                  <c:v>1</c:v>
                </c:pt>
              </c:numCache>
            </c:numRef>
          </c:val>
          <c:smooth val="0"/>
          <c:extLst>
            <c:ext xmlns:c16="http://schemas.microsoft.com/office/drawing/2014/chart" uri="{C3380CC4-5D6E-409C-BE32-E72D297353CC}">
              <c16:uniqueId val="{00000001-4514-DF49-BAE2-2BCF1D8B80BA}"/>
            </c:ext>
          </c:extLst>
        </c:ser>
        <c:ser>
          <c:idx val="2"/>
          <c:order val="2"/>
          <c:tx>
            <c:strRef>
              <c:f>'2023 Analysis'!$I$72</c:f>
              <c:strCache>
                <c:ptCount val="1"/>
                <c:pt idx="0">
                  <c:v>Data + Maps</c:v>
                </c:pt>
              </c:strCache>
            </c:strRef>
          </c:tx>
          <c:spPr>
            <a:solidFill>
              <a:schemeClr val="accent3"/>
            </a:solidFill>
            <a:ln>
              <a:noFill/>
            </a:ln>
            <a:effectLst/>
            <a:sp3d/>
          </c:spPr>
          <c:val>
            <c:numRef>
              <c:f>'2023 Analysis'!$I$73:$I$76</c:f>
              <c:numCache>
                <c:formatCode>General</c:formatCode>
                <c:ptCount val="4"/>
                <c:pt idx="0">
                  <c:v>3</c:v>
                </c:pt>
                <c:pt idx="1">
                  <c:v>2.4133333333333331</c:v>
                </c:pt>
                <c:pt idx="2">
                  <c:v>1.8470588235294116</c:v>
                </c:pt>
                <c:pt idx="3">
                  <c:v>0.49333333333333335</c:v>
                </c:pt>
              </c:numCache>
            </c:numRef>
          </c:val>
          <c:smooth val="0"/>
          <c:extLst>
            <c:ext xmlns:c16="http://schemas.microsoft.com/office/drawing/2014/chart" uri="{C3380CC4-5D6E-409C-BE32-E72D297353CC}">
              <c16:uniqueId val="{00000002-4514-DF49-BAE2-2BCF1D8B80BA}"/>
            </c:ext>
          </c:extLst>
        </c:ser>
        <c:ser>
          <c:idx val="3"/>
          <c:order val="3"/>
          <c:tx>
            <c:strRef>
              <c:f>'2023 Analysis'!$J$72</c:f>
              <c:strCache>
                <c:ptCount val="1"/>
                <c:pt idx="0">
                  <c:v>Total</c:v>
                </c:pt>
              </c:strCache>
            </c:strRef>
          </c:tx>
          <c:spPr>
            <a:solidFill>
              <a:schemeClr val="accent4"/>
            </a:solidFill>
            <a:ln w="25400">
              <a:noFill/>
            </a:ln>
            <a:effectLst/>
            <a:sp3d/>
          </c:spPr>
          <c:val>
            <c:numRef>
              <c:f>'2023 Analysis'!$J$73:$J$76</c:f>
              <c:numCache>
                <c:formatCode>General</c:formatCode>
                <c:ptCount val="4"/>
                <c:pt idx="0">
                  <c:v>3</c:v>
                </c:pt>
                <c:pt idx="1">
                  <c:v>2.4969696969696966</c:v>
                </c:pt>
                <c:pt idx="2">
                  <c:v>1.8288770053475936</c:v>
                </c:pt>
                <c:pt idx="3">
                  <c:v>0.87272727272727268</c:v>
                </c:pt>
              </c:numCache>
            </c:numRef>
          </c:val>
          <c:smooth val="0"/>
          <c:extLst>
            <c:ext xmlns:c16="http://schemas.microsoft.com/office/drawing/2014/chart" uri="{C3380CC4-5D6E-409C-BE32-E72D297353CC}">
              <c16:uniqueId val="{00000003-4514-DF49-BAE2-2BCF1D8B80BA}"/>
            </c:ext>
          </c:extLst>
        </c:ser>
        <c:dLbls>
          <c:showLegendKey val="0"/>
          <c:showVal val="0"/>
          <c:showCatName val="0"/>
          <c:showSerName val="0"/>
          <c:showPercent val="0"/>
          <c:showBubbleSize val="0"/>
        </c:dLbls>
        <c:axId val="1614165312"/>
        <c:axId val="1468134384"/>
        <c:axId val="1115642400"/>
      </c:line3DChart>
      <c:catAx>
        <c:axId val="1614165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34384"/>
        <c:crosses val="autoZero"/>
        <c:auto val="1"/>
        <c:lblAlgn val="ctr"/>
        <c:lblOffset val="100"/>
        <c:noMultiLvlLbl val="0"/>
      </c:catAx>
      <c:valAx>
        <c:axId val="14681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65312"/>
        <c:crosses val="autoZero"/>
        <c:crossBetween val="between"/>
      </c:valAx>
      <c:serAx>
        <c:axId val="11156424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343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'2023 Analysis'!$R$1</c:f>
              <c:strCache>
                <c:ptCount val="1"/>
                <c:pt idx="0">
                  <c:v>Difference</c:v>
                </c:pt>
              </c:strCache>
            </c:strRef>
          </c:tx>
          <c:spPr>
            <a:solidFill>
              <a:schemeClr val="accent1"/>
            </a:solidFill>
            <a:ln>
              <a:noFill/>
            </a:ln>
            <a:effectLst/>
          </c:spPr>
          <c:invertIfNegative val="0"/>
          <c:cat>
            <c:strRef>
              <c:f>'2023 Analysis'!$A$1</c:f>
              <c:strCache>
                <c:ptCount val="1"/>
                <c:pt idx="0">
                  <c:v>Column1</c:v>
                </c:pt>
              </c:strCache>
            </c:strRef>
          </c:cat>
          <c:val>
            <c:numRef>
              <c:f>'2023 Analysis'!$R$2:$R$52</c:f>
              <c:numCache>
                <c:formatCode>0</c:formatCode>
                <c:ptCount val="51"/>
                <c:pt idx="0">
                  <c:v>13</c:v>
                </c:pt>
                <c:pt idx="1">
                  <c:v>9</c:v>
                </c:pt>
                <c:pt idx="2">
                  <c:v>8</c:v>
                </c:pt>
                <c:pt idx="3">
                  <c:v>8</c:v>
                </c:pt>
                <c:pt idx="4">
                  <c:v>7</c:v>
                </c:pt>
                <c:pt idx="5">
                  <c:v>6</c:v>
                </c:pt>
                <c:pt idx="6">
                  <c:v>6</c:v>
                </c:pt>
                <c:pt idx="7">
                  <c:v>5</c:v>
                </c:pt>
                <c:pt idx="8">
                  <c:v>4</c:v>
                </c:pt>
                <c:pt idx="9">
                  <c:v>3</c:v>
                </c:pt>
                <c:pt idx="10">
                  <c:v>2</c:v>
                </c:pt>
                <c:pt idx="11">
                  <c:v>2</c:v>
                </c:pt>
                <c:pt idx="12">
                  <c:v>2</c:v>
                </c:pt>
                <c:pt idx="13">
                  <c:v>2</c:v>
                </c:pt>
                <c:pt idx="14">
                  <c:v>2</c:v>
                </c:pt>
                <c:pt idx="15">
                  <c:v>2</c:v>
                </c:pt>
                <c:pt idx="16">
                  <c:v>2</c:v>
                </c:pt>
                <c:pt idx="17">
                  <c:v>1</c:v>
                </c:pt>
                <c:pt idx="18">
                  <c:v>1</c:v>
                </c:pt>
                <c:pt idx="19">
                  <c:v>0</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-1</c:v>
                </c:pt>
                <c:pt idx="35">
                  <c:v>-1</c:v>
                </c:pt>
                <c:pt idx="36">
                  <c:v>-1</c:v>
                </c:pt>
                <c:pt idx="37">
                  <c:v>-1</c:v>
                </c:pt>
                <c:pt idx="38">
                  <c:v>-1</c:v>
                </c:pt>
                <c:pt idx="39">
                  <c:v>-1</c:v>
                </c:pt>
                <c:pt idx="40">
                  <c:v>-1</c:v>
                </c:pt>
                <c:pt idx="41">
                  <c:v>-2</c:v>
                </c:pt>
                <c:pt idx="42">
                  <c:v>-2</c:v>
                </c:pt>
                <c:pt idx="43">
                  <c:v>-2</c:v>
                </c:pt>
                <c:pt idx="44">
                  <c:v>-2</c:v>
                </c:pt>
                <c:pt idx="45">
                  <c:v>-2</c:v>
                </c:pt>
                <c:pt idx="46">
                  <c:v>-3</c:v>
                </c:pt>
                <c:pt idx="47">
                  <c:v>-3</c:v>
                </c:pt>
                <c:pt idx="48">
                  <c:v>-4</c:v>
                </c:pt>
                <c:pt idx="49">
                  <c:v>-7</c:v>
                </c:pt>
                <c:pt idx="50">
                  <c:v>-12</c:v>
                </c:pt>
              </c:numCache>
            </c:numRef>
          </c:val>
          <c:extLst>
            <c:ext xmlns:c16="http://schemas.microsoft.com/office/drawing/2014/chart" uri="{C3380CC4-5D6E-409C-BE32-E72D297353CC}">
              <c16:uniqueId val="{00000000-BBF6-964F-A091-FC3F148DF537}"/>
            </c:ext>
          </c:extLst>
        </c:ser>
        <c:dLbls>
          <c:showLegendKey val="0"/>
          <c:showVal val="0"/>
          <c:showCatName val="0"/>
          <c:showSerName val="0"/>
          <c:showPercent val="0"/>
          <c:showBubbleSize val="0"/>
        </c:dLbls>
        <c:gapWidth val="219"/>
        <c:overlap val="-27"/>
        <c:axId val="1350073184"/>
        <c:axId val="1350307104"/>
      </c:barChart>
      <c:catAx>
        <c:axId val="135007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07104"/>
        <c:crosses val="autoZero"/>
        <c:auto val="1"/>
        <c:lblAlgn val="ctr"/>
        <c:lblOffset val="100"/>
        <c:noMultiLvlLbl val="0"/>
      </c:catAx>
      <c:valAx>
        <c:axId val="135030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Points Gained/Lost</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'2023 Analysis'!$A$58:$A$60</c:f>
              <c:strCache>
                <c:ptCount val="3"/>
                <c:pt idx="0">
                  <c:v>Improved</c:v>
                </c:pt>
                <c:pt idx="1">
                  <c:v>No change</c:v>
                </c:pt>
                <c:pt idx="2">
                  <c:v>Declined</c:v>
                </c:pt>
              </c:strCache>
            </c:strRef>
          </c:cat>
          <c:val>
            <c:numRef>
              <c:f>'2023 Analysis'!$D$58:$D$60</c:f>
              <c:numCache>
                <c:formatCode>0.0</c:formatCode>
                <c:ptCount val="3"/>
                <c:pt idx="0">
                  <c:v>4.3</c:v>
                </c:pt>
                <c:pt idx="1">
                  <c:v>0</c:v>
                </c:pt>
                <c:pt idx="2">
                  <c:v>-2.7058823529411766</c:v>
                </c:pt>
              </c:numCache>
            </c:numRef>
          </c:val>
          <c:extLst>
            <c:ext xmlns:c16="http://schemas.microsoft.com/office/drawing/2014/chart" uri="{C3380CC4-5D6E-409C-BE32-E72D297353CC}">
              <c16:uniqueId val="{00000000-A872-BE4F-BADD-D9E27ED01DCE}"/>
            </c:ext>
          </c:extLst>
        </c:ser>
        <c:dLbls>
          <c:showLegendKey val="0"/>
          <c:showVal val="0"/>
          <c:showCatName val="0"/>
          <c:showSerName val="0"/>
          <c:showPercent val="0"/>
          <c:showBubbleSize val="0"/>
        </c:dLbls>
        <c:gapWidth val="219"/>
        <c:overlap val="-27"/>
        <c:axId val="1991500752"/>
        <c:axId val="1990942944"/>
      </c:barChart>
      <c:catAx>
        <c:axId val="19915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42944"/>
        <c:crosses val="autoZero"/>
        <c:auto val="1"/>
        <c:lblAlgn val="ctr"/>
        <c:lblOffset val="100"/>
        <c:noMultiLvlLbl val="0"/>
      </c:catAx>
      <c:valAx>
        <c:axId val="19909429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2018-2023</a:t>
            </a:r>
          </a:p>
        </c:rich>
      </c:tx>
      <c:overlay val="0"/>
      <c:spPr>
        <a:noFill/>
        <a:ln>
          <a:noFill/>
        </a:ln>
        <a:effectLst/>
      </c:spPr>
    </c:title>
    <c:autoTitleDeleted val="0"/>
    <c:plotArea>
      <c:layout>
        <c:manualLayout>
          <c:layoutTarget val="inner"/>
          <c:xMode val="edge"/>
          <c:yMode val="edge"/>
          <c:x val="0.13658483865987339"/>
          <c:y val="7.6082949308755754E-2"/>
          <c:w val="0.86341516134012664"/>
          <c:h val="0.89861751152073732"/>
        </c:manualLayout>
      </c:layout>
      <c:bubbleChart>
        <c:varyColors val="0"/>
        <c:ser>
          <c:idx val="3"/>
          <c:order val="0"/>
          <c:tx>
            <c:strRef>
              <c:f>Audits!$AB$12</c:f>
              <c:strCache>
                <c:ptCount val="1"/>
                <c:pt idx="0">
                  <c:v>Audit year</c:v>
                </c:pt>
              </c:strCache>
            </c:strRef>
          </c:tx>
          <c:spPr>
            <a:solidFill>
              <a:schemeClr val="accent1">
                <a:lumMod val="60000"/>
                <a:lumOff val="40000"/>
              </a:schemeClr>
            </a:solidFill>
            <a:ln w="25400">
              <a:noFill/>
            </a:ln>
          </c:spPr>
          <c:invertIfNegative val="0"/>
          <c:dPt>
            <c:idx val="0"/>
            <c:invertIfNegative val="0"/>
            <c:bubble3D val="0"/>
            <c:spPr>
              <a:solidFill>
                <a:schemeClr val="accent1">
                  <a:lumMod val="60000"/>
                  <a:lumOff val="40000"/>
                </a:schemeClr>
              </a:solidFill>
              <a:ln w="25400">
                <a:no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extLst>
                <c:ext xmlns:c15="http://schemas.microsoft.com/office/drawing/2012/chart" uri="{CE6537A1-D6FC-4f65-9D91-7224C49458BB}"/>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Audits!$AC$15</c:f>
              <c:numCache>
                <c:formatCode>General</c:formatCode>
                <c:ptCount val="1"/>
                <c:pt idx="0">
                  <c:v>1</c:v>
                </c:pt>
              </c:numCache>
            </c:numRef>
          </c:xVal>
          <c:yVal>
            <c:numRef>
              <c:f>Audits!$AF$12</c:f>
              <c:numCache>
                <c:formatCode>General</c:formatCode>
                <c:ptCount val="1"/>
                <c:pt idx="0">
                  <c:v>1</c:v>
                </c:pt>
              </c:numCache>
            </c:numRef>
          </c:yVal>
          <c:bubbleSize>
            <c:numRef>
              <c:f>Audits!$AE$12</c:f>
              <c:numCache>
                <c:formatCode>0.0</c:formatCode>
                <c:ptCount val="1"/>
                <c:pt idx="0">
                  <c:v>5.5238095238095237</c:v>
                </c:pt>
              </c:numCache>
            </c:numRef>
          </c:bubbleSize>
          <c:bubble3D val="0"/>
          <c:extLst>
            <c:ext xmlns:c16="http://schemas.microsoft.com/office/drawing/2014/chart" uri="{C3380CC4-5D6E-409C-BE32-E72D297353CC}">
              <c16:uniqueId val="{0000000B-8D6C-A240-86A9-6A89BBA331D2}"/>
            </c:ext>
          </c:extLst>
        </c:ser>
        <c:ser>
          <c:idx val="4"/>
          <c:order val="1"/>
          <c:tx>
            <c:strRef>
              <c:f>Audits!$AB$13</c:f>
              <c:strCache>
                <c:ptCount val="1"/>
                <c:pt idx="0">
                  <c:v>Non-audit year</c:v>
                </c:pt>
              </c:strCache>
            </c:strRef>
          </c:tx>
          <c:spPr>
            <a:solidFill>
              <a:schemeClr val="accent2">
                <a:lumMod val="60000"/>
                <a:lumOff val="40000"/>
              </a:schemeClr>
            </a:solidFill>
            <a:ln w="25400">
              <a:noFill/>
            </a:ln>
          </c:spPr>
          <c:invertIfNegative val="0"/>
          <c:dPt>
            <c:idx val="0"/>
            <c:invertIfNegative val="0"/>
            <c:bubble3D val="0"/>
            <c:spPr>
              <a:solidFill>
                <a:schemeClr val="accent2"/>
              </a:solidFill>
              <a:ln w="25400">
                <a:no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extLst>
                <c:ext xmlns:c15="http://schemas.microsoft.com/office/drawing/2012/chart" uri="{CE6537A1-D6FC-4f65-9D91-7224C49458BB}"/>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Audits!$AD$15</c:f>
              <c:numCache>
                <c:formatCode>General</c:formatCode>
                <c:ptCount val="1"/>
                <c:pt idx="0">
                  <c:v>2</c:v>
                </c:pt>
              </c:numCache>
            </c:numRef>
          </c:xVal>
          <c:yVal>
            <c:numRef>
              <c:f>Audits!$AF$13</c:f>
              <c:numCache>
                <c:formatCode>General</c:formatCode>
                <c:ptCount val="1"/>
                <c:pt idx="0">
                  <c:v>1</c:v>
                </c:pt>
              </c:numCache>
            </c:numRef>
          </c:yVal>
          <c:bubbleSize>
            <c:numRef>
              <c:f>Audits!$AE$13</c:f>
              <c:numCache>
                <c:formatCode>0.0</c:formatCode>
                <c:ptCount val="1"/>
                <c:pt idx="0">
                  <c:v>0.37878787878787878</c:v>
                </c:pt>
              </c:numCache>
            </c:numRef>
          </c:bubbleSize>
          <c:bubble3D val="0"/>
          <c:extLst>
            <c:ext xmlns:c16="http://schemas.microsoft.com/office/drawing/2014/chart" uri="{C3380CC4-5D6E-409C-BE32-E72D297353CC}">
              <c16:uniqueId val="{0000000C-8D6C-A240-86A9-6A89BBA331D2}"/>
            </c:ext>
          </c:extLst>
        </c:ser>
        <c:ser>
          <c:idx val="2"/>
          <c:order val="2"/>
          <c:tx>
            <c:strRef>
              <c:f>Audits!$AB$2</c:f>
              <c:strCache>
                <c:ptCount val="1"/>
                <c:pt idx="0">
                  <c:v>2023 - Michigan</c:v>
                </c:pt>
              </c:strCache>
            </c:strRef>
          </c:tx>
          <c:spPr>
            <a:solidFill>
              <a:schemeClr val="accent6">
                <a:lumMod val="60000"/>
                <a:lumOff val="40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Audits!$AB$15</c:f>
              <c:numCache>
                <c:formatCode>General</c:formatCode>
                <c:ptCount val="1"/>
                <c:pt idx="0">
                  <c:v>0</c:v>
                </c:pt>
              </c:numCache>
            </c:numRef>
          </c:xVal>
          <c:yVal>
            <c:numRef>
              <c:f>Audits!$AF$2</c:f>
              <c:numCache>
                <c:formatCode>General</c:formatCode>
                <c:ptCount val="1"/>
                <c:pt idx="0">
                  <c:v>1</c:v>
                </c:pt>
              </c:numCache>
            </c:numRef>
          </c:yVal>
          <c:bubbleSize>
            <c:numRef>
              <c:f>Audits!$AE$2</c:f>
              <c:numCache>
                <c:formatCode>General</c:formatCode>
                <c:ptCount val="1"/>
                <c:pt idx="0">
                  <c:v>13</c:v>
                </c:pt>
              </c:numCache>
            </c:numRef>
          </c:bubbleSize>
          <c:bubble3D val="0"/>
          <c:extLst>
            <c:ext xmlns:c16="http://schemas.microsoft.com/office/drawing/2014/chart" uri="{C3380CC4-5D6E-409C-BE32-E72D297353CC}">
              <c16:uniqueId val="{0000000A-8D6C-A240-86A9-6A89BBA331D2}"/>
            </c:ext>
          </c:extLst>
        </c:ser>
        <c:dLbls>
          <c:dLblPos val="ctr"/>
          <c:showLegendKey val="0"/>
          <c:showVal val="1"/>
          <c:showCatName val="0"/>
          <c:showSerName val="0"/>
          <c:showPercent val="0"/>
          <c:showBubbleSize val="0"/>
        </c:dLbls>
        <c:bubbleScale val="100"/>
        <c:showNegBubbles val="0"/>
        <c:axId val="844295759"/>
        <c:axId val="345253215"/>
      </c:bubbleChart>
      <c:valAx>
        <c:axId val="844295759"/>
        <c:scaling>
          <c:orientation val="minMax"/>
        </c:scaling>
        <c:delete val="1"/>
        <c:axPos val="b"/>
        <c:numFmt formatCode="General" sourceLinked="1"/>
        <c:majorTickMark val="out"/>
        <c:minorTickMark val="none"/>
        <c:tickLblPos val="nextTo"/>
        <c:crossAx val="345253215"/>
        <c:crosses val="autoZero"/>
        <c:crossBetween val="midCat"/>
      </c:valAx>
      <c:valAx>
        <c:axId val="345253215"/>
        <c:scaling>
          <c:orientation val="minMax"/>
          <c:max val="2"/>
          <c:min val="0"/>
        </c:scaling>
        <c:delete val="1"/>
        <c:axPos val="l"/>
        <c:numFmt formatCode="General" sourceLinked="1"/>
        <c:majorTickMark val="out"/>
        <c:minorTickMark val="none"/>
        <c:tickLblPos val="nextTo"/>
        <c:crossAx val="844295759"/>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8483865987339"/>
          <c:y val="7.6082949308755754E-2"/>
          <c:w val="0.86341516134012664"/>
          <c:h val="0.89861751152073732"/>
        </c:manualLayout>
      </c:layout>
      <c:bubbleChart>
        <c:varyColors val="0"/>
        <c:ser>
          <c:idx val="0"/>
          <c:order val="0"/>
          <c:tx>
            <c:strRef>
              <c:f>Audits!$AB$3</c:f>
              <c:strCache>
                <c:ptCount val="1"/>
                <c:pt idx="0">
                  <c:v>2023 Audited Average</c:v>
                </c:pt>
              </c:strCache>
            </c:strRef>
          </c:tx>
          <c:spPr>
            <a:solidFill>
              <a:schemeClr val="accent1">
                <a:lumMod val="60000"/>
                <a:lumOff val="40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Audits!$AC$15</c:f>
              <c:numCache>
                <c:formatCode>General</c:formatCode>
                <c:ptCount val="1"/>
                <c:pt idx="0">
                  <c:v>1</c:v>
                </c:pt>
              </c:numCache>
            </c:numRef>
          </c:xVal>
          <c:yVal>
            <c:numRef>
              <c:f>Audits!$AF$12</c:f>
              <c:numCache>
                <c:formatCode>General</c:formatCode>
                <c:ptCount val="1"/>
                <c:pt idx="0">
                  <c:v>1</c:v>
                </c:pt>
              </c:numCache>
            </c:numRef>
          </c:yVal>
          <c:bubbleSize>
            <c:numRef>
              <c:f>Audits!$AE$3</c:f>
              <c:numCache>
                <c:formatCode>0.0</c:formatCode>
                <c:ptCount val="1"/>
                <c:pt idx="0">
                  <c:v>4.625</c:v>
                </c:pt>
              </c:numCache>
            </c:numRef>
          </c:bubbleSize>
          <c:bubble3D val="0"/>
          <c:extLst>
            <c:ext xmlns:c16="http://schemas.microsoft.com/office/drawing/2014/chart" uri="{C3380CC4-5D6E-409C-BE32-E72D297353CC}">
              <c16:uniqueId val="{00000000-1EC6-414A-9D86-A2DAB675FC62}"/>
            </c:ext>
          </c:extLst>
        </c:ser>
        <c:ser>
          <c:idx val="1"/>
          <c:order val="1"/>
          <c:tx>
            <c:strRef>
              <c:f>Audits!$AB$4</c:f>
              <c:strCache>
                <c:ptCount val="1"/>
                <c:pt idx="0">
                  <c:v>2023 Not Audited</c:v>
                </c:pt>
              </c:strCache>
            </c:strRef>
          </c:tx>
          <c:spPr>
            <a:solidFill>
              <a:schemeClr val="accent2"/>
            </a:solidFill>
            <a:ln w="25400">
              <a:noFill/>
            </a:ln>
            <a:effectLst/>
          </c:spPr>
          <c:invertIfNegative val="0"/>
          <c:dLbls>
            <c:dLbl>
              <c:idx val="0"/>
              <c:layout>
                <c:manualLayout>
                  <c:x val="-1.3053111008182681E-2"/>
                  <c:y val="-9.6774193548387094E-2"/>
                </c:manualLayout>
              </c:layout>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1EC6-414A-9D86-A2DAB675FC6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Audits!$AD$15</c:f>
              <c:numCache>
                <c:formatCode>General</c:formatCode>
                <c:ptCount val="1"/>
                <c:pt idx="0">
                  <c:v>2</c:v>
                </c:pt>
              </c:numCache>
            </c:numRef>
          </c:xVal>
          <c:yVal>
            <c:numRef>
              <c:f>Audits!$AF$13</c:f>
              <c:numCache>
                <c:formatCode>General</c:formatCode>
                <c:ptCount val="1"/>
                <c:pt idx="0">
                  <c:v>1</c:v>
                </c:pt>
              </c:numCache>
            </c:numRef>
          </c:yVal>
          <c:bubbleSize>
            <c:numRef>
              <c:f>Audits!$AE$4</c:f>
              <c:numCache>
                <c:formatCode>0.0</c:formatCode>
                <c:ptCount val="1"/>
                <c:pt idx="0">
                  <c:v>6.9767441860465115E-2</c:v>
                </c:pt>
              </c:numCache>
            </c:numRef>
          </c:bubbleSize>
          <c:bubble3D val="0"/>
          <c:extLst>
            <c:ext xmlns:c16="http://schemas.microsoft.com/office/drawing/2014/chart" uri="{C3380CC4-5D6E-409C-BE32-E72D297353CC}">
              <c16:uniqueId val="{00000002-1EC6-414A-9D86-A2DAB675FC62}"/>
            </c:ext>
          </c:extLst>
        </c:ser>
        <c:ser>
          <c:idx val="2"/>
          <c:order val="2"/>
          <c:tx>
            <c:strRef>
              <c:f>Audits!$AB$2</c:f>
              <c:strCache>
                <c:ptCount val="1"/>
                <c:pt idx="0">
                  <c:v>2023 - Michigan</c:v>
                </c:pt>
              </c:strCache>
            </c:strRef>
          </c:tx>
          <c:spPr>
            <a:solidFill>
              <a:schemeClr val="accent6">
                <a:lumMod val="60000"/>
                <a:lumOff val="40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Audits!$AB$15</c:f>
              <c:numCache>
                <c:formatCode>General</c:formatCode>
                <c:ptCount val="1"/>
                <c:pt idx="0">
                  <c:v>0</c:v>
                </c:pt>
              </c:numCache>
            </c:numRef>
          </c:xVal>
          <c:yVal>
            <c:numRef>
              <c:f>Audits!$AF$2</c:f>
              <c:numCache>
                <c:formatCode>General</c:formatCode>
                <c:ptCount val="1"/>
                <c:pt idx="0">
                  <c:v>1</c:v>
                </c:pt>
              </c:numCache>
            </c:numRef>
          </c:yVal>
          <c:bubbleSize>
            <c:numRef>
              <c:f>Audits!$AE$2</c:f>
              <c:numCache>
                <c:formatCode>General</c:formatCode>
                <c:ptCount val="1"/>
                <c:pt idx="0">
                  <c:v>13</c:v>
                </c:pt>
              </c:numCache>
            </c:numRef>
          </c:bubbleSize>
          <c:bubble3D val="0"/>
          <c:extLst>
            <c:ext xmlns:c16="http://schemas.microsoft.com/office/drawing/2014/chart" uri="{C3380CC4-5D6E-409C-BE32-E72D297353CC}">
              <c16:uniqueId val="{00000003-1EC6-414A-9D86-A2DAB675FC62}"/>
            </c:ext>
          </c:extLst>
        </c:ser>
        <c:dLbls>
          <c:dLblPos val="ctr"/>
          <c:showLegendKey val="0"/>
          <c:showVal val="1"/>
          <c:showCatName val="0"/>
          <c:showSerName val="0"/>
          <c:showPercent val="0"/>
          <c:showBubbleSize val="0"/>
        </c:dLbls>
        <c:bubbleScale val="100"/>
        <c:showNegBubbles val="0"/>
        <c:axId val="844295759"/>
        <c:axId val="345253215"/>
      </c:bubbleChart>
      <c:valAx>
        <c:axId val="844295759"/>
        <c:scaling>
          <c:orientation val="minMax"/>
        </c:scaling>
        <c:delete val="1"/>
        <c:axPos val="b"/>
        <c:numFmt formatCode="General" sourceLinked="1"/>
        <c:majorTickMark val="out"/>
        <c:minorTickMark val="none"/>
        <c:tickLblPos val="nextTo"/>
        <c:crossAx val="345253215"/>
        <c:crosses val="autoZero"/>
        <c:crossBetween val="midCat"/>
      </c:valAx>
      <c:valAx>
        <c:axId val="345253215"/>
        <c:scaling>
          <c:orientation val="minMax"/>
          <c:max val="2"/>
          <c:min val="0"/>
        </c:scaling>
        <c:delete val="1"/>
        <c:axPos val="l"/>
        <c:numFmt formatCode="General" sourceLinked="1"/>
        <c:majorTickMark val="out"/>
        <c:minorTickMark val="none"/>
        <c:tickLblPos val="nextTo"/>
        <c:crossAx val="84429575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507511</xdr:colOff>
      <xdr:row>55</xdr:row>
      <xdr:rowOff>168030</xdr:rowOff>
    </xdr:from>
    <xdr:to>
      <xdr:col>15</xdr:col>
      <xdr:colOff>1104900</xdr:colOff>
      <xdr:row>80</xdr:row>
      <xdr:rowOff>152400</xdr:rowOff>
    </xdr:to>
    <xdr:graphicFrame macro="">
      <xdr:nvGraphicFramePr>
        <xdr:cNvPr id="4" name="Chart 3">
          <a:extLst>
            <a:ext uri="{FF2B5EF4-FFF2-40B4-BE49-F238E27FC236}">
              <a16:creationId xmlns:a16="http://schemas.microsoft.com/office/drawing/2014/main" id="{C271D873-B631-34B6-F3B1-EFCD30499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56</xdr:row>
      <xdr:rowOff>76200</xdr:rowOff>
    </xdr:from>
    <xdr:to>
      <xdr:col>8</xdr:col>
      <xdr:colOff>787400</xdr:colOff>
      <xdr:row>67</xdr:row>
      <xdr:rowOff>88900</xdr:rowOff>
    </xdr:to>
    <xdr:graphicFrame macro="">
      <xdr:nvGraphicFramePr>
        <xdr:cNvPr id="5" name="Chart 4">
          <a:extLst>
            <a:ext uri="{FF2B5EF4-FFF2-40B4-BE49-F238E27FC236}">
              <a16:creationId xmlns:a16="http://schemas.microsoft.com/office/drawing/2014/main" id="{F4B95C9E-CF23-174B-8892-F3F61A9DD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2178050</xdr:colOff>
      <xdr:row>60</xdr:row>
      <xdr:rowOff>158750</xdr:rowOff>
    </xdr:from>
    <xdr:to>
      <xdr:col>3</xdr:col>
      <xdr:colOff>127000</xdr:colOff>
      <xdr:row>69</xdr:row>
      <xdr:rowOff>50800</xdr:rowOff>
    </xdr:to>
    <xdr:graphicFrame macro="">
      <xdr:nvGraphicFramePr>
        <xdr:cNvPr id="6" name="Chart 5">
          <a:extLst>
            <a:ext uri="{FF2B5EF4-FFF2-40B4-BE49-F238E27FC236}">
              <a16:creationId xmlns:a16="http://schemas.microsoft.com/office/drawing/2014/main" id="{0C7D4B1A-77FC-06CD-AB29-576EABF90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635000</xdr:colOff>
      <xdr:row>30</xdr:row>
      <xdr:rowOff>25400</xdr:rowOff>
    </xdr:from>
    <xdr:to>
      <xdr:col>31</xdr:col>
      <xdr:colOff>393700</xdr:colOff>
      <xdr:row>42</xdr:row>
      <xdr:rowOff>190500</xdr:rowOff>
    </xdr:to>
    <xdr:graphicFrame macro="">
      <xdr:nvGraphicFramePr>
        <xdr:cNvPr id="2" name="Chart 4">
          <a:extLst>
            <a:ext uri="{FF2B5EF4-FFF2-40B4-BE49-F238E27FC236}">
              <a16:creationId xmlns:a16="http://schemas.microsoft.com/office/drawing/2014/main" id="{3607B4DC-A9D8-1199-E35C-72D2B5A67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596900</xdr:colOff>
      <xdr:row>16</xdr:row>
      <xdr:rowOff>88900</xdr:rowOff>
    </xdr:from>
    <xdr:to>
      <xdr:col>31</xdr:col>
      <xdr:colOff>355600</xdr:colOff>
      <xdr:row>29</xdr:row>
      <xdr:rowOff>38100</xdr:rowOff>
    </xdr:to>
    <xdr:graphicFrame macro="">
      <xdr:nvGraphicFramePr>
        <xdr:cNvPr id="7" name="Chart 6">
          <a:extLst>
            <a:ext uri="{FF2B5EF4-FFF2-40B4-BE49-F238E27FC236}">
              <a16:creationId xmlns:a16="http://schemas.microsoft.com/office/drawing/2014/main" id="{A14448D1-581F-7B49-ACBC-19D272F03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strustorg.sharepoint.com/sites/PipelineSafetyTrust/Shared%20Documents/Transparency-Studies/State%20Website%20Transparency/2023%20website%20review/2023%20Transparency%20Review%20Worksheet%20DRAFT.xlsx" TargetMode="External"/><Relationship Id="rId1" Type="http://schemas.openxmlformats.org/officeDocument/2006/relationships/externalLinkPath" Target="2023%20Transparency%20Review%20Worksheet%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 Review w Notes"/>
      <sheetName val="2022 Review w Notes"/>
      <sheetName val="2020 Review w Notes"/>
      <sheetName val="2018 Review w Notes"/>
      <sheetName val="2017 Review w Notes"/>
      <sheetName val="2016 Review w Notes"/>
    </sheetNames>
    <sheetDataSet>
      <sheetData sheetId="0" refreshError="1"/>
      <sheetData sheetId="1">
        <row r="1">
          <cell r="A1" t="str">
            <v>Column1</v>
          </cell>
          <cell r="B1" t="str">
            <v>Finding agency web site</v>
          </cell>
          <cell r="C1" t="str">
            <v>Contacts for agency staff</v>
          </cell>
          <cell r="D1" t="str">
            <v>Access to statutes, regulations</v>
          </cell>
          <cell r="E1" t="str">
            <v>Describe what state regulates</v>
          </cell>
          <cell r="F1" t="str">
            <v>Transmission pipeline maps</v>
          </cell>
          <cell r="G1" t="str">
            <v>Pipeline company contact info</v>
          </cell>
          <cell r="H1" t="str">
            <v>Inspection records</v>
          </cell>
          <cell r="I1" t="str">
            <v>Incident data</v>
          </cell>
          <cell r="J1" t="str">
            <v>Enforcement data</v>
          </cell>
          <cell r="K1" t="str">
            <v>Excavation damage data</v>
          </cell>
          <cell r="L1" t="str">
            <v>Siting &amp; routing info</v>
          </cell>
          <cell r="M1" t="str">
            <v>2022 Total Score</v>
          </cell>
        </row>
        <row r="2">
          <cell r="A2" t="str">
            <v>Alabama</v>
          </cell>
          <cell r="B2">
            <v>3</v>
          </cell>
          <cell r="C2">
            <v>3</v>
          </cell>
          <cell r="D2">
            <v>0</v>
          </cell>
          <cell r="E2">
            <v>3</v>
          </cell>
          <cell r="F2">
            <v>0</v>
          </cell>
          <cell r="G2">
            <v>0</v>
          </cell>
          <cell r="H2">
            <v>1</v>
          </cell>
          <cell r="I2">
            <v>0</v>
          </cell>
          <cell r="J2">
            <v>0</v>
          </cell>
          <cell r="K2">
            <v>0</v>
          </cell>
          <cell r="L2">
            <v>0</v>
          </cell>
          <cell r="M2">
            <v>10</v>
          </cell>
        </row>
        <row r="3">
          <cell r="A3" t="str">
            <v>Arizona</v>
          </cell>
          <cell r="B3">
            <v>2</v>
          </cell>
          <cell r="C3">
            <v>1</v>
          </cell>
          <cell r="D3">
            <v>2</v>
          </cell>
          <cell r="E3">
            <v>3</v>
          </cell>
          <cell r="F3">
            <v>3</v>
          </cell>
          <cell r="G3">
            <v>2</v>
          </cell>
          <cell r="H3">
            <v>0</v>
          </cell>
          <cell r="I3">
            <v>2</v>
          </cell>
          <cell r="J3">
            <v>2</v>
          </cell>
          <cell r="K3">
            <v>3</v>
          </cell>
          <cell r="L3">
            <v>0</v>
          </cell>
          <cell r="M3">
            <v>20</v>
          </cell>
        </row>
        <row r="4">
          <cell r="A4" t="str">
            <v>Arkansas</v>
          </cell>
          <cell r="B4">
            <v>2</v>
          </cell>
          <cell r="C4">
            <v>3</v>
          </cell>
          <cell r="D4">
            <v>3</v>
          </cell>
          <cell r="E4">
            <v>3</v>
          </cell>
          <cell r="F4">
            <v>3</v>
          </cell>
          <cell r="G4">
            <v>3</v>
          </cell>
          <cell r="H4">
            <v>3</v>
          </cell>
          <cell r="I4">
            <v>3</v>
          </cell>
          <cell r="J4">
            <v>3</v>
          </cell>
          <cell r="K4">
            <v>3</v>
          </cell>
          <cell r="L4">
            <v>3</v>
          </cell>
          <cell r="M4">
            <v>32</v>
          </cell>
        </row>
        <row r="5">
          <cell r="A5" t="str">
            <v>Arkansas OGC</v>
          </cell>
          <cell r="B5">
            <v>2</v>
          </cell>
          <cell r="C5">
            <v>0</v>
          </cell>
          <cell r="D5">
            <v>2</v>
          </cell>
          <cell r="E5">
            <v>2</v>
          </cell>
          <cell r="F5">
            <v>2</v>
          </cell>
          <cell r="G5">
            <v>1</v>
          </cell>
          <cell r="H5">
            <v>3</v>
          </cell>
          <cell r="I5">
            <v>0</v>
          </cell>
          <cell r="J5">
            <v>0</v>
          </cell>
          <cell r="K5">
            <v>0</v>
          </cell>
          <cell r="L5">
            <v>0</v>
          </cell>
          <cell r="M5">
            <v>12</v>
          </cell>
        </row>
        <row r="6">
          <cell r="A6" t="str">
            <v>California Gas</v>
          </cell>
          <cell r="B6">
            <v>3</v>
          </cell>
          <cell r="C6">
            <v>3</v>
          </cell>
          <cell r="D6">
            <v>3</v>
          </cell>
          <cell r="E6">
            <v>3</v>
          </cell>
          <cell r="F6">
            <v>3</v>
          </cell>
          <cell r="G6">
            <v>3</v>
          </cell>
          <cell r="H6">
            <v>3</v>
          </cell>
          <cell r="I6">
            <v>2</v>
          </cell>
          <cell r="J6">
            <v>3</v>
          </cell>
          <cell r="K6">
            <v>3</v>
          </cell>
          <cell r="L6">
            <v>3</v>
          </cell>
          <cell r="M6">
            <v>32</v>
          </cell>
        </row>
        <row r="7">
          <cell r="A7" t="str">
            <v>California Liquid*</v>
          </cell>
          <cell r="B7">
            <v>3</v>
          </cell>
          <cell r="C7">
            <v>3</v>
          </cell>
          <cell r="D7">
            <v>3</v>
          </cell>
          <cell r="E7">
            <v>3</v>
          </cell>
          <cell r="F7">
            <v>3</v>
          </cell>
          <cell r="G7">
            <v>0</v>
          </cell>
          <cell r="H7">
            <v>2</v>
          </cell>
          <cell r="I7">
            <v>0</v>
          </cell>
          <cell r="J7">
            <v>0</v>
          </cell>
          <cell r="K7">
            <v>0</v>
          </cell>
          <cell r="L7">
            <v>0</v>
          </cell>
          <cell r="M7">
            <v>17</v>
          </cell>
        </row>
        <row r="8">
          <cell r="A8" t="str">
            <v>Colorado</v>
          </cell>
          <cell r="B8">
            <v>2</v>
          </cell>
          <cell r="C8">
            <v>1</v>
          </cell>
          <cell r="D8">
            <v>3</v>
          </cell>
          <cell r="E8">
            <v>3</v>
          </cell>
          <cell r="F8">
            <v>3</v>
          </cell>
          <cell r="G8">
            <v>1</v>
          </cell>
          <cell r="H8">
            <v>1</v>
          </cell>
          <cell r="I8">
            <v>2</v>
          </cell>
          <cell r="J8">
            <v>2</v>
          </cell>
          <cell r="K8">
            <v>3</v>
          </cell>
          <cell r="L8">
            <v>0</v>
          </cell>
          <cell r="M8">
            <v>21</v>
          </cell>
        </row>
        <row r="9">
          <cell r="A9" t="str">
            <v>Connecticut</v>
          </cell>
          <cell r="B9">
            <v>3</v>
          </cell>
          <cell r="C9">
            <v>3</v>
          </cell>
          <cell r="D9">
            <v>3</v>
          </cell>
          <cell r="E9">
            <v>3</v>
          </cell>
          <cell r="F9">
            <v>3</v>
          </cell>
          <cell r="G9">
            <v>1</v>
          </cell>
          <cell r="H9">
            <v>2</v>
          </cell>
          <cell r="I9">
            <v>2</v>
          </cell>
          <cell r="J9">
            <v>2</v>
          </cell>
          <cell r="K9">
            <v>3</v>
          </cell>
          <cell r="L9">
            <v>3</v>
          </cell>
          <cell r="M9">
            <v>28</v>
          </cell>
        </row>
        <row r="10">
          <cell r="A10" t="str">
            <v>DC</v>
          </cell>
          <cell r="B10">
            <v>2</v>
          </cell>
          <cell r="C10">
            <v>0</v>
          </cell>
          <cell r="D10">
            <v>2</v>
          </cell>
          <cell r="E10">
            <v>2</v>
          </cell>
          <cell r="F10">
            <v>0</v>
          </cell>
          <cell r="G10">
            <v>0</v>
          </cell>
          <cell r="H10">
            <v>0</v>
          </cell>
          <cell r="I10">
            <v>0</v>
          </cell>
          <cell r="J10">
            <v>0</v>
          </cell>
          <cell r="K10">
            <v>0</v>
          </cell>
          <cell r="L10">
            <v>0</v>
          </cell>
          <cell r="M10">
            <v>6</v>
          </cell>
        </row>
        <row r="11">
          <cell r="A11" t="str">
            <v>Delaware</v>
          </cell>
          <cell r="B11">
            <v>3</v>
          </cell>
          <cell r="C11">
            <v>2</v>
          </cell>
          <cell r="D11">
            <v>0</v>
          </cell>
          <cell r="E11">
            <v>1</v>
          </cell>
          <cell r="F11">
            <v>0</v>
          </cell>
          <cell r="G11">
            <v>0</v>
          </cell>
          <cell r="H11">
            <v>0</v>
          </cell>
          <cell r="I11">
            <v>2</v>
          </cell>
          <cell r="J11">
            <v>2</v>
          </cell>
          <cell r="K11">
            <v>3</v>
          </cell>
          <cell r="L11">
            <v>0</v>
          </cell>
          <cell r="M11">
            <v>13</v>
          </cell>
        </row>
        <row r="12">
          <cell r="A12" t="str">
            <v>Florida</v>
          </cell>
          <cell r="B12">
            <v>0</v>
          </cell>
          <cell r="C12">
            <v>0</v>
          </cell>
          <cell r="D12">
            <v>1</v>
          </cell>
          <cell r="E12">
            <v>0</v>
          </cell>
          <cell r="F12">
            <v>1</v>
          </cell>
          <cell r="G12">
            <v>1</v>
          </cell>
          <cell r="H12">
            <v>0</v>
          </cell>
          <cell r="I12">
            <v>0</v>
          </cell>
          <cell r="J12">
            <v>0</v>
          </cell>
          <cell r="K12">
            <v>0</v>
          </cell>
          <cell r="L12">
            <v>0</v>
          </cell>
          <cell r="M12">
            <v>3</v>
          </cell>
        </row>
        <row r="13">
          <cell r="A13" t="str">
            <v>Georgia</v>
          </cell>
          <cell r="B13">
            <v>2</v>
          </cell>
          <cell r="C13">
            <v>3</v>
          </cell>
          <cell r="D13">
            <v>3</v>
          </cell>
          <cell r="E13">
            <v>2</v>
          </cell>
          <cell r="F13">
            <v>3</v>
          </cell>
          <cell r="G13">
            <v>1</v>
          </cell>
          <cell r="H13">
            <v>0</v>
          </cell>
          <cell r="I13">
            <v>0</v>
          </cell>
          <cell r="J13">
            <v>0</v>
          </cell>
          <cell r="K13">
            <v>0</v>
          </cell>
          <cell r="L13">
            <v>0</v>
          </cell>
          <cell r="M13">
            <v>14</v>
          </cell>
        </row>
        <row r="14">
          <cell r="A14" t="str">
            <v>Idaho</v>
          </cell>
          <cell r="B14">
            <v>2</v>
          </cell>
          <cell r="C14">
            <v>1</v>
          </cell>
          <cell r="D14">
            <v>2</v>
          </cell>
          <cell r="E14">
            <v>2</v>
          </cell>
          <cell r="F14">
            <v>1</v>
          </cell>
          <cell r="G14">
            <v>3</v>
          </cell>
          <cell r="H14">
            <v>2</v>
          </cell>
          <cell r="I14">
            <v>2</v>
          </cell>
          <cell r="J14">
            <v>2</v>
          </cell>
          <cell r="K14">
            <v>3</v>
          </cell>
          <cell r="L14">
            <v>0</v>
          </cell>
          <cell r="M14">
            <v>20</v>
          </cell>
        </row>
        <row r="15">
          <cell r="A15" t="str">
            <v>Illinois</v>
          </cell>
          <cell r="B15">
            <v>3</v>
          </cell>
          <cell r="C15">
            <v>3</v>
          </cell>
          <cell r="D15">
            <v>3</v>
          </cell>
          <cell r="E15">
            <v>3</v>
          </cell>
          <cell r="F15">
            <v>3</v>
          </cell>
          <cell r="G15">
            <v>3</v>
          </cell>
          <cell r="H15">
            <v>3</v>
          </cell>
          <cell r="I15">
            <v>3</v>
          </cell>
          <cell r="J15">
            <v>3</v>
          </cell>
          <cell r="K15">
            <v>3</v>
          </cell>
          <cell r="L15">
            <v>3</v>
          </cell>
          <cell r="M15">
            <v>33</v>
          </cell>
        </row>
        <row r="16">
          <cell r="A16" t="str">
            <v>Indiana</v>
          </cell>
          <cell r="B16">
            <v>3</v>
          </cell>
          <cell r="C16">
            <v>3</v>
          </cell>
          <cell r="D16">
            <v>3</v>
          </cell>
          <cell r="E16">
            <v>2</v>
          </cell>
          <cell r="F16">
            <v>3</v>
          </cell>
          <cell r="G16">
            <v>0</v>
          </cell>
          <cell r="H16">
            <v>0</v>
          </cell>
          <cell r="I16">
            <v>2</v>
          </cell>
          <cell r="J16">
            <v>2</v>
          </cell>
          <cell r="K16">
            <v>3</v>
          </cell>
          <cell r="L16">
            <v>0</v>
          </cell>
          <cell r="M16">
            <v>21</v>
          </cell>
        </row>
        <row r="17">
          <cell r="A17" t="str">
            <v>Iowa</v>
          </cell>
          <cell r="B17">
            <v>3</v>
          </cell>
          <cell r="C17">
            <v>1</v>
          </cell>
          <cell r="D17">
            <v>1</v>
          </cell>
          <cell r="E17">
            <v>2</v>
          </cell>
          <cell r="F17">
            <v>2</v>
          </cell>
          <cell r="G17">
            <v>0</v>
          </cell>
          <cell r="H17">
            <v>2</v>
          </cell>
          <cell r="I17">
            <v>3</v>
          </cell>
          <cell r="J17">
            <v>0</v>
          </cell>
          <cell r="K17">
            <v>0</v>
          </cell>
          <cell r="L17">
            <v>3</v>
          </cell>
          <cell r="M17">
            <v>17</v>
          </cell>
        </row>
        <row r="18">
          <cell r="A18" t="str">
            <v>Kansas</v>
          </cell>
          <cell r="B18">
            <v>3</v>
          </cell>
          <cell r="C18">
            <v>2</v>
          </cell>
          <cell r="D18">
            <v>1</v>
          </cell>
          <cell r="E18">
            <v>0</v>
          </cell>
          <cell r="F18">
            <v>2</v>
          </cell>
          <cell r="G18">
            <v>3</v>
          </cell>
          <cell r="H18">
            <v>0</v>
          </cell>
          <cell r="I18">
            <v>0</v>
          </cell>
          <cell r="J18">
            <v>0</v>
          </cell>
          <cell r="K18">
            <v>0</v>
          </cell>
          <cell r="L18">
            <v>0</v>
          </cell>
          <cell r="M18">
            <v>11</v>
          </cell>
        </row>
        <row r="19">
          <cell r="A19" t="str">
            <v>Kentucky</v>
          </cell>
          <cell r="B19">
            <v>3</v>
          </cell>
          <cell r="C19">
            <v>0</v>
          </cell>
          <cell r="D19">
            <v>2</v>
          </cell>
          <cell r="E19">
            <v>2</v>
          </cell>
          <cell r="F19">
            <v>3</v>
          </cell>
          <cell r="G19">
            <v>0</v>
          </cell>
          <cell r="H19">
            <v>0</v>
          </cell>
          <cell r="I19">
            <v>2</v>
          </cell>
          <cell r="J19">
            <v>2</v>
          </cell>
          <cell r="K19">
            <v>3</v>
          </cell>
          <cell r="L19">
            <v>0</v>
          </cell>
          <cell r="M19">
            <v>17</v>
          </cell>
        </row>
        <row r="20">
          <cell r="A20" t="str">
            <v>Louisiana</v>
          </cell>
          <cell r="B20">
            <v>3</v>
          </cell>
          <cell r="C20">
            <v>3</v>
          </cell>
          <cell r="D20">
            <v>2</v>
          </cell>
          <cell r="E20">
            <v>3</v>
          </cell>
          <cell r="F20">
            <v>3</v>
          </cell>
          <cell r="G20">
            <v>2</v>
          </cell>
          <cell r="H20">
            <v>3</v>
          </cell>
          <cell r="I20">
            <v>2</v>
          </cell>
          <cell r="J20">
            <v>2</v>
          </cell>
          <cell r="K20">
            <v>3</v>
          </cell>
          <cell r="L20">
            <v>3</v>
          </cell>
          <cell r="M20">
            <v>29</v>
          </cell>
        </row>
        <row r="21">
          <cell r="A21" t="str">
            <v>Maine</v>
          </cell>
          <cell r="B21">
            <v>3</v>
          </cell>
          <cell r="C21">
            <v>3</v>
          </cell>
          <cell r="D21">
            <v>2</v>
          </cell>
          <cell r="E21">
            <v>3</v>
          </cell>
          <cell r="F21">
            <v>3</v>
          </cell>
          <cell r="G21">
            <v>2</v>
          </cell>
          <cell r="H21">
            <v>2</v>
          </cell>
          <cell r="I21">
            <v>3</v>
          </cell>
          <cell r="J21">
            <v>2</v>
          </cell>
          <cell r="K21">
            <v>3</v>
          </cell>
          <cell r="L21">
            <v>3</v>
          </cell>
          <cell r="M21">
            <v>29</v>
          </cell>
        </row>
        <row r="22">
          <cell r="A22" t="str">
            <v>Maryland</v>
          </cell>
          <cell r="B22">
            <v>2</v>
          </cell>
          <cell r="C22">
            <v>0</v>
          </cell>
          <cell r="D22">
            <v>0</v>
          </cell>
          <cell r="E22">
            <v>2</v>
          </cell>
          <cell r="F22">
            <v>0</v>
          </cell>
          <cell r="G22">
            <v>0</v>
          </cell>
          <cell r="H22">
            <v>1</v>
          </cell>
          <cell r="I22">
            <v>0</v>
          </cell>
          <cell r="J22">
            <v>0</v>
          </cell>
          <cell r="K22">
            <v>0</v>
          </cell>
          <cell r="L22">
            <v>0</v>
          </cell>
          <cell r="M22">
            <v>5</v>
          </cell>
        </row>
        <row r="23">
          <cell r="A23" t="str">
            <v>Massachusetts</v>
          </cell>
          <cell r="B23">
            <v>3</v>
          </cell>
          <cell r="C23">
            <v>2</v>
          </cell>
          <cell r="D23">
            <v>3</v>
          </cell>
          <cell r="E23">
            <v>2</v>
          </cell>
          <cell r="F23">
            <v>3</v>
          </cell>
          <cell r="G23">
            <v>0</v>
          </cell>
          <cell r="H23">
            <v>1</v>
          </cell>
          <cell r="I23">
            <v>3</v>
          </cell>
          <cell r="J23">
            <v>2</v>
          </cell>
          <cell r="K23">
            <v>3</v>
          </cell>
          <cell r="L23">
            <v>0</v>
          </cell>
          <cell r="M23">
            <v>22</v>
          </cell>
        </row>
        <row r="24">
          <cell r="A24" t="str">
            <v>Michigan</v>
          </cell>
          <cell r="B24">
            <v>3</v>
          </cell>
          <cell r="C24">
            <v>1</v>
          </cell>
          <cell r="D24">
            <v>1</v>
          </cell>
          <cell r="E24">
            <v>3</v>
          </cell>
          <cell r="F24">
            <v>3</v>
          </cell>
          <cell r="G24">
            <v>0</v>
          </cell>
          <cell r="H24">
            <v>0</v>
          </cell>
          <cell r="I24">
            <v>0</v>
          </cell>
          <cell r="J24">
            <v>0</v>
          </cell>
          <cell r="K24">
            <v>0</v>
          </cell>
          <cell r="L24">
            <v>0</v>
          </cell>
          <cell r="M24">
            <v>11</v>
          </cell>
        </row>
        <row r="25">
          <cell r="A25" t="str">
            <v>Minnesota</v>
          </cell>
          <cell r="B25">
            <v>3</v>
          </cell>
          <cell r="C25">
            <v>3</v>
          </cell>
          <cell r="D25">
            <v>3</v>
          </cell>
          <cell r="E25">
            <v>3</v>
          </cell>
          <cell r="F25">
            <v>3</v>
          </cell>
          <cell r="G25">
            <v>3</v>
          </cell>
          <cell r="H25">
            <v>1</v>
          </cell>
          <cell r="I25">
            <v>2</v>
          </cell>
          <cell r="J25">
            <v>2</v>
          </cell>
          <cell r="K25">
            <v>3</v>
          </cell>
          <cell r="L25">
            <v>3</v>
          </cell>
          <cell r="M25">
            <v>29</v>
          </cell>
        </row>
        <row r="26">
          <cell r="A26" t="str">
            <v>Mississippi</v>
          </cell>
          <cell r="B26">
            <v>2</v>
          </cell>
          <cell r="C26">
            <v>3</v>
          </cell>
          <cell r="D26">
            <v>2</v>
          </cell>
          <cell r="E26">
            <v>2</v>
          </cell>
          <cell r="F26">
            <v>3</v>
          </cell>
          <cell r="G26">
            <v>2</v>
          </cell>
          <cell r="H26">
            <v>1</v>
          </cell>
          <cell r="I26">
            <v>2</v>
          </cell>
          <cell r="J26">
            <v>2</v>
          </cell>
          <cell r="K26">
            <v>3</v>
          </cell>
          <cell r="L26">
            <v>0</v>
          </cell>
          <cell r="M26">
            <v>22</v>
          </cell>
        </row>
        <row r="27">
          <cell r="A27" t="str">
            <v>Missouri</v>
          </cell>
          <cell r="B27">
            <v>2</v>
          </cell>
          <cell r="C27">
            <v>1</v>
          </cell>
          <cell r="D27">
            <v>3</v>
          </cell>
          <cell r="E27">
            <v>3</v>
          </cell>
          <cell r="F27">
            <v>3</v>
          </cell>
          <cell r="G27">
            <v>1</v>
          </cell>
          <cell r="H27">
            <v>1</v>
          </cell>
          <cell r="I27">
            <v>2</v>
          </cell>
          <cell r="J27">
            <v>2</v>
          </cell>
          <cell r="K27">
            <v>3</v>
          </cell>
          <cell r="L27">
            <v>0</v>
          </cell>
          <cell r="M27">
            <v>21</v>
          </cell>
        </row>
        <row r="28">
          <cell r="A28" t="str">
            <v>Montana</v>
          </cell>
          <cell r="B28">
            <v>3</v>
          </cell>
          <cell r="C28">
            <v>1</v>
          </cell>
          <cell r="D28">
            <v>3</v>
          </cell>
          <cell r="E28">
            <v>3</v>
          </cell>
          <cell r="F28">
            <v>3</v>
          </cell>
          <cell r="G28">
            <v>2</v>
          </cell>
          <cell r="H28">
            <v>1</v>
          </cell>
          <cell r="I28">
            <v>2</v>
          </cell>
          <cell r="J28">
            <v>2</v>
          </cell>
          <cell r="K28">
            <v>3</v>
          </cell>
          <cell r="L28">
            <v>1</v>
          </cell>
          <cell r="M28">
            <v>24</v>
          </cell>
        </row>
        <row r="29">
          <cell r="A29" t="str">
            <v>Nebraska</v>
          </cell>
          <cell r="B29">
            <v>3</v>
          </cell>
          <cell r="C29">
            <v>3</v>
          </cell>
          <cell r="D29">
            <v>3</v>
          </cell>
          <cell r="E29">
            <v>3</v>
          </cell>
          <cell r="F29">
            <v>3</v>
          </cell>
          <cell r="G29">
            <v>3</v>
          </cell>
          <cell r="H29">
            <v>1</v>
          </cell>
          <cell r="I29">
            <v>2</v>
          </cell>
          <cell r="J29">
            <v>2</v>
          </cell>
          <cell r="K29">
            <v>3</v>
          </cell>
          <cell r="L29">
            <v>3</v>
          </cell>
          <cell r="M29">
            <v>29</v>
          </cell>
        </row>
        <row r="30">
          <cell r="A30" t="str">
            <v>Nevada</v>
          </cell>
          <cell r="B30">
            <v>3</v>
          </cell>
          <cell r="C30">
            <v>3</v>
          </cell>
          <cell r="D30">
            <v>3</v>
          </cell>
          <cell r="E30">
            <v>3</v>
          </cell>
          <cell r="F30">
            <v>3</v>
          </cell>
          <cell r="G30">
            <v>3</v>
          </cell>
          <cell r="H30">
            <v>3</v>
          </cell>
          <cell r="I30">
            <v>3</v>
          </cell>
          <cell r="J30">
            <v>3</v>
          </cell>
          <cell r="K30">
            <v>3</v>
          </cell>
          <cell r="L30">
            <v>3</v>
          </cell>
          <cell r="M30">
            <v>33</v>
          </cell>
        </row>
        <row r="31">
          <cell r="A31" t="str">
            <v>New Hampshire</v>
          </cell>
          <cell r="B31">
            <v>3</v>
          </cell>
          <cell r="C31">
            <v>3</v>
          </cell>
          <cell r="D31">
            <v>3</v>
          </cell>
          <cell r="E31">
            <v>3</v>
          </cell>
          <cell r="F31">
            <v>3</v>
          </cell>
          <cell r="G31">
            <v>3</v>
          </cell>
          <cell r="H31">
            <v>1</v>
          </cell>
          <cell r="I31">
            <v>3</v>
          </cell>
          <cell r="J31">
            <v>3</v>
          </cell>
          <cell r="K31">
            <v>3</v>
          </cell>
          <cell r="L31">
            <v>3</v>
          </cell>
          <cell r="M31">
            <v>31</v>
          </cell>
        </row>
        <row r="32">
          <cell r="A32" t="str">
            <v>New Jersey</v>
          </cell>
          <cell r="B32">
            <v>2</v>
          </cell>
          <cell r="C32">
            <v>3</v>
          </cell>
          <cell r="D32">
            <v>1</v>
          </cell>
          <cell r="E32">
            <v>3</v>
          </cell>
          <cell r="F32">
            <v>3</v>
          </cell>
          <cell r="G32">
            <v>1</v>
          </cell>
          <cell r="H32">
            <v>0</v>
          </cell>
          <cell r="I32">
            <v>2</v>
          </cell>
          <cell r="J32">
            <v>2</v>
          </cell>
          <cell r="K32">
            <v>3</v>
          </cell>
          <cell r="L32">
            <v>0</v>
          </cell>
          <cell r="M32">
            <v>20</v>
          </cell>
        </row>
        <row r="33">
          <cell r="A33" t="str">
            <v>New Mexico</v>
          </cell>
          <cell r="B33">
            <v>2</v>
          </cell>
          <cell r="C33">
            <v>3</v>
          </cell>
          <cell r="D33">
            <v>1</v>
          </cell>
          <cell r="E33">
            <v>2</v>
          </cell>
          <cell r="F33">
            <v>3</v>
          </cell>
          <cell r="G33">
            <v>0</v>
          </cell>
          <cell r="H33">
            <v>0</v>
          </cell>
          <cell r="I33">
            <v>2</v>
          </cell>
          <cell r="J33">
            <v>2</v>
          </cell>
          <cell r="K33">
            <v>3</v>
          </cell>
          <cell r="L33">
            <v>0</v>
          </cell>
          <cell r="M33">
            <v>18</v>
          </cell>
        </row>
        <row r="34">
          <cell r="A34" t="str">
            <v>New York</v>
          </cell>
          <cell r="B34">
            <v>2</v>
          </cell>
          <cell r="C34">
            <v>2</v>
          </cell>
          <cell r="D34">
            <v>3</v>
          </cell>
          <cell r="E34">
            <v>3</v>
          </cell>
          <cell r="F34">
            <v>3</v>
          </cell>
          <cell r="G34">
            <v>2</v>
          </cell>
          <cell r="H34">
            <v>1</v>
          </cell>
          <cell r="I34">
            <v>3</v>
          </cell>
          <cell r="J34">
            <v>2</v>
          </cell>
          <cell r="K34">
            <v>3</v>
          </cell>
          <cell r="L34">
            <v>3</v>
          </cell>
          <cell r="M34">
            <v>27</v>
          </cell>
        </row>
        <row r="35">
          <cell r="A35" t="str">
            <v>North Carolina</v>
          </cell>
          <cell r="B35">
            <v>2</v>
          </cell>
          <cell r="C35">
            <v>2</v>
          </cell>
          <cell r="D35">
            <v>1</v>
          </cell>
          <cell r="E35">
            <v>1</v>
          </cell>
          <cell r="F35">
            <v>3</v>
          </cell>
          <cell r="G35">
            <v>1</v>
          </cell>
          <cell r="H35">
            <v>0</v>
          </cell>
          <cell r="I35">
            <v>2</v>
          </cell>
          <cell r="J35">
            <v>2</v>
          </cell>
          <cell r="K35">
            <v>3</v>
          </cell>
          <cell r="L35">
            <v>0</v>
          </cell>
          <cell r="M35">
            <v>17</v>
          </cell>
        </row>
        <row r="36">
          <cell r="A36" t="str">
            <v>North Dakota</v>
          </cell>
          <cell r="B36">
            <v>3</v>
          </cell>
          <cell r="C36">
            <v>0</v>
          </cell>
          <cell r="D36">
            <v>1</v>
          </cell>
          <cell r="E36">
            <v>3</v>
          </cell>
          <cell r="F36">
            <v>3</v>
          </cell>
          <cell r="G36">
            <v>0</v>
          </cell>
          <cell r="H36">
            <v>1</v>
          </cell>
          <cell r="I36">
            <v>2</v>
          </cell>
          <cell r="J36">
            <v>2</v>
          </cell>
          <cell r="K36">
            <v>3</v>
          </cell>
          <cell r="L36">
            <v>1</v>
          </cell>
          <cell r="M36">
            <v>19</v>
          </cell>
        </row>
        <row r="37">
          <cell r="A37" t="str">
            <v>Ohio</v>
          </cell>
          <cell r="B37">
            <v>2</v>
          </cell>
          <cell r="C37">
            <v>0</v>
          </cell>
          <cell r="D37">
            <v>0</v>
          </cell>
          <cell r="E37">
            <v>1</v>
          </cell>
          <cell r="F37">
            <v>3</v>
          </cell>
          <cell r="G37">
            <v>1</v>
          </cell>
          <cell r="H37">
            <v>0</v>
          </cell>
          <cell r="I37">
            <v>2</v>
          </cell>
          <cell r="J37">
            <v>2</v>
          </cell>
          <cell r="K37">
            <v>3</v>
          </cell>
          <cell r="L37">
            <v>0</v>
          </cell>
          <cell r="M37">
            <v>14</v>
          </cell>
        </row>
        <row r="38">
          <cell r="A38" t="str">
            <v>Oklahoma</v>
          </cell>
          <cell r="B38">
            <v>3</v>
          </cell>
          <cell r="C38">
            <v>0</v>
          </cell>
          <cell r="D38">
            <v>3</v>
          </cell>
          <cell r="E38">
            <v>2</v>
          </cell>
          <cell r="F38">
            <v>3</v>
          </cell>
          <cell r="G38">
            <v>0</v>
          </cell>
          <cell r="H38">
            <v>0</v>
          </cell>
          <cell r="I38">
            <v>0</v>
          </cell>
          <cell r="J38">
            <v>0</v>
          </cell>
          <cell r="K38">
            <v>0</v>
          </cell>
          <cell r="L38">
            <v>0</v>
          </cell>
          <cell r="M38">
            <v>11</v>
          </cell>
        </row>
        <row r="39">
          <cell r="A39" t="str">
            <v>Oregon</v>
          </cell>
          <cell r="B39">
            <v>3</v>
          </cell>
          <cell r="C39">
            <v>2</v>
          </cell>
          <cell r="D39">
            <v>1</v>
          </cell>
          <cell r="E39">
            <v>3</v>
          </cell>
          <cell r="F39">
            <v>0</v>
          </cell>
          <cell r="G39">
            <v>0</v>
          </cell>
          <cell r="H39">
            <v>0</v>
          </cell>
          <cell r="I39">
            <v>0</v>
          </cell>
          <cell r="J39">
            <v>0</v>
          </cell>
          <cell r="K39">
            <v>0</v>
          </cell>
          <cell r="L39">
            <v>0</v>
          </cell>
          <cell r="M39">
            <v>9</v>
          </cell>
        </row>
        <row r="40">
          <cell r="A40" t="str">
            <v>Pennsylvania</v>
          </cell>
          <cell r="B40">
            <v>3</v>
          </cell>
          <cell r="C40">
            <v>2</v>
          </cell>
          <cell r="D40">
            <v>3</v>
          </cell>
          <cell r="E40">
            <v>2</v>
          </cell>
          <cell r="F40">
            <v>3</v>
          </cell>
          <cell r="G40">
            <v>1</v>
          </cell>
          <cell r="H40">
            <v>1</v>
          </cell>
          <cell r="I40">
            <v>2</v>
          </cell>
          <cell r="J40">
            <v>2</v>
          </cell>
          <cell r="K40">
            <v>3</v>
          </cell>
          <cell r="L40">
            <v>0</v>
          </cell>
          <cell r="M40">
            <v>22</v>
          </cell>
        </row>
        <row r="41">
          <cell r="A41" t="str">
            <v>Rhode Island</v>
          </cell>
          <cell r="B41">
            <v>3</v>
          </cell>
          <cell r="C41">
            <v>3</v>
          </cell>
          <cell r="D41">
            <v>1</v>
          </cell>
          <cell r="E41">
            <v>0</v>
          </cell>
          <cell r="F41">
            <v>3</v>
          </cell>
          <cell r="G41">
            <v>1</v>
          </cell>
          <cell r="H41">
            <v>0</v>
          </cell>
          <cell r="I41">
            <v>0</v>
          </cell>
          <cell r="J41">
            <v>0</v>
          </cell>
          <cell r="K41">
            <v>0</v>
          </cell>
          <cell r="L41">
            <v>0</v>
          </cell>
          <cell r="M41">
            <v>11</v>
          </cell>
        </row>
        <row r="42">
          <cell r="A42" t="str">
            <v>South Carolina</v>
          </cell>
          <cell r="B42">
            <v>3</v>
          </cell>
          <cell r="C42">
            <v>2</v>
          </cell>
          <cell r="D42">
            <v>0</v>
          </cell>
          <cell r="E42">
            <v>2</v>
          </cell>
          <cell r="F42">
            <v>3</v>
          </cell>
          <cell r="G42">
            <v>0</v>
          </cell>
          <cell r="H42">
            <v>0</v>
          </cell>
          <cell r="I42">
            <v>2</v>
          </cell>
          <cell r="J42">
            <v>2</v>
          </cell>
          <cell r="K42">
            <v>3</v>
          </cell>
          <cell r="L42">
            <v>0</v>
          </cell>
          <cell r="M42">
            <v>17</v>
          </cell>
        </row>
        <row r="43">
          <cell r="A43" t="str">
            <v>South Dakota</v>
          </cell>
          <cell r="B43">
            <v>2</v>
          </cell>
          <cell r="C43">
            <v>2</v>
          </cell>
          <cell r="D43">
            <v>3</v>
          </cell>
          <cell r="E43">
            <v>2</v>
          </cell>
          <cell r="F43">
            <v>3</v>
          </cell>
          <cell r="G43">
            <v>3</v>
          </cell>
          <cell r="H43">
            <v>1</v>
          </cell>
          <cell r="I43">
            <v>2</v>
          </cell>
          <cell r="J43">
            <v>3</v>
          </cell>
          <cell r="K43">
            <v>0</v>
          </cell>
          <cell r="L43">
            <v>0</v>
          </cell>
          <cell r="M43">
            <v>21</v>
          </cell>
        </row>
        <row r="44">
          <cell r="A44" t="str">
            <v>Tennessee</v>
          </cell>
          <cell r="B44">
            <v>3</v>
          </cell>
          <cell r="C44">
            <v>3</v>
          </cell>
          <cell r="D44">
            <v>1</v>
          </cell>
          <cell r="E44">
            <v>2</v>
          </cell>
          <cell r="F44">
            <v>0</v>
          </cell>
          <cell r="G44">
            <v>1</v>
          </cell>
          <cell r="H44">
            <v>1</v>
          </cell>
          <cell r="I44">
            <v>0</v>
          </cell>
          <cell r="J44">
            <v>0</v>
          </cell>
          <cell r="K44">
            <v>0</v>
          </cell>
          <cell r="L44">
            <v>0</v>
          </cell>
          <cell r="M44">
            <v>11</v>
          </cell>
        </row>
        <row r="45">
          <cell r="A45" t="str">
            <v>Texas</v>
          </cell>
          <cell r="B45">
            <v>2</v>
          </cell>
          <cell r="C45">
            <v>2</v>
          </cell>
          <cell r="D45">
            <v>3</v>
          </cell>
          <cell r="E45">
            <v>2</v>
          </cell>
          <cell r="F45">
            <v>3</v>
          </cell>
          <cell r="G45">
            <v>2</v>
          </cell>
          <cell r="H45">
            <v>3</v>
          </cell>
          <cell r="I45">
            <v>0</v>
          </cell>
          <cell r="J45">
            <v>0</v>
          </cell>
          <cell r="K45">
            <v>1</v>
          </cell>
          <cell r="L45">
            <v>0</v>
          </cell>
          <cell r="M45">
            <v>18</v>
          </cell>
        </row>
        <row r="46">
          <cell r="A46" t="str">
            <v>Utah</v>
          </cell>
          <cell r="B46">
            <v>3</v>
          </cell>
          <cell r="C46">
            <v>3</v>
          </cell>
          <cell r="D46">
            <v>3</v>
          </cell>
          <cell r="E46">
            <v>2</v>
          </cell>
          <cell r="F46">
            <v>0</v>
          </cell>
          <cell r="G46">
            <v>0</v>
          </cell>
          <cell r="H46">
            <v>0</v>
          </cell>
          <cell r="I46">
            <v>2</v>
          </cell>
          <cell r="J46">
            <v>2</v>
          </cell>
          <cell r="K46">
            <v>3</v>
          </cell>
          <cell r="L46">
            <v>0</v>
          </cell>
          <cell r="M46">
            <v>18</v>
          </cell>
        </row>
        <row r="47">
          <cell r="A47" t="str">
            <v>Vermont</v>
          </cell>
          <cell r="B47">
            <v>3</v>
          </cell>
          <cell r="C47">
            <v>0</v>
          </cell>
          <cell r="D47">
            <v>2</v>
          </cell>
          <cell r="E47">
            <v>0</v>
          </cell>
          <cell r="F47">
            <v>0</v>
          </cell>
          <cell r="G47">
            <v>0</v>
          </cell>
          <cell r="H47">
            <v>1</v>
          </cell>
          <cell r="I47">
            <v>0</v>
          </cell>
          <cell r="J47">
            <v>0</v>
          </cell>
          <cell r="K47">
            <v>0</v>
          </cell>
          <cell r="L47">
            <v>0</v>
          </cell>
          <cell r="M47">
            <v>6</v>
          </cell>
        </row>
        <row r="48">
          <cell r="A48" t="str">
            <v>Virginia</v>
          </cell>
          <cell r="B48">
            <v>2</v>
          </cell>
          <cell r="C48">
            <v>0</v>
          </cell>
          <cell r="D48">
            <v>3</v>
          </cell>
          <cell r="E48">
            <v>3</v>
          </cell>
          <cell r="F48">
            <v>3</v>
          </cell>
          <cell r="G48">
            <v>2</v>
          </cell>
          <cell r="H48">
            <v>0</v>
          </cell>
          <cell r="I48">
            <v>2</v>
          </cell>
          <cell r="J48">
            <v>2</v>
          </cell>
          <cell r="K48">
            <v>3</v>
          </cell>
          <cell r="L48">
            <v>2</v>
          </cell>
          <cell r="M48">
            <v>22</v>
          </cell>
        </row>
        <row r="49">
          <cell r="A49" t="str">
            <v>Washington</v>
          </cell>
          <cell r="B49">
            <v>3</v>
          </cell>
          <cell r="C49">
            <v>3</v>
          </cell>
          <cell r="D49">
            <v>3</v>
          </cell>
          <cell r="E49">
            <v>3</v>
          </cell>
          <cell r="F49">
            <v>3</v>
          </cell>
          <cell r="G49">
            <v>3</v>
          </cell>
          <cell r="H49">
            <v>3</v>
          </cell>
          <cell r="I49">
            <v>3</v>
          </cell>
          <cell r="J49">
            <v>3</v>
          </cell>
          <cell r="K49">
            <v>3</v>
          </cell>
          <cell r="L49">
            <v>3</v>
          </cell>
          <cell r="M49">
            <v>33</v>
          </cell>
        </row>
        <row r="50">
          <cell r="A50" t="str">
            <v>West Virginia</v>
          </cell>
          <cell r="B50">
            <v>3</v>
          </cell>
          <cell r="C50">
            <v>3</v>
          </cell>
          <cell r="D50">
            <v>3</v>
          </cell>
          <cell r="E50">
            <v>3</v>
          </cell>
          <cell r="F50">
            <v>3</v>
          </cell>
          <cell r="G50">
            <v>3</v>
          </cell>
          <cell r="H50">
            <v>0</v>
          </cell>
          <cell r="I50">
            <v>2</v>
          </cell>
          <cell r="J50">
            <v>2</v>
          </cell>
          <cell r="K50">
            <v>3</v>
          </cell>
          <cell r="L50">
            <v>2</v>
          </cell>
          <cell r="M50">
            <v>27</v>
          </cell>
        </row>
        <row r="51">
          <cell r="A51" t="str">
            <v>Wisconsin</v>
          </cell>
          <cell r="B51">
            <v>0</v>
          </cell>
          <cell r="C51">
            <v>3</v>
          </cell>
          <cell r="D51">
            <v>3</v>
          </cell>
          <cell r="E51">
            <v>3</v>
          </cell>
          <cell r="F51">
            <v>3</v>
          </cell>
          <cell r="G51">
            <v>3</v>
          </cell>
          <cell r="H51">
            <v>2</v>
          </cell>
          <cell r="I51">
            <v>2</v>
          </cell>
          <cell r="J51">
            <v>2</v>
          </cell>
          <cell r="K51">
            <v>3</v>
          </cell>
          <cell r="L51">
            <v>3</v>
          </cell>
          <cell r="M51">
            <v>27</v>
          </cell>
        </row>
        <row r="52">
          <cell r="A52" t="str">
            <v>Wyoming</v>
          </cell>
          <cell r="B52">
            <v>2</v>
          </cell>
          <cell r="C52">
            <v>0</v>
          </cell>
          <cell r="D52">
            <v>1</v>
          </cell>
          <cell r="E52">
            <v>3</v>
          </cell>
          <cell r="F52">
            <v>3</v>
          </cell>
          <cell r="G52">
            <v>0</v>
          </cell>
          <cell r="H52">
            <v>1</v>
          </cell>
          <cell r="I52">
            <v>0</v>
          </cell>
          <cell r="J52">
            <v>0</v>
          </cell>
          <cell r="K52">
            <v>0</v>
          </cell>
          <cell r="L52">
            <v>1</v>
          </cell>
          <cell r="M52">
            <v>11</v>
          </cell>
        </row>
        <row r="55">
          <cell r="A55" t="str">
            <v>Inidividual Audit Requested</v>
          </cell>
        </row>
      </sheetData>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ginia Wiltshire-Gordon" refreshedDate="45322.644814930558" createdVersion="8" refreshedVersion="8" minRefreshableVersion="3" recordCount="198" xr:uid="{820FEF5B-EF12-AD4A-BEB0-B15A7F19EB98}">
  <cacheSource type="worksheet">
    <worksheetSource ref="A1:T1048576" sheet="2023 Analysis"/>
  </cacheSource>
  <cacheFields count="20">
    <cacheField name="Column1" numFmtId="0">
      <sharedItems containsBlank="1"/>
    </cacheField>
    <cacheField name="1. Finding agency web site" numFmtId="0">
      <sharedItems containsBlank="1" containsMixedTypes="1" containsNumber="1" minValue="0" maxValue="9"/>
    </cacheField>
    <cacheField name="2. Contacts for agency staff" numFmtId="0">
      <sharedItems containsBlank="1" containsMixedTypes="1" containsNumber="1" minValue="0" maxValue="9"/>
    </cacheField>
    <cacheField name="6. Pipeline company contact info" numFmtId="0">
      <sharedItems containsBlank="1" containsMixedTypes="1" containsNumber="1" minValue="0" maxValue="15"/>
    </cacheField>
    <cacheField name="Communications" numFmtId="0">
      <sharedItems containsBlank="1" containsMixedTypes="1" containsNumber="1" minValue="1" maxValue="33"/>
    </cacheField>
    <cacheField name="3. Access to statutes, regulations" numFmtId="0">
      <sharedItems containsBlank="1" containsMixedTypes="1" containsNumber="1" minValue="-0.8" maxValue="3"/>
    </cacheField>
    <cacheField name="4. Describe what state regulates" numFmtId="0">
      <sharedItems containsString="0" containsBlank="1" containsNumber="1" minValue="0" maxValue="3"/>
    </cacheField>
    <cacheField name="11. Siting &amp; routing info" numFmtId="0">
      <sharedItems containsString="0" containsBlank="1" containsNumber="1" minValue="0" maxValue="3"/>
    </cacheField>
    <cacheField name="Agency Authority" numFmtId="0">
      <sharedItems containsString="0" containsBlank="1" containsNumber="1" minValue="0" maxValue="9"/>
    </cacheField>
    <cacheField name="5. Transmission pipeline maps" numFmtId="0">
      <sharedItems containsString="0" containsBlank="1" containsNumber="1" minValue="0" maxValue="3"/>
    </cacheField>
    <cacheField name="7. Inspection records" numFmtId="0">
      <sharedItems containsString="0" containsBlank="1" containsNumber="1" minValue="0" maxValue="3"/>
    </cacheField>
    <cacheField name="8. Incident data" numFmtId="0">
      <sharedItems containsString="0" containsBlank="1" containsNumber="1" minValue="0" maxValue="3"/>
    </cacheField>
    <cacheField name="9. Enforcement data" numFmtId="0">
      <sharedItems containsString="0" containsBlank="1" containsNumber="1" minValue="0" maxValue="3"/>
    </cacheField>
    <cacheField name="10. Excavation damage data" numFmtId="0">
      <sharedItems containsString="0" containsBlank="1" containsNumber="1" minValue="0" maxValue="3"/>
    </cacheField>
    <cacheField name="Data + Maps" numFmtId="0">
      <sharedItems containsString="0" containsBlank="1" containsNumber="1" minValue="0" maxValue="15"/>
    </cacheField>
    <cacheField name="2023 Total Score" numFmtId="0">
      <sharedItems containsString="0" containsBlank="1" containsNumber="1" minValue="2" maxValue="33"/>
    </cacheField>
    <cacheField name="2022" numFmtId="0">
      <sharedItems containsString="0" containsBlank="1" containsNumber="1" minValue="3" maxValue="33"/>
    </cacheField>
    <cacheField name="Difference" numFmtId="0">
      <sharedItems containsString="0" containsBlank="1" containsNumber="1" minValue="-12" maxValue="13"/>
    </cacheField>
    <cacheField name="Rank" numFmtId="0">
      <sharedItems containsString="0" containsBlank="1" containsNumber="1" containsInteger="1" minValue="1" maxValue="51"/>
    </cacheField>
    <cacheField name="Rating" numFmtId="0">
      <sharedItems containsBlank="1" count="9">
        <s v="1 Excellent"/>
        <s v="2 Good"/>
        <s v="3 Passing"/>
        <s v="4 Failing"/>
        <m/>
        <s v="Excellent" u="1"/>
        <s v="Good" u="1"/>
        <s v="Passing" u="1"/>
        <s v="Fail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Illinois"/>
    <n v="3"/>
    <n v="3"/>
    <n v="3"/>
    <n v="9"/>
    <n v="3"/>
    <n v="3"/>
    <n v="3"/>
    <n v="9"/>
    <n v="3"/>
    <n v="3"/>
    <n v="3"/>
    <n v="3"/>
    <n v="3"/>
    <n v="15"/>
    <n v="33"/>
    <n v="33"/>
    <n v="0"/>
    <n v="1"/>
    <x v="0"/>
  </r>
  <r>
    <s v="Nevada"/>
    <n v="3"/>
    <n v="3"/>
    <n v="3"/>
    <n v="9"/>
    <n v="3"/>
    <n v="3"/>
    <n v="3"/>
    <n v="9"/>
    <n v="3"/>
    <n v="3"/>
    <n v="3"/>
    <n v="3"/>
    <n v="3"/>
    <n v="15"/>
    <n v="33"/>
    <n v="33"/>
    <n v="0"/>
    <n v="1"/>
    <x v="0"/>
  </r>
  <r>
    <s v="Washington"/>
    <n v="3"/>
    <n v="3"/>
    <n v="3"/>
    <n v="9"/>
    <n v="3"/>
    <n v="3"/>
    <n v="3"/>
    <n v="9"/>
    <n v="3"/>
    <n v="3"/>
    <n v="3"/>
    <n v="3"/>
    <n v="3"/>
    <n v="15"/>
    <n v="33"/>
    <n v="33"/>
    <n v="0"/>
    <n v="1"/>
    <x v="0"/>
  </r>
  <r>
    <s v="Wisconsin"/>
    <n v="3"/>
    <n v="3"/>
    <n v="3"/>
    <n v="9"/>
    <n v="3"/>
    <n v="3"/>
    <n v="3"/>
    <n v="9"/>
    <n v="3"/>
    <n v="3"/>
    <n v="3"/>
    <n v="3"/>
    <n v="3"/>
    <n v="15"/>
    <n v="33"/>
    <n v="27"/>
    <n v="6"/>
    <n v="1"/>
    <x v="0"/>
  </r>
  <r>
    <s v="Arkansas"/>
    <n v="2"/>
    <n v="3"/>
    <n v="3"/>
    <n v="8"/>
    <n v="3"/>
    <n v="3"/>
    <n v="3"/>
    <n v="9"/>
    <n v="3"/>
    <n v="3"/>
    <n v="3"/>
    <n v="3"/>
    <n v="3"/>
    <n v="15"/>
    <n v="32"/>
    <n v="32"/>
    <n v="0"/>
    <n v="5"/>
    <x v="1"/>
  </r>
  <r>
    <s v="California Gas"/>
    <n v="3"/>
    <n v="3"/>
    <n v="3"/>
    <n v="9"/>
    <n v="3"/>
    <n v="3"/>
    <n v="3"/>
    <n v="9"/>
    <n v="3"/>
    <n v="3"/>
    <n v="2"/>
    <n v="3"/>
    <n v="3"/>
    <n v="14"/>
    <n v="32"/>
    <n v="32"/>
    <n v="0"/>
    <n v="5"/>
    <x v="1"/>
  </r>
  <r>
    <s v="Louisiana"/>
    <n v="3"/>
    <n v="3"/>
    <n v="2"/>
    <n v="8"/>
    <n v="2"/>
    <n v="3"/>
    <n v="3"/>
    <n v="8"/>
    <n v="3"/>
    <n v="3"/>
    <n v="2"/>
    <n v="2"/>
    <n v="3"/>
    <n v="13"/>
    <n v="29"/>
    <n v="29"/>
    <n v="0"/>
    <n v="7"/>
    <x v="1"/>
  </r>
  <r>
    <s v="Minnesota"/>
    <n v="3"/>
    <n v="3"/>
    <n v="3"/>
    <n v="9"/>
    <n v="3"/>
    <n v="3"/>
    <n v="3"/>
    <n v="9"/>
    <n v="3"/>
    <n v="1"/>
    <n v="2"/>
    <n v="2"/>
    <n v="3"/>
    <n v="11"/>
    <n v="29"/>
    <n v="29"/>
    <n v="0"/>
    <n v="7"/>
    <x v="1"/>
  </r>
  <r>
    <s v="Nebraska"/>
    <n v="3"/>
    <n v="3"/>
    <n v="3"/>
    <n v="9"/>
    <n v="3"/>
    <n v="3"/>
    <n v="3"/>
    <n v="9"/>
    <n v="3"/>
    <n v="1"/>
    <n v="2"/>
    <n v="2"/>
    <n v="3"/>
    <n v="11"/>
    <n v="29"/>
    <n v="29"/>
    <n v="0"/>
    <n v="7"/>
    <x v="1"/>
  </r>
  <r>
    <s v="Massachusetts"/>
    <n v="3"/>
    <n v="2"/>
    <n v="3"/>
    <n v="8"/>
    <n v="3"/>
    <n v="3"/>
    <n v="3"/>
    <n v="9"/>
    <n v="3"/>
    <n v="1"/>
    <n v="2"/>
    <n v="3"/>
    <n v="3"/>
    <n v="12"/>
    <n v="29"/>
    <n v="22"/>
    <n v="7"/>
    <n v="7"/>
    <x v="1"/>
  </r>
  <r>
    <s v="Connecticut"/>
    <n v="3"/>
    <n v="3"/>
    <n v="1"/>
    <n v="7"/>
    <n v="3"/>
    <n v="2"/>
    <n v="3"/>
    <n v="8"/>
    <n v="3"/>
    <n v="2"/>
    <n v="2"/>
    <n v="2"/>
    <n v="3"/>
    <n v="12"/>
    <n v="27"/>
    <n v="28"/>
    <n v="-1"/>
    <n v="11"/>
    <x v="1"/>
  </r>
  <r>
    <s v="Indiana"/>
    <n v="3"/>
    <n v="3"/>
    <n v="2"/>
    <n v="8"/>
    <n v="3"/>
    <n v="3"/>
    <n v="1"/>
    <n v="7"/>
    <n v="3"/>
    <n v="1"/>
    <n v="2"/>
    <n v="2"/>
    <n v="3"/>
    <n v="11"/>
    <n v="26"/>
    <n v="21"/>
    <n v="5"/>
    <n v="12"/>
    <x v="1"/>
  </r>
  <r>
    <s v="Montana"/>
    <n v="3"/>
    <n v="3"/>
    <n v="2"/>
    <n v="8"/>
    <n v="3"/>
    <n v="3"/>
    <n v="1"/>
    <n v="7"/>
    <n v="3"/>
    <n v="1"/>
    <n v="2"/>
    <n v="2"/>
    <n v="3"/>
    <n v="11"/>
    <n v="26"/>
    <n v="24"/>
    <n v="2"/>
    <n v="12"/>
    <x v="1"/>
  </r>
  <r>
    <s v="West Virginia"/>
    <n v="3"/>
    <n v="3"/>
    <n v="3"/>
    <n v="9"/>
    <n v="3"/>
    <n v="3"/>
    <n v="1"/>
    <n v="7"/>
    <n v="3"/>
    <n v="0"/>
    <n v="2"/>
    <n v="2"/>
    <n v="3"/>
    <n v="10"/>
    <n v="26"/>
    <n v="27"/>
    <n v="-1"/>
    <n v="12"/>
    <x v="1"/>
  </r>
  <r>
    <s v="Texas"/>
    <n v="2"/>
    <n v="2"/>
    <n v="2"/>
    <n v="6"/>
    <n v="3"/>
    <n v="3"/>
    <n v="3"/>
    <n v="9"/>
    <n v="3"/>
    <n v="3"/>
    <n v="3"/>
    <n v="0"/>
    <n v="2"/>
    <n v="11"/>
    <n v="26"/>
    <n v="18"/>
    <n v="8"/>
    <n v="12"/>
    <x v="1"/>
  </r>
  <r>
    <s v="California Liquid*"/>
    <n v="3"/>
    <n v="3"/>
    <n v="2"/>
    <n v="8"/>
    <n v="3"/>
    <n v="3"/>
    <n v="0"/>
    <n v="6"/>
    <n v="3"/>
    <n v="2"/>
    <n v="2"/>
    <n v="2"/>
    <n v="3"/>
    <n v="12"/>
    <n v="26"/>
    <n v="17"/>
    <n v="9"/>
    <n v="12"/>
    <x v="1"/>
  </r>
  <r>
    <s v="Iowa"/>
    <n v="3"/>
    <n v="2"/>
    <n v="0"/>
    <n v="5"/>
    <n v="1"/>
    <n v="2"/>
    <n v="3"/>
    <n v="6"/>
    <n v="3"/>
    <n v="3"/>
    <n v="3"/>
    <n v="2"/>
    <n v="3"/>
    <n v="14"/>
    <n v="25"/>
    <n v="17"/>
    <n v="8"/>
    <n v="17"/>
    <x v="1"/>
  </r>
  <r>
    <s v="Maine"/>
    <n v="3"/>
    <n v="3"/>
    <n v="0"/>
    <n v="6"/>
    <n v="2"/>
    <n v="2"/>
    <n v="3"/>
    <n v="7"/>
    <n v="3"/>
    <n v="2"/>
    <n v="2"/>
    <n v="2"/>
    <n v="3"/>
    <n v="12"/>
    <n v="25"/>
    <n v="29"/>
    <n v="-4"/>
    <n v="17"/>
    <x v="1"/>
  </r>
  <r>
    <s v="New York"/>
    <n v="2"/>
    <n v="3"/>
    <n v="0"/>
    <n v="5"/>
    <n v="2"/>
    <n v="3"/>
    <n v="3"/>
    <n v="8"/>
    <n v="3"/>
    <n v="1"/>
    <n v="3"/>
    <n v="2"/>
    <n v="3"/>
    <n v="12"/>
    <n v="25"/>
    <n v="27"/>
    <n v="-2"/>
    <n v="17"/>
    <x v="1"/>
  </r>
  <r>
    <s v="New Hampshire"/>
    <n v="2"/>
    <n v="2"/>
    <n v="3"/>
    <n v="7"/>
    <n v="3"/>
    <n v="3"/>
    <n v="3"/>
    <n v="9"/>
    <n v="3"/>
    <n v="2"/>
    <n v="1"/>
    <n v="2"/>
    <n v="0"/>
    <n v="8"/>
    <n v="24"/>
    <n v="31"/>
    <n v="-7"/>
    <n v="20"/>
    <x v="2"/>
  </r>
  <r>
    <s v="Michigan"/>
    <n v="3"/>
    <n v="3"/>
    <n v="3"/>
    <n v="9"/>
    <n v="3"/>
    <n v="3"/>
    <n v="3"/>
    <n v="9"/>
    <n v="3"/>
    <n v="0"/>
    <n v="0"/>
    <n v="1"/>
    <n v="2"/>
    <n v="6"/>
    <n v="24"/>
    <n v="11"/>
    <n v="13"/>
    <n v="20"/>
    <x v="2"/>
  </r>
  <r>
    <s v="Idaho"/>
    <n v="2"/>
    <n v="3"/>
    <n v="3"/>
    <n v="8"/>
    <n v="2"/>
    <n v="3"/>
    <n v="0"/>
    <n v="5"/>
    <n v="3"/>
    <n v="0"/>
    <n v="2"/>
    <n v="2"/>
    <n v="3"/>
    <n v="10"/>
    <n v="23"/>
    <n v="20"/>
    <n v="3"/>
    <n v="22"/>
    <x v="2"/>
  </r>
  <r>
    <s v="Pennsylvania"/>
    <n v="3"/>
    <n v="2"/>
    <n v="0"/>
    <n v="5"/>
    <n v="3"/>
    <n v="2"/>
    <n v="0"/>
    <n v="5"/>
    <n v="3"/>
    <n v="1"/>
    <n v="2"/>
    <n v="3"/>
    <n v="3"/>
    <n v="12"/>
    <n v="22"/>
    <n v="22"/>
    <n v="0"/>
    <n v="23"/>
    <x v="2"/>
  </r>
  <r>
    <s v="South Dakota"/>
    <n v="2"/>
    <n v="3"/>
    <n v="2"/>
    <n v="7"/>
    <n v="3"/>
    <n v="3"/>
    <n v="2"/>
    <n v="8"/>
    <n v="3"/>
    <n v="1"/>
    <n v="1"/>
    <n v="1"/>
    <n v="0"/>
    <n v="6"/>
    <n v="21"/>
    <n v="21"/>
    <n v="0"/>
    <n v="24"/>
    <x v="2"/>
  </r>
  <r>
    <s v="Virginia"/>
    <n v="2"/>
    <n v="0"/>
    <n v="2"/>
    <n v="4"/>
    <n v="2"/>
    <n v="3"/>
    <n v="1"/>
    <n v="6"/>
    <n v="3"/>
    <n v="1"/>
    <n v="2"/>
    <n v="2"/>
    <n v="3"/>
    <n v="11"/>
    <n v="21"/>
    <n v="22"/>
    <n v="-1"/>
    <n v="24"/>
    <x v="2"/>
  </r>
  <r>
    <s v="Arizona"/>
    <n v="2"/>
    <n v="0"/>
    <n v="2"/>
    <n v="4"/>
    <n v="3"/>
    <n v="3"/>
    <n v="0"/>
    <n v="6"/>
    <n v="3"/>
    <n v="1"/>
    <n v="2"/>
    <n v="2"/>
    <n v="3"/>
    <n v="11"/>
    <n v="21"/>
    <n v="20"/>
    <n v="1"/>
    <n v="24"/>
    <x v="2"/>
  </r>
  <r>
    <s v="Mississippi"/>
    <n v="2"/>
    <n v="3"/>
    <n v="2"/>
    <n v="7"/>
    <n v="2"/>
    <n v="2"/>
    <n v="0"/>
    <n v="4"/>
    <n v="3"/>
    <n v="1"/>
    <n v="2"/>
    <n v="0"/>
    <n v="3"/>
    <n v="9"/>
    <n v="20"/>
    <n v="22"/>
    <n v="-2"/>
    <n v="27"/>
    <x v="2"/>
  </r>
  <r>
    <s v="Missouri"/>
    <n v="2"/>
    <n v="1"/>
    <n v="0"/>
    <n v="3"/>
    <n v="3"/>
    <n v="3"/>
    <n v="0"/>
    <n v="6"/>
    <n v="3"/>
    <n v="1"/>
    <n v="2"/>
    <n v="2"/>
    <n v="3"/>
    <n v="11"/>
    <n v="20"/>
    <n v="21"/>
    <n v="-1"/>
    <n v="27"/>
    <x v="2"/>
  </r>
  <r>
    <s v="New Jersey"/>
    <n v="2"/>
    <n v="3"/>
    <n v="0"/>
    <n v="5"/>
    <n v="1"/>
    <n v="2"/>
    <n v="0"/>
    <n v="3"/>
    <n v="3"/>
    <n v="1"/>
    <n v="2"/>
    <n v="2"/>
    <n v="3"/>
    <n v="11"/>
    <n v="19"/>
    <n v="20"/>
    <n v="-1"/>
    <n v="29"/>
    <x v="2"/>
  </r>
  <r>
    <s v="North Dakota"/>
    <n v="3"/>
    <n v="0"/>
    <n v="0"/>
    <n v="3"/>
    <n v="1"/>
    <n v="3"/>
    <n v="2"/>
    <n v="6"/>
    <n v="3"/>
    <n v="0"/>
    <n v="2"/>
    <n v="2"/>
    <n v="3"/>
    <n v="10"/>
    <n v="19"/>
    <n v="19"/>
    <n v="0"/>
    <n v="29"/>
    <x v="2"/>
  </r>
  <r>
    <s v="South Carolina"/>
    <n v="3"/>
    <n v="3"/>
    <n v="0"/>
    <n v="6"/>
    <n v="1"/>
    <n v="1"/>
    <n v="0"/>
    <n v="2"/>
    <n v="3"/>
    <n v="1"/>
    <n v="2"/>
    <n v="2"/>
    <n v="3"/>
    <n v="11"/>
    <n v="19"/>
    <n v="17"/>
    <n v="2"/>
    <n v="29"/>
    <x v="2"/>
  </r>
  <r>
    <s v="Utah"/>
    <n v="3"/>
    <n v="3"/>
    <n v="1"/>
    <n v="7"/>
    <n v="2"/>
    <n v="3"/>
    <n v="0"/>
    <n v="5"/>
    <n v="0"/>
    <n v="0"/>
    <n v="2"/>
    <n v="2"/>
    <n v="3"/>
    <n v="7"/>
    <n v="19"/>
    <n v="18"/>
    <n v="1"/>
    <n v="29"/>
    <x v="2"/>
  </r>
  <r>
    <s v="Arkansas OGC"/>
    <n v="2"/>
    <n v="3"/>
    <n v="2"/>
    <n v="7"/>
    <n v="3"/>
    <n v="2"/>
    <n v="0"/>
    <n v="5"/>
    <n v="3"/>
    <n v="3"/>
    <n v="0"/>
    <n v="0"/>
    <n v="0"/>
    <n v="6"/>
    <n v="18"/>
    <n v="12"/>
    <n v="6"/>
    <n v="33"/>
    <x v="2"/>
  </r>
  <r>
    <s v="New Mexico"/>
    <n v="2"/>
    <n v="3"/>
    <n v="0"/>
    <n v="5"/>
    <n v="1"/>
    <n v="2"/>
    <n v="0"/>
    <n v="3"/>
    <n v="3"/>
    <n v="0"/>
    <n v="2"/>
    <n v="2"/>
    <n v="3"/>
    <n v="10"/>
    <n v="18"/>
    <n v="18"/>
    <n v="0"/>
    <n v="33"/>
    <x v="2"/>
  </r>
  <r>
    <s v="Kentucky"/>
    <n v="3"/>
    <n v="0"/>
    <n v="2"/>
    <n v="5"/>
    <n v="2"/>
    <n v="2"/>
    <n v="0"/>
    <n v="4"/>
    <n v="3"/>
    <n v="0"/>
    <n v="2"/>
    <n v="1"/>
    <n v="2"/>
    <n v="8"/>
    <n v="17"/>
    <n v="17"/>
    <n v="0"/>
    <n v="35"/>
    <x v="2"/>
  </r>
  <r>
    <s v="North Carolina"/>
    <n v="2"/>
    <n v="2"/>
    <n v="1"/>
    <n v="5"/>
    <n v="1"/>
    <n v="1"/>
    <n v="0"/>
    <n v="2"/>
    <n v="3"/>
    <n v="0"/>
    <n v="2"/>
    <n v="2"/>
    <n v="3"/>
    <n v="10"/>
    <n v="17"/>
    <n v="17"/>
    <n v="0"/>
    <n v="35"/>
    <x v="2"/>
  </r>
  <r>
    <s v="Delaware"/>
    <n v="3"/>
    <n v="3"/>
    <n v="0"/>
    <n v="6"/>
    <n v="0"/>
    <n v="2"/>
    <n v="0"/>
    <n v="2"/>
    <n v="0"/>
    <n v="1"/>
    <n v="2"/>
    <n v="2"/>
    <n v="2"/>
    <n v="7"/>
    <n v="15"/>
    <n v="13"/>
    <n v="2"/>
    <n v="37"/>
    <x v="3"/>
  </r>
  <r>
    <s v="Rhode Island"/>
    <n v="3"/>
    <n v="3"/>
    <n v="1"/>
    <n v="7"/>
    <n v="1"/>
    <n v="0"/>
    <n v="0"/>
    <n v="1"/>
    <n v="3"/>
    <n v="0"/>
    <n v="0"/>
    <n v="2"/>
    <n v="0"/>
    <n v="5"/>
    <n v="13"/>
    <n v="11"/>
    <n v="2"/>
    <n v="38"/>
    <x v="3"/>
  </r>
  <r>
    <s v="Wyoming"/>
    <n v="2"/>
    <n v="0"/>
    <n v="0"/>
    <n v="2"/>
    <n v="1"/>
    <n v="3"/>
    <n v="1"/>
    <n v="5"/>
    <n v="3"/>
    <n v="1"/>
    <n v="1"/>
    <n v="1"/>
    <n v="0"/>
    <n v="6"/>
    <n v="13"/>
    <n v="11"/>
    <n v="2"/>
    <n v="38"/>
    <x v="3"/>
  </r>
  <r>
    <s v="Georgia"/>
    <n v="2"/>
    <n v="3"/>
    <n v="0"/>
    <n v="5"/>
    <n v="1"/>
    <n v="3"/>
    <n v="0"/>
    <n v="4"/>
    <n v="0"/>
    <n v="1"/>
    <n v="1"/>
    <n v="0"/>
    <n v="0"/>
    <n v="2"/>
    <n v="11"/>
    <n v="14"/>
    <n v="-3"/>
    <n v="40"/>
    <x v="3"/>
  </r>
  <r>
    <s v="Kansas"/>
    <n v="2"/>
    <n v="2"/>
    <n v="1"/>
    <n v="5"/>
    <n v="2"/>
    <n v="1"/>
    <n v="0"/>
    <n v="3"/>
    <n v="3"/>
    <n v="0"/>
    <n v="0"/>
    <n v="0"/>
    <n v="0"/>
    <n v="3"/>
    <n v="11"/>
    <n v="11"/>
    <n v="0"/>
    <n v="40"/>
    <x v="3"/>
  </r>
  <r>
    <s v="Ohio"/>
    <n v="2"/>
    <n v="0"/>
    <n v="1"/>
    <n v="3"/>
    <n v="0"/>
    <n v="1"/>
    <n v="0"/>
    <n v="1"/>
    <n v="0"/>
    <n v="0"/>
    <n v="2"/>
    <n v="2"/>
    <n v="3"/>
    <n v="7"/>
    <n v="11"/>
    <n v="14"/>
    <n v="-3"/>
    <n v="40"/>
    <x v="3"/>
  </r>
  <r>
    <s v="Alabama"/>
    <n v="3"/>
    <n v="2"/>
    <n v="0"/>
    <n v="5"/>
    <n v="1"/>
    <n v="2"/>
    <n v="0"/>
    <n v="3"/>
    <n v="0"/>
    <n v="1"/>
    <n v="0"/>
    <n v="0"/>
    <n v="0"/>
    <n v="1"/>
    <n v="9"/>
    <n v="10"/>
    <n v="-1"/>
    <n v="43"/>
    <x v="3"/>
  </r>
  <r>
    <s v="Colorado"/>
    <n v="3"/>
    <n v="0"/>
    <n v="0"/>
    <n v="3"/>
    <n v="2"/>
    <n v="3"/>
    <n v="0"/>
    <n v="5"/>
    <n v="0"/>
    <n v="1"/>
    <n v="0"/>
    <n v="0"/>
    <n v="0"/>
    <n v="1"/>
    <n v="9"/>
    <n v="21"/>
    <n v="-12"/>
    <n v="43"/>
    <x v="3"/>
  </r>
  <r>
    <s v="Maryland"/>
    <n v="2"/>
    <n v="3"/>
    <n v="0"/>
    <n v="5"/>
    <n v="0"/>
    <n v="3"/>
    <n v="0"/>
    <n v="3"/>
    <n v="0"/>
    <n v="1"/>
    <n v="0"/>
    <n v="0"/>
    <n v="0"/>
    <n v="1"/>
    <n v="9"/>
    <n v="5"/>
    <n v="4"/>
    <n v="43"/>
    <x v="3"/>
  </r>
  <r>
    <s v="Oklahoma"/>
    <n v="3"/>
    <n v="0"/>
    <n v="0"/>
    <n v="3"/>
    <n v="3"/>
    <n v="2"/>
    <n v="0"/>
    <n v="5"/>
    <n v="1"/>
    <n v="0"/>
    <n v="0"/>
    <n v="0"/>
    <n v="0"/>
    <n v="1"/>
    <n v="9"/>
    <n v="11"/>
    <n v="-2"/>
    <n v="43"/>
    <x v="3"/>
  </r>
  <r>
    <s v="Tennessee"/>
    <n v="3"/>
    <n v="3"/>
    <n v="0"/>
    <n v="6"/>
    <n v="0"/>
    <n v="2"/>
    <n v="0"/>
    <n v="2"/>
    <n v="0"/>
    <n v="1"/>
    <n v="0"/>
    <n v="0"/>
    <n v="0"/>
    <n v="1"/>
    <n v="9"/>
    <n v="11"/>
    <n v="-2"/>
    <n v="43"/>
    <x v="3"/>
  </r>
  <r>
    <s v="DC"/>
    <n v="3"/>
    <n v="0"/>
    <n v="0"/>
    <n v="3"/>
    <n v="2"/>
    <n v="2"/>
    <n v="0"/>
    <n v="4"/>
    <n v="0"/>
    <n v="1"/>
    <n v="0"/>
    <n v="0"/>
    <n v="0"/>
    <n v="1"/>
    <n v="8"/>
    <n v="6"/>
    <n v="2"/>
    <n v="48"/>
    <x v="3"/>
  </r>
  <r>
    <s v="Vermont"/>
    <n v="3"/>
    <n v="2"/>
    <n v="0"/>
    <n v="5"/>
    <n v="2"/>
    <n v="1"/>
    <n v="0"/>
    <n v="3"/>
    <n v="0"/>
    <n v="0"/>
    <n v="0"/>
    <n v="0"/>
    <n v="0"/>
    <n v="0"/>
    <n v="8"/>
    <n v="6"/>
    <n v="2"/>
    <n v="48"/>
    <x v="3"/>
  </r>
  <r>
    <s v="Oregon"/>
    <n v="3"/>
    <n v="0"/>
    <n v="0"/>
    <n v="3"/>
    <n v="1"/>
    <n v="3"/>
    <n v="0"/>
    <n v="4"/>
    <n v="0"/>
    <n v="0"/>
    <n v="0"/>
    <n v="0"/>
    <n v="0"/>
    <n v="0"/>
    <n v="7"/>
    <n v="9"/>
    <n v="-2"/>
    <n v="50"/>
    <x v="3"/>
  </r>
  <r>
    <s v="Florida"/>
    <n v="0"/>
    <n v="0"/>
    <n v="1"/>
    <n v="1"/>
    <n v="0"/>
    <n v="0"/>
    <n v="0"/>
    <n v="0"/>
    <n v="1"/>
    <n v="0"/>
    <n v="0"/>
    <n v="0"/>
    <n v="0"/>
    <n v="1"/>
    <n v="2"/>
    <n v="3"/>
    <n v="-1"/>
    <n v="51"/>
    <x v="3"/>
  </r>
  <r>
    <m/>
    <m/>
    <m/>
    <m/>
    <m/>
    <m/>
    <m/>
    <m/>
    <m/>
    <m/>
    <m/>
    <m/>
    <m/>
    <m/>
    <m/>
    <m/>
    <m/>
    <m/>
    <m/>
    <x v="4"/>
  </r>
  <r>
    <m/>
    <n v="2.5686274509803924"/>
    <n v="2.1372549019607843"/>
    <n v="1.3333333333333333"/>
    <n v="6.0392156862745097"/>
    <n v="2.0392156862745097"/>
    <n v="2.4117647058823528"/>
    <n v="1.1764705882352942"/>
    <n v="5.6274509803921573"/>
    <n v="2.2745098039215685"/>
    <n v="1.1764705882352942"/>
    <n v="1.5686274509803921"/>
    <n v="1.5294117647058822"/>
    <n v="1.9803921568627452"/>
    <n v="8.5294117647058822"/>
    <n v="20.196078431372548"/>
    <n v="19.431372549019606"/>
    <n v="0.76470588235294112"/>
    <m/>
    <x v="4"/>
  </r>
  <r>
    <s v="Inidividual Audit Requested"/>
    <m/>
    <m/>
    <m/>
    <n v="2.0130718954248366"/>
    <m/>
    <m/>
    <m/>
    <n v="1.8758169934640525"/>
    <m/>
    <m/>
    <m/>
    <m/>
    <m/>
    <n v="1.7058823529411764"/>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s v="Row Labels"/>
    <s v="Average of Communications"/>
    <s v="Average of Agency Authority"/>
    <s v="Average of Data + Maps"/>
    <s v="Average of 2023 Total Score"/>
    <s v="Average of Difference"/>
    <m/>
    <m/>
    <m/>
    <m/>
    <m/>
    <m/>
    <m/>
    <m/>
    <m/>
    <m/>
    <m/>
    <m/>
    <m/>
    <x v="4"/>
  </r>
  <r>
    <s v="Excellent"/>
    <n v="9"/>
    <n v="9"/>
    <n v="15"/>
    <n v="33"/>
    <n v="1.5"/>
    <m/>
    <m/>
    <m/>
    <m/>
    <m/>
    <m/>
    <m/>
    <m/>
    <m/>
    <m/>
    <m/>
    <m/>
    <m/>
    <x v="4"/>
  </r>
  <r>
    <s v="Failing"/>
    <n v="4.1333333333333337"/>
    <n v="3"/>
    <n v="2.4666666666666668"/>
    <n v="9.6"/>
    <n v="-0.8"/>
    <m/>
    <m/>
    <m/>
    <m/>
    <m/>
    <m/>
    <m/>
    <m/>
    <m/>
    <m/>
    <m/>
    <m/>
    <m/>
    <x v="4"/>
  </r>
  <r>
    <s v="Good"/>
    <n v="7.5333333333333332"/>
    <n v="7.8666666666666663"/>
    <n v="12.066666666666666"/>
    <n v="27.466666666666665"/>
    <n v="2.0666666666666669"/>
    <m/>
    <m/>
    <m/>
    <m/>
    <m/>
    <m/>
    <m/>
    <m/>
    <m/>
    <m/>
    <m/>
    <m/>
    <m/>
    <x v="4"/>
  </r>
  <r>
    <s v="Passing"/>
    <n v="5.7058823529411766"/>
    <n v="5.1764705882352944"/>
    <n v="9.235294117647058"/>
    <n v="20.117647058823529"/>
    <n v="0.82352941176470584"/>
    <m/>
    <m/>
    <m/>
    <m/>
    <m/>
    <m/>
    <m/>
    <m/>
    <m/>
    <m/>
    <m/>
    <m/>
    <m/>
    <x v="4"/>
  </r>
  <r>
    <s v="(blank)"/>
    <n v="4.0261437908496731"/>
    <n v="3.751633986928105"/>
    <n v="5.117647058823529"/>
    <n v="20.196078431372548"/>
    <n v="0.76470588235294112"/>
    <m/>
    <m/>
    <m/>
    <m/>
    <m/>
    <m/>
    <m/>
    <m/>
    <m/>
    <m/>
    <m/>
    <m/>
    <m/>
    <x v="4"/>
  </r>
  <r>
    <s v="Grand Total"/>
    <n v="5.9632507090886673"/>
    <n v="5.5566654334689858"/>
    <n v="8.4006659267480561"/>
    <n v="20.196078431372548"/>
    <n v="0.76470588235294124"/>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r>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491CD-D024-D842-BA52-706BD1B64E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F77" firstHeaderRow="0" firstDataRow="1" firstDataCol="1"/>
  <pivotFields count="2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dataField="1" showAll="0"/>
    <pivotField dataField="1" showAll="0"/>
    <pivotField showAll="0"/>
    <pivotField dataField="1" showAll="0"/>
    <pivotField showAll="0"/>
    <pivotField axis="axisRow" showAll="0">
      <items count="10">
        <item m="1" x="5"/>
        <item m="1" x="8"/>
        <item m="1" x="6"/>
        <item m="1" x="7"/>
        <item x="4"/>
        <item x="0"/>
        <item x="1"/>
        <item x="2"/>
        <item x="3"/>
        <item t="default"/>
      </items>
    </pivotField>
  </pivotFields>
  <rowFields count="1">
    <field x="19"/>
  </rowFields>
  <rowItems count="6">
    <i>
      <x v="4"/>
    </i>
    <i>
      <x v="5"/>
    </i>
    <i>
      <x v="6"/>
    </i>
    <i>
      <x v="7"/>
    </i>
    <i>
      <x v="8"/>
    </i>
    <i t="grand">
      <x/>
    </i>
  </rowItems>
  <colFields count="1">
    <field x="-2"/>
  </colFields>
  <colItems count="5">
    <i>
      <x/>
    </i>
    <i i="1">
      <x v="1"/>
    </i>
    <i i="2">
      <x v="2"/>
    </i>
    <i i="3">
      <x v="3"/>
    </i>
    <i i="4">
      <x v="4"/>
    </i>
  </colItems>
  <dataFields count="5">
    <dataField name="Average of Communications" fld="4" subtotal="average" baseField="0" baseItem="0"/>
    <dataField name="Average of Agency Authority" fld="8" subtotal="average" baseField="0" baseItem="0"/>
    <dataField name="Average of Data + Maps" fld="14" subtotal="average" baseField="0" baseItem="0"/>
    <dataField name="Average of 2023 Total Score" fld="15" subtotal="average" baseField="0" baseItem="0"/>
    <dataField name="Average of Difference" fld="17" subtotal="average"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638AB-72CE-C44E-91F4-A0921A90B1CE}" name="Table13" displayName="Table13" ref="A1:P52" totalsRowShown="0" headerRowDxfId="51" dataDxfId="50" tableBorderDxfId="49">
  <autoFilter ref="A1:P52" xr:uid="{DC6638AB-72CE-C44E-91F4-A0921A90B1CE}"/>
  <sortState xmlns:xlrd2="http://schemas.microsoft.com/office/spreadsheetml/2017/richdata2" ref="A2:P52">
    <sortCondition descending="1" ref="M1:M52"/>
  </sortState>
  <tableColumns count="16">
    <tableColumn id="1" xr3:uid="{DF8F7437-7541-CC43-A23A-CB0C668B8299}" name="Column1" dataDxfId="48" dataCellStyle="Hyperlink"/>
    <tableColumn id="2" xr3:uid="{383072E2-B094-904F-BC18-67091FA8CE1E}" name="1. Finding agency web site" dataDxfId="47"/>
    <tableColumn id="3" xr3:uid="{8DA2F01E-1574-2C46-B150-B829BB01AC8F}" name="2. Contacts for agency staff" dataDxfId="46"/>
    <tableColumn id="4" xr3:uid="{D4AB0847-90F3-0C43-BBCA-0FCC1C6D7372}" name="3. Access to statutes, regulations" dataDxfId="45"/>
    <tableColumn id="5" xr3:uid="{E4844AA7-C943-B347-9290-8FEA5C87BF17}" name="4. Describe what state regulates" dataDxfId="44"/>
    <tableColumn id="6" xr3:uid="{B322A20E-3160-2D40-8FA2-8A75353C7997}" name="5. Transmission pipeline maps" dataDxfId="43"/>
    <tableColumn id="7" xr3:uid="{EC5B2F6C-62AA-3646-8190-25CD78EDF09A}" name="6. Pipeline company contact info" dataDxfId="42"/>
    <tableColumn id="8" xr3:uid="{6125F103-DC46-C146-B18E-B0E06A6131A0}" name="7. Inspection records" dataDxfId="41"/>
    <tableColumn id="9" xr3:uid="{B6C16629-6F27-2F40-9670-968A6A453167}" name="8. Incident data" dataDxfId="40"/>
    <tableColumn id="10" xr3:uid="{EB482D96-8955-CE4C-8C41-3C631717BCC0}" name="9. Enforcement data" dataDxfId="39"/>
    <tableColumn id="11" xr3:uid="{2EE18BD4-EE09-D443-B93E-64AC7F12C870}" name="10. Excavation damage data" dataDxfId="38"/>
    <tableColumn id="12" xr3:uid="{FE7C62E4-3BEC-4444-9CE1-CE656205D94E}" name="11. Siting &amp; routing info" dataDxfId="37"/>
    <tableColumn id="13" xr3:uid="{C3F4A9D6-DC3B-BC4C-9139-E06B037DE9C2}" name="2023 Total Score" dataDxfId="36">
      <calculatedColumnFormula>SUM(B2,C2,D2,E2,F2,G2,H2,I2,J2,K2,L2)</calculatedColumnFormula>
    </tableColumn>
    <tableColumn id="14" xr3:uid="{590E3350-2AA1-D641-9474-0B4DD4110417}" name="2022" dataDxfId="35">
      <calculatedColumnFormula>VLOOKUP(A2,'[1]2022 Review w Notes'!A:M, 13,FALSE)</calculatedColumnFormula>
    </tableColumn>
    <tableColumn id="15" xr3:uid="{68B8557A-75A5-6045-894E-CE4F0E8893ED}" name="Difference" dataDxfId="34">
      <calculatedColumnFormula>Table13[[#This Row],[2023 Total Score]]-Table13[[#This Row],[2022]]</calculatedColumnFormula>
    </tableColumn>
    <tableColumn id="16" xr3:uid="{5BB5670B-0D5D-474E-8797-88E03E001522}" name="Rank"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58DE3A-F90E-7749-99FF-90B705352F04}" name="Table133" displayName="Table133" ref="A1:T52" totalsRowShown="0" headerRowDxfId="32" dataDxfId="31" tableBorderDxfId="30">
  <autoFilter ref="A1:T52" xr:uid="{BE58DE3A-F90E-7749-99FF-90B705352F04}"/>
  <sortState xmlns:xlrd2="http://schemas.microsoft.com/office/spreadsheetml/2017/richdata2" ref="A2:T52">
    <sortCondition descending="1" ref="R1:R52"/>
  </sortState>
  <tableColumns count="20">
    <tableColumn id="1" xr3:uid="{82AC383A-F819-4047-B1AA-F9E1F6218BC7}" name="Column1" dataDxfId="29" dataCellStyle="Hyperlink"/>
    <tableColumn id="2" xr3:uid="{2D04BF8E-8EB9-3E46-8DF5-107C2449AD74}" name="1. Finding agency web site" dataDxfId="28"/>
    <tableColumn id="3" xr3:uid="{5D140983-DAE6-2B40-B8A6-6D13FA740716}" name="2. Contacts for agency staff" dataDxfId="27"/>
    <tableColumn id="18" xr3:uid="{157897DB-BD61-7148-937E-1F59EE7893EE}" name="6. Pipeline company contact info" dataDxfId="26"/>
    <tableColumn id="19" xr3:uid="{6160DE4C-B020-BF48-B3D3-51B714B582A9}" name="Communications" dataDxfId="25">
      <calculatedColumnFormula>SUM(Table133[[#This Row],[1. Finding agency web site]:[6. Pipeline company contact info]])</calculatedColumnFormula>
    </tableColumn>
    <tableColumn id="4" xr3:uid="{493E8314-D1FA-7142-9447-5233FD992BF1}" name="3. Access to statutes, regulations" dataDxfId="24"/>
    <tableColumn id="5" xr3:uid="{F25E6476-2B6E-D349-999B-3C9E15D9DB15}" name="4. Describe what state regulates" dataDxfId="23"/>
    <tableColumn id="6" xr3:uid="{224DD378-AF0A-1441-B488-E834E0E2F199}" name="11. Siting &amp; routing info" dataDxfId="22"/>
    <tableColumn id="20" xr3:uid="{11A5B50E-A471-B546-8EC1-2A0CDEA689DE}" name="Agency Authority" dataDxfId="21">
      <calculatedColumnFormula>SUM(Table133[[#This Row],[3. Access to statutes, regulations]:[11. Siting &amp; routing info]])</calculatedColumnFormula>
    </tableColumn>
    <tableColumn id="7" xr3:uid="{1991E501-0A77-2E4A-A514-1B405F099BE8}" name="5. Transmission pipeline maps" dataDxfId="20"/>
    <tableColumn id="8" xr3:uid="{D0D12525-FA34-6448-9031-A6E60BED7484}" name="7. Inspection records" dataDxfId="19"/>
    <tableColumn id="9" xr3:uid="{67976074-6D91-844C-A55C-E44BEA88138C}" name="8. Incident data" dataDxfId="18"/>
    <tableColumn id="10" xr3:uid="{4820B2B1-0644-0341-B1D5-5C5FB1E0BBD9}" name="9. Enforcement data" dataDxfId="17"/>
    <tableColumn id="11" xr3:uid="{6C17EBD5-E6A7-634A-9E1D-FAB395E64F83}" name="10. Excavation damage data" dataDxfId="16"/>
    <tableColumn id="12" xr3:uid="{8095A136-34AA-1C42-873A-AC81C28220D9}" name="Data + Maps" dataDxfId="15">
      <calculatedColumnFormula>SUM(Table133[[#This Row],[5. Transmission pipeline maps]:[10. Excavation damage data]])</calculatedColumnFormula>
    </tableColumn>
    <tableColumn id="13" xr3:uid="{DEB60F03-FB59-FF41-9958-26FADF847F29}" name="2023 Total Score" dataDxfId="14">
      <calculatedColumnFormula>SUM(B2,C2,F2,G2,J2,D2,K2,L2,M2,N2,H2)</calculatedColumnFormula>
    </tableColumn>
    <tableColumn id="14" xr3:uid="{BFF6E472-80E6-194B-9C5F-A22F27B1339B}" name="2022" dataDxfId="13">
      <calculatedColumnFormula>VLOOKUP(A2,'[1]2022 Review w Notes'!A:M, 13,FALSE)</calculatedColumnFormula>
    </tableColumn>
    <tableColumn id="15" xr3:uid="{71FB5206-836B-7C4B-81EB-5AC7CDE1A599}" name="Difference" dataDxfId="12">
      <calculatedColumnFormula>Table133[[#This Row],[2023 Total Score]]-Table133[[#This Row],[2022]]</calculatedColumnFormula>
    </tableColumn>
    <tableColumn id="16" xr3:uid="{B1E99B05-606C-7541-B0F4-085DC22C5CFF}" name="Rank" dataDxfId="11"/>
    <tableColumn id="21" xr3:uid="{60111F1B-6CB3-EE4A-B511-BDDEE60566CC}" name="Rating" dataDxfId="10">
      <calculatedColumnFormula>IF(Table133[[#This Row],[2023 Total Score]]=33,"1 Excellent",IF(AND(Table133[[#This Row],[2023 Total Score]]&lt;33,Table133[[#This Row],[2023 Total Score]]&gt;24),"2 Good", IF(AND(Table133[[#This Row],[2023 Total Score]]&lt;25,Table133[[#This Row],[2023 Total Score]]&gt;16),"3 Passing","4 Failing")))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uc.idaho.gov/Page/Utility/8" TargetMode="External"/><Relationship Id="rId18" Type="http://schemas.openxmlformats.org/officeDocument/2006/relationships/hyperlink" Target="https://psc.ky.gov/Home/PipelineSafety" TargetMode="External"/><Relationship Id="rId26" Type="http://schemas.openxmlformats.org/officeDocument/2006/relationships/hyperlink" Target="https://psc.mo.gov/General/Pipeline_Safety" TargetMode="External"/><Relationship Id="rId39" Type="http://schemas.openxmlformats.org/officeDocument/2006/relationships/hyperlink" Target="https://www.puc.pa.gov/pipeline-safety/" TargetMode="External"/><Relationship Id="rId21" Type="http://schemas.openxmlformats.org/officeDocument/2006/relationships/hyperlink" Target="https://www.psc.state.md.us/gas/" TargetMode="External"/><Relationship Id="rId34" Type="http://schemas.openxmlformats.org/officeDocument/2006/relationships/hyperlink" Target="https://www.ncuc.gov/Industries/naturalgas/pipelinesafety.html" TargetMode="External"/><Relationship Id="rId42" Type="http://schemas.openxmlformats.org/officeDocument/2006/relationships/hyperlink" Target="https://puc.sd.gov/pipelinesafety/" TargetMode="External"/><Relationship Id="rId47" Type="http://schemas.openxmlformats.org/officeDocument/2006/relationships/hyperlink" Target="https://www.scc.virginia.gov/pages/Pipeline-Safety" TargetMode="External"/><Relationship Id="rId50" Type="http://schemas.openxmlformats.org/officeDocument/2006/relationships/hyperlink" Target="https://psc.wi.gov/Pages/ServiceType/Energy/PipelineSafetyProgram.aspx" TargetMode="External"/><Relationship Id="rId7" Type="http://schemas.openxmlformats.org/officeDocument/2006/relationships/hyperlink" Target="https://puc.colorado.gov/gaspipelines" TargetMode="External"/><Relationship Id="rId2" Type="http://schemas.openxmlformats.org/officeDocument/2006/relationships/hyperlink" Target="https://www.azcc.gov/safety/pipeline" TargetMode="External"/><Relationship Id="rId16" Type="http://schemas.openxmlformats.org/officeDocument/2006/relationships/hyperlink" Target="https://iub.iowa.gov/regulated-industries/pipeline-permits-certifications/pipeline-safety" TargetMode="External"/><Relationship Id="rId29" Type="http://schemas.openxmlformats.org/officeDocument/2006/relationships/hyperlink" Target="https://puc.nv.gov/Safety/Pipeline/" TargetMode="External"/><Relationship Id="rId11" Type="http://schemas.openxmlformats.org/officeDocument/2006/relationships/hyperlink" Target="https://www.psc.state.fl.us/natural-gas" TargetMode="External"/><Relationship Id="rId24" Type="http://schemas.openxmlformats.org/officeDocument/2006/relationships/hyperlink" Target="https://dps.mn.gov/divisions/ops/Pages/default.aspx" TargetMode="External"/><Relationship Id="rId32" Type="http://schemas.openxmlformats.org/officeDocument/2006/relationships/hyperlink" Target="https://www.prc.nm.gov/transportation/pipeline-safety/" TargetMode="External"/><Relationship Id="rId37" Type="http://schemas.openxmlformats.org/officeDocument/2006/relationships/hyperlink" Target="https://oklahoma.gov/occ/divisions/transportation/pipeline-safety.html" TargetMode="External"/><Relationship Id="rId40" Type="http://schemas.openxmlformats.org/officeDocument/2006/relationships/hyperlink" Target="https://ripuc.ri.gov/utility-information/natural-gas/ridpuc-pipeline-safety" TargetMode="External"/><Relationship Id="rId45" Type="http://schemas.openxmlformats.org/officeDocument/2006/relationships/hyperlink" Target="https://dpu.utah.gov/pipeline-safety/" TargetMode="External"/><Relationship Id="rId5" Type="http://schemas.openxmlformats.org/officeDocument/2006/relationships/hyperlink" Target="https://www.cpuc.ca.gov/regulatory-services/safety/gas-safety-and-reliability-branch" TargetMode="External"/><Relationship Id="rId15" Type="http://schemas.openxmlformats.org/officeDocument/2006/relationships/hyperlink" Target="https://www.in.gov/iurc/pipeline-safety-division/" TargetMode="External"/><Relationship Id="rId23" Type="http://schemas.openxmlformats.org/officeDocument/2006/relationships/hyperlink" Target="https://www.michigan.gov/mpsc/regulatory/natural-gas/pipeline-safety" TargetMode="External"/><Relationship Id="rId28" Type="http://schemas.openxmlformats.org/officeDocument/2006/relationships/hyperlink" Target="https://sfm.nebraska.gov/fuels-safety/pipeline-safety" TargetMode="External"/><Relationship Id="rId36" Type="http://schemas.openxmlformats.org/officeDocument/2006/relationships/hyperlink" Target="https://puco.ohio.gov/utilities/gas/resources/natural-gas-pipeline-safety-in-ohio" TargetMode="External"/><Relationship Id="rId49" Type="http://schemas.openxmlformats.org/officeDocument/2006/relationships/hyperlink" Target="http://www.psc.state.wv.us/div/gaspipelinesafety.htm" TargetMode="External"/><Relationship Id="rId10" Type="http://schemas.openxmlformats.org/officeDocument/2006/relationships/hyperlink" Target="https://depsc.delaware.gov/pipeline-safety-program/" TargetMode="External"/><Relationship Id="rId19" Type="http://schemas.openxmlformats.org/officeDocument/2006/relationships/hyperlink" Target="https://www.dnr.louisiana.gov/index.cfm/page/144" TargetMode="External"/><Relationship Id="rId31" Type="http://schemas.openxmlformats.org/officeDocument/2006/relationships/hyperlink" Target="https://www.nj.gov/bpu/about/divisions/reliability/" TargetMode="External"/><Relationship Id="rId44" Type="http://schemas.openxmlformats.org/officeDocument/2006/relationships/hyperlink" Target="https://www.rrc.texas.gov/pipeline-safety/" TargetMode="External"/><Relationship Id="rId52" Type="http://schemas.openxmlformats.org/officeDocument/2006/relationships/table" Target="../tables/table1.xml"/><Relationship Id="rId4" Type="http://schemas.openxmlformats.org/officeDocument/2006/relationships/hyperlink" Target="https://www.aogc.state.ar.us/" TargetMode="External"/><Relationship Id="rId9" Type="http://schemas.openxmlformats.org/officeDocument/2006/relationships/hyperlink" Target="https://dcpsc.org/Utility-Information/Natural-Gas/Natural-Gas-Pipeline-Safety-and-Damage-Prevention.aspx" TargetMode="External"/><Relationship Id="rId14" Type="http://schemas.openxmlformats.org/officeDocument/2006/relationships/hyperlink" Target="https://www.icc.illinois.gov/home/illinois-gas-pipeline-safety-program" TargetMode="External"/><Relationship Id="rId22" Type="http://schemas.openxmlformats.org/officeDocument/2006/relationships/hyperlink" Target="https://www.mass.gov/orgs/pipeline-safety-division" TargetMode="External"/><Relationship Id="rId27" Type="http://schemas.openxmlformats.org/officeDocument/2006/relationships/hyperlink" Target="https://psc.mt.gov/Public-Safety/Pipeline-Safety" TargetMode="External"/><Relationship Id="rId30" Type="http://schemas.openxmlformats.org/officeDocument/2006/relationships/hyperlink" Target="https://www.energy.nh.gov/enforcement/pipeline-safety" TargetMode="External"/><Relationship Id="rId35" Type="http://schemas.openxmlformats.org/officeDocument/2006/relationships/hyperlink" Target="https://psc.nd.gov/jurisdiction/pipelines/index.php" TargetMode="External"/><Relationship Id="rId43" Type="http://schemas.openxmlformats.org/officeDocument/2006/relationships/hyperlink" Target="https://www.tn.gov/tpuc/divisions/gas-pipeline-safety-division.html" TargetMode="External"/><Relationship Id="rId48" Type="http://schemas.openxmlformats.org/officeDocument/2006/relationships/hyperlink" Target="https://www.utc.wa.gov/public-safety/pipeline-safety" TargetMode="External"/><Relationship Id="rId8" Type="http://schemas.openxmlformats.org/officeDocument/2006/relationships/hyperlink" Target="https://portal.ct.gov/PURA/Gas-Pipeline-Safety/Gas-Pipeline-Safety" TargetMode="External"/><Relationship Id="rId51" Type="http://schemas.openxmlformats.org/officeDocument/2006/relationships/hyperlink" Target="https://psc.wyo.gov/pipeline" TargetMode="External"/><Relationship Id="rId3" Type="http://schemas.openxmlformats.org/officeDocument/2006/relationships/hyperlink" Target="https://apsc.arkansas.gov/utilities/pipeline-safety/" TargetMode="External"/><Relationship Id="rId12" Type="http://schemas.openxmlformats.org/officeDocument/2006/relationships/hyperlink" Target="https://psc.ga.gov/facilities-protection/pipeline-safety/" TargetMode="External"/><Relationship Id="rId17" Type="http://schemas.openxmlformats.org/officeDocument/2006/relationships/hyperlink" Target="https://www.kcc.ks.gov/natural-gas-pipeline-safety-liquid-pipeline" TargetMode="External"/><Relationship Id="rId25" Type="http://schemas.openxmlformats.org/officeDocument/2006/relationships/hyperlink" Target="https://www.psc.ms.gov/pipeline/safety" TargetMode="External"/><Relationship Id="rId33" Type="http://schemas.openxmlformats.org/officeDocument/2006/relationships/hyperlink" Target="https://dps.ny.gov/nys-pipeline-safety-program" TargetMode="External"/><Relationship Id="rId38" Type="http://schemas.openxmlformats.org/officeDocument/2006/relationships/hyperlink" Target="https://www.oregon.gov/puc/safety/pages/gas-pipeline-safety.aspx" TargetMode="External"/><Relationship Id="rId46" Type="http://schemas.openxmlformats.org/officeDocument/2006/relationships/hyperlink" Target="https://publicservice.vermont.gov/regulated-utilities/natural-gas" TargetMode="External"/><Relationship Id="rId20" Type="http://schemas.openxmlformats.org/officeDocument/2006/relationships/hyperlink" Target="https://www.maine.gov/mpuc/safety/natural-gas-safety" TargetMode="External"/><Relationship Id="rId41" Type="http://schemas.openxmlformats.org/officeDocument/2006/relationships/hyperlink" Target="https://ors.sc.gov/safety/pipeline-safety" TargetMode="External"/><Relationship Id="rId1" Type="http://schemas.openxmlformats.org/officeDocument/2006/relationships/hyperlink" Target="https://psc.alabama.gov/gas-pipeline-safety/" TargetMode="External"/><Relationship Id="rId6" Type="http://schemas.openxmlformats.org/officeDocument/2006/relationships/hyperlink" Target="https://osfm.fire.ca.gov/divisions/pipeline-safety-and-cup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sc.ga.gov/facilities-protection/pipeline-safety/" TargetMode="External"/><Relationship Id="rId18" Type="http://schemas.openxmlformats.org/officeDocument/2006/relationships/hyperlink" Target="https://www.kcc.ks.gov/natural-gas-pipeline-safety-liquid-pipeline" TargetMode="External"/><Relationship Id="rId26" Type="http://schemas.openxmlformats.org/officeDocument/2006/relationships/hyperlink" Target="https://www.psc.ms.gov/pipeline/safety" TargetMode="External"/><Relationship Id="rId39" Type="http://schemas.openxmlformats.org/officeDocument/2006/relationships/hyperlink" Target="https://www.oregon.gov/puc/safety/pages/gas-pipeline-safety.aspx" TargetMode="External"/><Relationship Id="rId21" Type="http://schemas.openxmlformats.org/officeDocument/2006/relationships/hyperlink" Target="https://www.maine.gov/mpuc/safety/natural-gas-safety" TargetMode="External"/><Relationship Id="rId34" Type="http://schemas.openxmlformats.org/officeDocument/2006/relationships/hyperlink" Target="https://dps.ny.gov/nys-pipeline-safety-program" TargetMode="External"/><Relationship Id="rId42" Type="http://schemas.openxmlformats.org/officeDocument/2006/relationships/hyperlink" Target="https://ors.sc.gov/safety/pipeline-safety" TargetMode="External"/><Relationship Id="rId47" Type="http://schemas.openxmlformats.org/officeDocument/2006/relationships/hyperlink" Target="https://publicservice.vermont.gov/regulated-utilities/natural-gas" TargetMode="External"/><Relationship Id="rId50" Type="http://schemas.openxmlformats.org/officeDocument/2006/relationships/hyperlink" Target="http://www.psc.state.wv.us/div/gaspipelinesafety.htm" TargetMode="External"/><Relationship Id="rId7" Type="http://schemas.openxmlformats.org/officeDocument/2006/relationships/hyperlink" Target="https://osfm.fire.ca.gov/divisions/pipeline-safety-and-cupa/" TargetMode="External"/><Relationship Id="rId2" Type="http://schemas.openxmlformats.org/officeDocument/2006/relationships/hyperlink" Target="https://psc.alabama.gov/gas-pipeline-safety/" TargetMode="External"/><Relationship Id="rId16" Type="http://schemas.openxmlformats.org/officeDocument/2006/relationships/hyperlink" Target="https://www.in.gov/iurc/pipeline-safety-division/" TargetMode="External"/><Relationship Id="rId29" Type="http://schemas.openxmlformats.org/officeDocument/2006/relationships/hyperlink" Target="https://sfm.nebraska.gov/fuels-safety/pipeline-safety" TargetMode="External"/><Relationship Id="rId11" Type="http://schemas.openxmlformats.org/officeDocument/2006/relationships/hyperlink" Target="https://depsc.delaware.gov/pipeline-safety-program/" TargetMode="External"/><Relationship Id="rId24" Type="http://schemas.openxmlformats.org/officeDocument/2006/relationships/hyperlink" Target="https://www.michigan.gov/mpsc/regulatory/natural-gas/pipeline-safety" TargetMode="External"/><Relationship Id="rId32" Type="http://schemas.openxmlformats.org/officeDocument/2006/relationships/hyperlink" Target="https://www.nj.gov/bpu/about/divisions/reliability/" TargetMode="External"/><Relationship Id="rId37" Type="http://schemas.openxmlformats.org/officeDocument/2006/relationships/hyperlink" Target="https://puco.ohio.gov/utilities/gas/resources/natural-gas-pipeline-safety-in-ohio" TargetMode="External"/><Relationship Id="rId40" Type="http://schemas.openxmlformats.org/officeDocument/2006/relationships/hyperlink" Target="https://www.puc.pa.gov/pipeline-safety/" TargetMode="External"/><Relationship Id="rId45" Type="http://schemas.openxmlformats.org/officeDocument/2006/relationships/hyperlink" Target="https://www.rrc.texas.gov/pipeline-safety/" TargetMode="External"/><Relationship Id="rId53" Type="http://schemas.openxmlformats.org/officeDocument/2006/relationships/drawing" Target="../drawings/drawing1.xml"/><Relationship Id="rId5" Type="http://schemas.openxmlformats.org/officeDocument/2006/relationships/hyperlink" Target="https://www.aogc.state.ar.us/" TargetMode="External"/><Relationship Id="rId10" Type="http://schemas.openxmlformats.org/officeDocument/2006/relationships/hyperlink" Target="https://dcpsc.org/Utility-Information/Natural-Gas/Natural-Gas-Pipeline-Safety-and-Damage-Prevention.aspx" TargetMode="External"/><Relationship Id="rId19" Type="http://schemas.openxmlformats.org/officeDocument/2006/relationships/hyperlink" Target="https://psc.ky.gov/Home/PipelineSafety" TargetMode="External"/><Relationship Id="rId31" Type="http://schemas.openxmlformats.org/officeDocument/2006/relationships/hyperlink" Target="https://www.energy.nh.gov/enforcement/pipeline-safety" TargetMode="External"/><Relationship Id="rId44" Type="http://schemas.openxmlformats.org/officeDocument/2006/relationships/hyperlink" Target="https://www.tn.gov/tpuc/divisions/gas-pipeline-safety-division.html" TargetMode="External"/><Relationship Id="rId52" Type="http://schemas.openxmlformats.org/officeDocument/2006/relationships/hyperlink" Target="https://psc.wyo.gov/pipeline" TargetMode="External"/><Relationship Id="rId4" Type="http://schemas.openxmlformats.org/officeDocument/2006/relationships/hyperlink" Target="https://apsc.arkansas.gov/utilities/pipeline-safety/" TargetMode="External"/><Relationship Id="rId9" Type="http://schemas.openxmlformats.org/officeDocument/2006/relationships/hyperlink" Target="https://portal.ct.gov/PURA/Gas-Pipeline-Safety/Gas-Pipeline-Safety" TargetMode="External"/><Relationship Id="rId14" Type="http://schemas.openxmlformats.org/officeDocument/2006/relationships/hyperlink" Target="https://puc.idaho.gov/Page/Utility/8" TargetMode="External"/><Relationship Id="rId22" Type="http://schemas.openxmlformats.org/officeDocument/2006/relationships/hyperlink" Target="https://www.psc.state.md.us/gas/" TargetMode="External"/><Relationship Id="rId27" Type="http://schemas.openxmlformats.org/officeDocument/2006/relationships/hyperlink" Target="https://psc.mo.gov/General/Pipeline_Safety" TargetMode="External"/><Relationship Id="rId30" Type="http://schemas.openxmlformats.org/officeDocument/2006/relationships/hyperlink" Target="https://puc.nv.gov/Safety/Pipeline/" TargetMode="External"/><Relationship Id="rId35" Type="http://schemas.openxmlformats.org/officeDocument/2006/relationships/hyperlink" Target="https://www.ncuc.gov/Industries/naturalgas/pipelinesafety.html" TargetMode="External"/><Relationship Id="rId43" Type="http://schemas.openxmlformats.org/officeDocument/2006/relationships/hyperlink" Target="https://puc.sd.gov/pipelinesafety/" TargetMode="External"/><Relationship Id="rId48" Type="http://schemas.openxmlformats.org/officeDocument/2006/relationships/hyperlink" Target="https://www.scc.virginia.gov/pages/Pipeline-Safety" TargetMode="External"/><Relationship Id="rId8" Type="http://schemas.openxmlformats.org/officeDocument/2006/relationships/hyperlink" Target="https://puc.colorado.gov/gaspipelines" TargetMode="External"/><Relationship Id="rId51" Type="http://schemas.openxmlformats.org/officeDocument/2006/relationships/hyperlink" Target="https://psc.wi.gov/Pages/ServiceType/Energy/PipelineSafetyProgram.aspx" TargetMode="External"/><Relationship Id="rId3" Type="http://schemas.openxmlformats.org/officeDocument/2006/relationships/hyperlink" Target="https://www.azcc.gov/safety/pipeline" TargetMode="External"/><Relationship Id="rId12" Type="http://schemas.openxmlformats.org/officeDocument/2006/relationships/hyperlink" Target="https://www.psc.state.fl.us/natural-gas" TargetMode="External"/><Relationship Id="rId17" Type="http://schemas.openxmlformats.org/officeDocument/2006/relationships/hyperlink" Target="https://iub.iowa.gov/regulated-industries/pipeline-permits-certifications/pipeline-safety" TargetMode="External"/><Relationship Id="rId25" Type="http://schemas.openxmlformats.org/officeDocument/2006/relationships/hyperlink" Target="https://dps.mn.gov/divisions/ops/Pages/default.aspx" TargetMode="External"/><Relationship Id="rId33" Type="http://schemas.openxmlformats.org/officeDocument/2006/relationships/hyperlink" Target="https://www.prc.nm.gov/transportation/pipeline-safety/" TargetMode="External"/><Relationship Id="rId38" Type="http://schemas.openxmlformats.org/officeDocument/2006/relationships/hyperlink" Target="https://oklahoma.gov/occ/divisions/transportation/pipeline-safety.html" TargetMode="External"/><Relationship Id="rId46" Type="http://schemas.openxmlformats.org/officeDocument/2006/relationships/hyperlink" Target="https://dpu.utah.gov/pipeline-safety/" TargetMode="External"/><Relationship Id="rId20" Type="http://schemas.openxmlformats.org/officeDocument/2006/relationships/hyperlink" Target="https://www.dnr.louisiana.gov/index.cfm/page/144" TargetMode="External"/><Relationship Id="rId41" Type="http://schemas.openxmlformats.org/officeDocument/2006/relationships/hyperlink" Target="https://ripuc.ri.gov/utility-information/natural-gas/ridpuc-pipeline-safety" TargetMode="External"/><Relationship Id="rId54" Type="http://schemas.openxmlformats.org/officeDocument/2006/relationships/table" Target="../tables/table2.xml"/><Relationship Id="rId1" Type="http://schemas.openxmlformats.org/officeDocument/2006/relationships/pivotTable" Target="../pivotTables/pivotTable1.xml"/><Relationship Id="rId6" Type="http://schemas.openxmlformats.org/officeDocument/2006/relationships/hyperlink" Target="https://www.cpuc.ca.gov/regulatory-services/safety/gas-safety-and-reliability-branch" TargetMode="External"/><Relationship Id="rId15" Type="http://schemas.openxmlformats.org/officeDocument/2006/relationships/hyperlink" Target="https://www.icc.illinois.gov/home/illinois-gas-pipeline-safety-program" TargetMode="External"/><Relationship Id="rId23" Type="http://schemas.openxmlformats.org/officeDocument/2006/relationships/hyperlink" Target="https://www.mass.gov/orgs/pipeline-safety-division" TargetMode="External"/><Relationship Id="rId28" Type="http://schemas.openxmlformats.org/officeDocument/2006/relationships/hyperlink" Target="https://psc.mt.gov/Public-Safety/Pipeline-Safety" TargetMode="External"/><Relationship Id="rId36" Type="http://schemas.openxmlformats.org/officeDocument/2006/relationships/hyperlink" Target="https://psc.nd.gov/jurisdiction/pipelines/index.php" TargetMode="External"/><Relationship Id="rId49" Type="http://schemas.openxmlformats.org/officeDocument/2006/relationships/hyperlink" Target="https://www.utc.wa.gov/public-safety/pipeline-safet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nr.louisiana.gov/index.cfm?md=pagebuilder&amp;tmp=home&amp;pid=54&amp;pnid=21&amp;nid=30" TargetMode="External"/><Relationship Id="rId21" Type="http://schemas.openxmlformats.org/officeDocument/2006/relationships/hyperlink" Target="https://www.psc.state.md.us/gas/" TargetMode="External"/><Relationship Id="rId42" Type="http://schemas.openxmlformats.org/officeDocument/2006/relationships/hyperlink" Target="https://puc.sd.gov/pipelinesafety/" TargetMode="External"/><Relationship Id="rId63" Type="http://schemas.openxmlformats.org/officeDocument/2006/relationships/hyperlink" Target="https://psc.mo.gov/General/Pipeline_Safety" TargetMode="External"/><Relationship Id="rId84" Type="http://schemas.openxmlformats.org/officeDocument/2006/relationships/hyperlink" Target="http://www.psc.state.fl.us/ElectricNaturalGas/Index" TargetMode="External"/><Relationship Id="rId138" Type="http://schemas.openxmlformats.org/officeDocument/2006/relationships/hyperlink" Target="http://www.puc.state.nh.us/safety/safety.htm" TargetMode="External"/><Relationship Id="rId159" Type="http://schemas.openxmlformats.org/officeDocument/2006/relationships/hyperlink" Target="http://www.in.gov/iurc/2335.htm" TargetMode="External"/><Relationship Id="rId170" Type="http://schemas.openxmlformats.org/officeDocument/2006/relationships/hyperlink" Target="http://osfm.fire.ca.gov/pipeline/pipeline.php" TargetMode="External"/><Relationship Id="rId191" Type="http://schemas.openxmlformats.org/officeDocument/2006/relationships/hyperlink" Target="http://psc.mo.gov/General/Pipeline_Safety" TargetMode="External"/><Relationship Id="rId205" Type="http://schemas.openxmlformats.org/officeDocument/2006/relationships/hyperlink" Target="http://puc.sd.gov/pipelinesafety/default.aspx" TargetMode="External"/><Relationship Id="rId107" Type="http://schemas.openxmlformats.org/officeDocument/2006/relationships/hyperlink" Target="http://www.ct.gov/pura/cwp/view.asp?a=3363&amp;Q=492678&amp;puraNav_GID=1702" TargetMode="External"/><Relationship Id="rId11" Type="http://schemas.openxmlformats.org/officeDocument/2006/relationships/hyperlink" Target="https://www.psc.state.fl.us/natural-gas" TargetMode="External"/><Relationship Id="rId32" Type="http://schemas.openxmlformats.org/officeDocument/2006/relationships/hyperlink" Target="https://www.prc.nm.gov/transportation/pipeline-safety/" TargetMode="External"/><Relationship Id="rId53" Type="http://schemas.openxmlformats.org/officeDocument/2006/relationships/hyperlink" Target="http://www.utc.wa.gov/publicSafety/pipelineSafety/Pages/default.aspx" TargetMode="External"/><Relationship Id="rId74" Type="http://schemas.openxmlformats.org/officeDocument/2006/relationships/hyperlink" Target="http://www.scc.virginia.gov/urs/pipe/index.aspx" TargetMode="External"/><Relationship Id="rId128" Type="http://schemas.openxmlformats.org/officeDocument/2006/relationships/hyperlink" Target="https://www.michigan.gov/mpsc/0,9535,7-395-93309_93439_93462_94886_94891---,00.html" TargetMode="External"/><Relationship Id="rId149" Type="http://schemas.openxmlformats.org/officeDocument/2006/relationships/hyperlink" Target="http://www.icc.illinois.gov/PipelineSafety/" TargetMode="External"/><Relationship Id="rId5" Type="http://schemas.openxmlformats.org/officeDocument/2006/relationships/hyperlink" Target="https://www.cpuc.ca.gov/regulatory-services/safety/gas-safety-and-reliability-branch" TargetMode="External"/><Relationship Id="rId95" Type="http://schemas.openxmlformats.org/officeDocument/2006/relationships/hyperlink" Target="https://www3.dps.ny.gov/W/PSCWeb.nsf/All/4606B847387FBCB6852580A700678AD0?OpenDocument" TargetMode="External"/><Relationship Id="rId160" Type="http://schemas.openxmlformats.org/officeDocument/2006/relationships/hyperlink" Target="http://www.occeweb.com/tr/PLShome.htm" TargetMode="External"/><Relationship Id="rId181" Type="http://schemas.openxmlformats.org/officeDocument/2006/relationships/hyperlink" Target="http://www.in.gov/iurc/2335.htm" TargetMode="External"/><Relationship Id="rId22" Type="http://schemas.openxmlformats.org/officeDocument/2006/relationships/hyperlink" Target="https://www.mass.gov/orgs/pipeline-safety-division" TargetMode="External"/><Relationship Id="rId43" Type="http://schemas.openxmlformats.org/officeDocument/2006/relationships/hyperlink" Target="https://www.tn.gov/tpuc/divisions/gas-pipeline-safety-division.html" TargetMode="External"/><Relationship Id="rId64" Type="http://schemas.openxmlformats.org/officeDocument/2006/relationships/hyperlink" Target="http://www.rrc.state.tx.us/pipeline-safety/" TargetMode="External"/><Relationship Id="rId118" Type="http://schemas.openxmlformats.org/officeDocument/2006/relationships/hyperlink" Target="http://psc.nd.gov/jurisdiction/pipelines/" TargetMode="External"/><Relationship Id="rId139" Type="http://schemas.openxmlformats.org/officeDocument/2006/relationships/hyperlink" Target="https://dps.mn.gov/divisions/ops/Pages/default.aspx" TargetMode="External"/><Relationship Id="rId85" Type="http://schemas.openxmlformats.org/officeDocument/2006/relationships/hyperlink" Target="https://iub.iowa.gov/regulated-industries/pipeline-safety" TargetMode="External"/><Relationship Id="rId150" Type="http://schemas.openxmlformats.org/officeDocument/2006/relationships/hyperlink" Target="http://www.psc.state.ga.us/facilitiesprotect/fp_pipesafe/fp_pipesafe.asp" TargetMode="External"/><Relationship Id="rId171" Type="http://schemas.openxmlformats.org/officeDocument/2006/relationships/hyperlink" Target="http://www.azcc.gov/Divisions/Safety/" TargetMode="External"/><Relationship Id="rId192" Type="http://schemas.openxmlformats.org/officeDocument/2006/relationships/hyperlink" Target="http://www.psc.mt.gov/pipeline/" TargetMode="External"/><Relationship Id="rId206" Type="http://schemas.openxmlformats.org/officeDocument/2006/relationships/hyperlink" Target="http://www.tennessee.gov/tra/section/gas-pipeline-safety-divison" TargetMode="External"/><Relationship Id="rId12" Type="http://schemas.openxmlformats.org/officeDocument/2006/relationships/hyperlink" Target="https://psc.ga.gov/facilities-protection/pipeline-safety/" TargetMode="External"/><Relationship Id="rId33" Type="http://schemas.openxmlformats.org/officeDocument/2006/relationships/hyperlink" Target="https://dps.ny.gov/nys-pipeline-safety-program" TargetMode="External"/><Relationship Id="rId108" Type="http://schemas.openxmlformats.org/officeDocument/2006/relationships/hyperlink" Target="http://www.psc.state.ms.us/pipeline/pipeline.html" TargetMode="External"/><Relationship Id="rId129" Type="http://schemas.openxmlformats.org/officeDocument/2006/relationships/hyperlink" Target="http://www.puc.idaho.gov/safety/safety.html" TargetMode="External"/><Relationship Id="rId54" Type="http://schemas.openxmlformats.org/officeDocument/2006/relationships/hyperlink" Target="http://www.apscservices.info/PSOIndex.asp" TargetMode="External"/><Relationship Id="rId75" Type="http://schemas.openxmlformats.org/officeDocument/2006/relationships/hyperlink" Target="https://www.in.gov/iurc/pipeline-safety-division/regulation-of-gas-operators/" TargetMode="External"/><Relationship Id="rId96" Type="http://schemas.openxmlformats.org/officeDocument/2006/relationships/hyperlink" Target="https://www.ncuc.net/Industries/naturalgas/pipelinesafety.html" TargetMode="External"/><Relationship Id="rId140" Type="http://schemas.openxmlformats.org/officeDocument/2006/relationships/hyperlink" Target="http://www.psc.state.wv.us/div/gaspipelinesafety.htm" TargetMode="External"/><Relationship Id="rId161" Type="http://schemas.openxmlformats.org/officeDocument/2006/relationships/hyperlink" Target="http://www.ripuc.org/utilityinfo/natgas/Pipeline_safety.html" TargetMode="External"/><Relationship Id="rId182" Type="http://schemas.openxmlformats.org/officeDocument/2006/relationships/hyperlink" Target="https://iub.iowa.gov/pipeline-safety" TargetMode="External"/><Relationship Id="rId6" Type="http://schemas.openxmlformats.org/officeDocument/2006/relationships/hyperlink" Target="https://osfm.fire.ca.gov/divisions/pipeline-safety-and-cupa/" TargetMode="External"/><Relationship Id="rId23" Type="http://schemas.openxmlformats.org/officeDocument/2006/relationships/hyperlink" Target="https://www.michigan.gov/mpsc/regulatory/natural-gas/pipeline-safety" TargetMode="External"/><Relationship Id="rId119" Type="http://schemas.openxmlformats.org/officeDocument/2006/relationships/hyperlink" Target="https://osfm.fire.ca.gov/divisions/pipeline-safety-and-cupa/" TargetMode="External"/><Relationship Id="rId44" Type="http://schemas.openxmlformats.org/officeDocument/2006/relationships/hyperlink" Target="https://www.rrc.texas.gov/pipeline-safety/" TargetMode="External"/><Relationship Id="rId65" Type="http://schemas.openxmlformats.org/officeDocument/2006/relationships/hyperlink" Target="https://www.icc.illinois.gov/home/Illinois-Gas-Pipeline-Safety-Program" TargetMode="External"/><Relationship Id="rId86" Type="http://schemas.openxmlformats.org/officeDocument/2006/relationships/hyperlink" Target="https://psc.alabama.gov/gas-pipeline-safety/" TargetMode="External"/><Relationship Id="rId130" Type="http://schemas.openxmlformats.org/officeDocument/2006/relationships/hyperlink" Target="http://www.psc.state.md.us/gas/" TargetMode="External"/><Relationship Id="rId151" Type="http://schemas.openxmlformats.org/officeDocument/2006/relationships/hyperlink" Target="http://www.nmprc.state.nm.us/transportation/pipeline-safety.html" TargetMode="External"/><Relationship Id="rId172" Type="http://schemas.openxmlformats.org/officeDocument/2006/relationships/hyperlink" Target="http://www.apscservices.info/PSOIndex.asp" TargetMode="External"/><Relationship Id="rId193" Type="http://schemas.openxmlformats.org/officeDocument/2006/relationships/hyperlink" Target="http://puc.nv.gov/Safety/Pipeline/" TargetMode="External"/><Relationship Id="rId207" Type="http://schemas.openxmlformats.org/officeDocument/2006/relationships/hyperlink" Target="http://www.rrc.state.tx.us/pipeline-safety/" TargetMode="External"/><Relationship Id="rId13" Type="http://schemas.openxmlformats.org/officeDocument/2006/relationships/hyperlink" Target="https://puc.idaho.gov/Page/Utility/8" TargetMode="External"/><Relationship Id="rId109" Type="http://schemas.openxmlformats.org/officeDocument/2006/relationships/hyperlink" Target="http://puc.sd.gov/pipelinesafety/default.aspx" TargetMode="External"/><Relationship Id="rId34" Type="http://schemas.openxmlformats.org/officeDocument/2006/relationships/hyperlink" Target="https://www.ncuc.gov/Industries/naturalgas/pipelinesafety.html" TargetMode="External"/><Relationship Id="rId55" Type="http://schemas.openxmlformats.org/officeDocument/2006/relationships/hyperlink" Target="https://www.puc.nh.gov/Safety/Pipeline_Safety_Overview.htm" TargetMode="External"/><Relationship Id="rId76" Type="http://schemas.openxmlformats.org/officeDocument/2006/relationships/hyperlink" Target="https://oklahoma.gov/occ/divisions/transportation/pipeline-safety.html" TargetMode="External"/><Relationship Id="rId97" Type="http://schemas.openxmlformats.org/officeDocument/2006/relationships/hyperlink" Target="https://puco.ohio.gov/utilities/gas/resources/natural-gas-pipeline-safety-in-ohio" TargetMode="External"/><Relationship Id="rId120" Type="http://schemas.openxmlformats.org/officeDocument/2006/relationships/hyperlink" Target="http://psc.ky.gov/home/pipelinesafety" TargetMode="External"/><Relationship Id="rId141" Type="http://schemas.openxmlformats.org/officeDocument/2006/relationships/hyperlink" Target="https://www.colorado.gov/pacific/dora/gaspipelines" TargetMode="External"/><Relationship Id="rId7" Type="http://schemas.openxmlformats.org/officeDocument/2006/relationships/hyperlink" Target="https://puc.colorado.gov/gaspipelines" TargetMode="External"/><Relationship Id="rId162" Type="http://schemas.openxmlformats.org/officeDocument/2006/relationships/hyperlink" Target="http://kcc.state.ks.us/pipeline/index.htm" TargetMode="External"/><Relationship Id="rId183" Type="http://schemas.openxmlformats.org/officeDocument/2006/relationships/hyperlink" Target="http://kcc.state.ks.us/pipeline/index.htm" TargetMode="External"/><Relationship Id="rId24" Type="http://schemas.openxmlformats.org/officeDocument/2006/relationships/hyperlink" Target="https://dps.mn.gov/divisions/ops/Pages/default.aspx" TargetMode="External"/><Relationship Id="rId45" Type="http://schemas.openxmlformats.org/officeDocument/2006/relationships/hyperlink" Target="https://dpu.utah.gov/pipeline-safety/" TargetMode="External"/><Relationship Id="rId66" Type="http://schemas.openxmlformats.org/officeDocument/2006/relationships/hyperlink" Target="https://psc.ga.gov/facilities-protection/pipeline-safety/" TargetMode="External"/><Relationship Id="rId87" Type="http://schemas.openxmlformats.org/officeDocument/2006/relationships/hyperlink" Target="https://www.azcc.gov/safety/pipeline" TargetMode="External"/><Relationship Id="rId110" Type="http://schemas.openxmlformats.org/officeDocument/2006/relationships/hyperlink" Target="http://www.nj.gov/bpu/about/divisions/reliability/" TargetMode="External"/><Relationship Id="rId131" Type="http://schemas.openxmlformats.org/officeDocument/2006/relationships/hyperlink" Target="http://psc.state.wy.us/pscdocs/pipeline.html" TargetMode="External"/><Relationship Id="rId61" Type="http://schemas.openxmlformats.org/officeDocument/2006/relationships/hyperlink" Target="https://puc.sd.gov/pipelinesafety/default.aspx" TargetMode="External"/><Relationship Id="rId82" Type="http://schemas.openxmlformats.org/officeDocument/2006/relationships/hyperlink" Target="http://psc.state.wy.us/pscdocs/pipeline.html" TargetMode="External"/><Relationship Id="rId152" Type="http://schemas.openxmlformats.org/officeDocument/2006/relationships/hyperlink" Target="https://ors.sc.gov/safety/pipeline-safety" TargetMode="External"/><Relationship Id="rId173" Type="http://schemas.openxmlformats.org/officeDocument/2006/relationships/hyperlink" Target="http://osfm.fire.ca.gov/pipeline/pipeline.php" TargetMode="External"/><Relationship Id="rId194" Type="http://schemas.openxmlformats.org/officeDocument/2006/relationships/hyperlink" Target="http://www.puc.state.nh.us/safety/safety.htm" TargetMode="External"/><Relationship Id="rId199" Type="http://schemas.openxmlformats.org/officeDocument/2006/relationships/hyperlink" Target="http://psc.nd.gov/jurisdiction/pipelines/" TargetMode="External"/><Relationship Id="rId203" Type="http://schemas.openxmlformats.org/officeDocument/2006/relationships/hyperlink" Target="http://www.ripuc.org/utilityinfo/natgas/Pipeline_safety.html" TargetMode="External"/><Relationship Id="rId208" Type="http://schemas.openxmlformats.org/officeDocument/2006/relationships/hyperlink" Target="http://www.scc.virginia.gov/urs/pipe/index.aspx" TargetMode="External"/><Relationship Id="rId19" Type="http://schemas.openxmlformats.org/officeDocument/2006/relationships/hyperlink" Target="https://www.dnr.louisiana.gov/index.cfm/page/144" TargetMode="External"/><Relationship Id="rId14" Type="http://schemas.openxmlformats.org/officeDocument/2006/relationships/hyperlink" Target="https://www.icc.illinois.gov/home/illinois-gas-pipeline-safety-program" TargetMode="External"/><Relationship Id="rId30" Type="http://schemas.openxmlformats.org/officeDocument/2006/relationships/hyperlink" Target="https://www.energy.nh.gov/enforcement/pipeline-safety" TargetMode="External"/><Relationship Id="rId35" Type="http://schemas.openxmlformats.org/officeDocument/2006/relationships/hyperlink" Target="https://psc.nd.gov/jurisdiction/pipelines/index.php" TargetMode="External"/><Relationship Id="rId56" Type="http://schemas.openxmlformats.org/officeDocument/2006/relationships/hyperlink" Target="https://dps.mn.gov/divisions/ops/Pages/default.aspx" TargetMode="External"/><Relationship Id="rId77" Type="http://schemas.openxmlformats.org/officeDocument/2006/relationships/hyperlink" Target="https://ripuc.ri.gov/utility-information/natural-gas/ridpuc-pipeline-safety" TargetMode="External"/><Relationship Id="rId100" Type="http://schemas.openxmlformats.org/officeDocument/2006/relationships/hyperlink" Target="http://www.utc.wa.gov/publicSafety/pipelineSafety/Pages/default.aspx" TargetMode="External"/><Relationship Id="rId105" Type="http://schemas.openxmlformats.org/officeDocument/2006/relationships/hyperlink" Target="https://www.colorado.gov/pacific/dora/gaspipelines" TargetMode="External"/><Relationship Id="rId126" Type="http://schemas.openxmlformats.org/officeDocument/2006/relationships/hyperlink" Target="http://kcc.state.ks.us/pipeline/index.htm" TargetMode="External"/><Relationship Id="rId147" Type="http://schemas.openxmlformats.org/officeDocument/2006/relationships/hyperlink" Target="http://psc.mo.gov/General/Pipeline_Safety" TargetMode="External"/><Relationship Id="rId168" Type="http://schemas.openxmlformats.org/officeDocument/2006/relationships/hyperlink" Target="http://depsc.delaware.gov/naturalgas.shtml" TargetMode="External"/><Relationship Id="rId8" Type="http://schemas.openxmlformats.org/officeDocument/2006/relationships/hyperlink" Target="https://portal.ct.gov/PURA/Gas-Pipeline-Safety/Gas-Pipeline-Safety" TargetMode="External"/><Relationship Id="rId51" Type="http://schemas.openxmlformats.org/officeDocument/2006/relationships/hyperlink" Target="https://psc.wyo.gov/pipeline" TargetMode="External"/><Relationship Id="rId72" Type="http://schemas.openxmlformats.org/officeDocument/2006/relationships/hyperlink" Target="https://psc.ky.gov/Home/PipelineSafety" TargetMode="External"/><Relationship Id="rId93" Type="http://schemas.openxmlformats.org/officeDocument/2006/relationships/hyperlink" Target="https://www.mass.gov/pipeline-safety-information" TargetMode="External"/><Relationship Id="rId98" Type="http://schemas.openxmlformats.org/officeDocument/2006/relationships/hyperlink" Target="https://dpu.utah.gov/pipeline-safety/" TargetMode="External"/><Relationship Id="rId121" Type="http://schemas.openxmlformats.org/officeDocument/2006/relationships/hyperlink" Target="http://www.puc.state.or.us/Pages/safety/gassafety.aspx" TargetMode="External"/><Relationship Id="rId142" Type="http://schemas.openxmlformats.org/officeDocument/2006/relationships/hyperlink" Target="http://www.maine.gov/mpuc/" TargetMode="External"/><Relationship Id="rId163" Type="http://schemas.openxmlformats.org/officeDocument/2006/relationships/hyperlink" Target="http://www.puc.state.pa.us/consumer_info/transportation/pipeline_safety_.aspx" TargetMode="External"/><Relationship Id="rId184" Type="http://schemas.openxmlformats.org/officeDocument/2006/relationships/hyperlink" Target="http://psc.ky.gov/home/pipelinesafety" TargetMode="External"/><Relationship Id="rId189" Type="http://schemas.openxmlformats.org/officeDocument/2006/relationships/hyperlink" Target="https://dps.mn.gov/divisions/ops/Pages/default.aspx" TargetMode="External"/><Relationship Id="rId3" Type="http://schemas.openxmlformats.org/officeDocument/2006/relationships/hyperlink" Target="https://apsc.arkansas.gov/utilities/pipeline-safety/" TargetMode="External"/><Relationship Id="rId25" Type="http://schemas.openxmlformats.org/officeDocument/2006/relationships/hyperlink" Target="https://www.psc.ms.gov/pipeline/safety" TargetMode="External"/><Relationship Id="rId46" Type="http://schemas.openxmlformats.org/officeDocument/2006/relationships/hyperlink" Target="https://publicservice.vermont.gov/regulated-utilities/natural-gas" TargetMode="External"/><Relationship Id="rId67" Type="http://schemas.openxmlformats.org/officeDocument/2006/relationships/hyperlink" Target="https://www.nm-prc.org/transportation/pipeline-safety/" TargetMode="External"/><Relationship Id="rId116" Type="http://schemas.openxmlformats.org/officeDocument/2006/relationships/hyperlink" Target="http://www.regulatorystaff.sc.gov/safety/Pages/PipelineSafety.aspx" TargetMode="External"/><Relationship Id="rId137" Type="http://schemas.openxmlformats.org/officeDocument/2006/relationships/hyperlink" Target="http://www.apscservices.info/PSOIndex.asp" TargetMode="External"/><Relationship Id="rId158" Type="http://schemas.openxmlformats.org/officeDocument/2006/relationships/hyperlink" Target="http://www.scc.virginia.gov/urs/pipe/index.aspx" TargetMode="External"/><Relationship Id="rId20" Type="http://schemas.openxmlformats.org/officeDocument/2006/relationships/hyperlink" Target="https://www.maine.gov/mpuc/safety/natural-gas-safety" TargetMode="External"/><Relationship Id="rId41" Type="http://schemas.openxmlformats.org/officeDocument/2006/relationships/hyperlink" Target="https://ors.sc.gov/safety/pipeline-safety" TargetMode="External"/><Relationship Id="rId62" Type="http://schemas.openxmlformats.org/officeDocument/2006/relationships/hyperlink" Target="https://www.nj.gov/bpu/about/divisions/reliability/" TargetMode="External"/><Relationship Id="rId83" Type="http://schemas.openxmlformats.org/officeDocument/2006/relationships/hyperlink" Target="https://depsc.delaware.gov/pipeline-safety-program/" TargetMode="External"/><Relationship Id="rId88" Type="http://schemas.openxmlformats.org/officeDocument/2006/relationships/hyperlink" Target="https://aogc.state.ar.us/" TargetMode="External"/><Relationship Id="rId111" Type="http://schemas.openxmlformats.org/officeDocument/2006/relationships/hyperlink" Target="http://psc.mo.gov/General/Pipeline_Safety" TargetMode="External"/><Relationship Id="rId132" Type="http://schemas.openxmlformats.org/officeDocument/2006/relationships/hyperlink" Target="http://depsc.delaware.gov/naturalgas.shtml" TargetMode="External"/><Relationship Id="rId153" Type="http://schemas.openxmlformats.org/officeDocument/2006/relationships/hyperlink" Target="http://dnr.louisiana.gov/index.cfm?md=pagebuilder&amp;tmp=home&amp;pid=54&amp;pnid=21&amp;nid=30" TargetMode="External"/><Relationship Id="rId174" Type="http://schemas.openxmlformats.org/officeDocument/2006/relationships/hyperlink" Target="https://www.colorado.gov/pacific/dora/gaspipelines" TargetMode="External"/><Relationship Id="rId179" Type="http://schemas.openxmlformats.org/officeDocument/2006/relationships/hyperlink" Target="http://www.puc.idaho.gov/safety/safety.html" TargetMode="External"/><Relationship Id="rId195" Type="http://schemas.openxmlformats.org/officeDocument/2006/relationships/hyperlink" Target="http://www.nj.gov/bpu/about/divisions/reliability/" TargetMode="External"/><Relationship Id="rId209" Type="http://schemas.openxmlformats.org/officeDocument/2006/relationships/hyperlink" Target="http://www.utc.wa.gov/publicSafety/pipelineSafety/Pages/default.aspx" TargetMode="External"/><Relationship Id="rId190" Type="http://schemas.openxmlformats.org/officeDocument/2006/relationships/hyperlink" Target="http://www.psc.state.ms.us/pipeline/pipeline.html" TargetMode="External"/><Relationship Id="rId204" Type="http://schemas.openxmlformats.org/officeDocument/2006/relationships/hyperlink" Target="http://www.regulatorystaff.sc.gov/safety/Pages/PipelineSafety.aspx" TargetMode="External"/><Relationship Id="rId15" Type="http://schemas.openxmlformats.org/officeDocument/2006/relationships/hyperlink" Target="https://www.in.gov/iurc/pipeline-safety-division/" TargetMode="External"/><Relationship Id="rId36" Type="http://schemas.openxmlformats.org/officeDocument/2006/relationships/hyperlink" Target="https://puco.ohio.gov/utilities/gas/resources/natural-gas-pipeline-safety-in-ohio" TargetMode="External"/><Relationship Id="rId57" Type="http://schemas.openxmlformats.org/officeDocument/2006/relationships/hyperlink" Target="http://www.psc.state.wv.us/div/gaspipelinesafety.htm" TargetMode="External"/><Relationship Id="rId106" Type="http://schemas.openxmlformats.org/officeDocument/2006/relationships/hyperlink" Target="http://www.maine.gov/mpuc/" TargetMode="External"/><Relationship Id="rId127" Type="http://schemas.openxmlformats.org/officeDocument/2006/relationships/hyperlink" Target="http://www.puc.state.pa.us/consumer_info/transportation/pipeline_safety_.aspx" TargetMode="External"/><Relationship Id="rId10" Type="http://schemas.openxmlformats.org/officeDocument/2006/relationships/hyperlink" Target="https://depsc.delaware.gov/pipeline-safety-program/" TargetMode="External"/><Relationship Id="rId31" Type="http://schemas.openxmlformats.org/officeDocument/2006/relationships/hyperlink" Target="https://www.nj.gov/bpu/about/divisions/reliability/" TargetMode="External"/><Relationship Id="rId52" Type="http://schemas.openxmlformats.org/officeDocument/2006/relationships/hyperlink" Target="https://puc.nv.gov/Safety/Pipeline/" TargetMode="External"/><Relationship Id="rId73" Type="http://schemas.openxmlformats.org/officeDocument/2006/relationships/hyperlink" Target="https://www.oregon.gov/puc/safety/Pages/Gas-Pipeline-Safety.aspx" TargetMode="External"/><Relationship Id="rId78" Type="http://schemas.openxmlformats.org/officeDocument/2006/relationships/hyperlink" Target="https://kcc.ks.gov/natural-gas-pipeline-safety-liquid-pipeline" TargetMode="External"/><Relationship Id="rId94" Type="http://schemas.openxmlformats.org/officeDocument/2006/relationships/hyperlink" Target="https://psc.mt.gov/Public-Safety/Pipeline-Safety" TargetMode="External"/><Relationship Id="rId99" Type="http://schemas.openxmlformats.org/officeDocument/2006/relationships/hyperlink" Target="http://puc.nv.gov/Safety/Pipeline/" TargetMode="External"/><Relationship Id="rId101" Type="http://schemas.openxmlformats.org/officeDocument/2006/relationships/hyperlink" Target="http://www.apscservices.info/PSOIndex.asp" TargetMode="External"/><Relationship Id="rId122" Type="http://schemas.openxmlformats.org/officeDocument/2006/relationships/hyperlink" Target="http://www.scc.virginia.gov/urs/pipe/index.aspx" TargetMode="External"/><Relationship Id="rId143" Type="http://schemas.openxmlformats.org/officeDocument/2006/relationships/hyperlink" Target="http://www.ct.gov/pura/cwp/view.asp?a=3363&amp;Q=492678&amp;puraNav_GID=1702" TargetMode="External"/><Relationship Id="rId148" Type="http://schemas.openxmlformats.org/officeDocument/2006/relationships/hyperlink" Target="http://www.rrc.state.tx.us/pipeline-safety/" TargetMode="External"/><Relationship Id="rId164" Type="http://schemas.openxmlformats.org/officeDocument/2006/relationships/hyperlink" Target="http://www.michigan.gov/mpsc/0,4639,7-159-16385---,00.html" TargetMode="External"/><Relationship Id="rId169" Type="http://schemas.openxmlformats.org/officeDocument/2006/relationships/hyperlink" Target="http://www.psc.state.fl.us/" TargetMode="External"/><Relationship Id="rId185" Type="http://schemas.openxmlformats.org/officeDocument/2006/relationships/hyperlink" Target="http://dnr.louisiana.gov/index.cfm?md=pagebuilder&amp;tmp=home&amp;pid=54&amp;pnid=21&amp;nid=30" TargetMode="External"/><Relationship Id="rId4" Type="http://schemas.openxmlformats.org/officeDocument/2006/relationships/hyperlink" Target="https://www.aogc.state.ar.us/" TargetMode="External"/><Relationship Id="rId9" Type="http://schemas.openxmlformats.org/officeDocument/2006/relationships/hyperlink" Target="https://dcpsc.org/Utility-Information/Natural-Gas/Natural-Gas-Pipeline-Safety-and-Damage-Prevention.aspx" TargetMode="External"/><Relationship Id="rId180" Type="http://schemas.openxmlformats.org/officeDocument/2006/relationships/hyperlink" Target="http://www.icc.illinois.gov/PipelineSafety/" TargetMode="External"/><Relationship Id="rId210" Type="http://schemas.openxmlformats.org/officeDocument/2006/relationships/hyperlink" Target="http://www.psc.state.wv.us/div/gaspipelinesafety.htm" TargetMode="External"/><Relationship Id="rId26" Type="http://schemas.openxmlformats.org/officeDocument/2006/relationships/hyperlink" Target="https://psc.mo.gov/General/Pipeline_Safety" TargetMode="External"/><Relationship Id="rId47" Type="http://schemas.openxmlformats.org/officeDocument/2006/relationships/hyperlink" Target="https://www.scc.virginia.gov/pages/Pipeline-Safety" TargetMode="External"/><Relationship Id="rId68" Type="http://schemas.openxmlformats.org/officeDocument/2006/relationships/hyperlink" Target="https://ors.sc.gov/safety/pipeline-safety" TargetMode="External"/><Relationship Id="rId89" Type="http://schemas.openxmlformats.org/officeDocument/2006/relationships/hyperlink" Target="https://www.cpuc.ca.gov/regulatory-services/safety/pipeline-safety" TargetMode="External"/><Relationship Id="rId112" Type="http://schemas.openxmlformats.org/officeDocument/2006/relationships/hyperlink" Target="http://www.rrc.state.tx.us/pipeline-safety/" TargetMode="External"/><Relationship Id="rId133" Type="http://schemas.openxmlformats.org/officeDocument/2006/relationships/hyperlink" Target="http://www.psc.state.fl.us/" TargetMode="External"/><Relationship Id="rId154" Type="http://schemas.openxmlformats.org/officeDocument/2006/relationships/hyperlink" Target="http://psc.nd.gov/jurisdiction/pipelines/" TargetMode="External"/><Relationship Id="rId175" Type="http://schemas.openxmlformats.org/officeDocument/2006/relationships/hyperlink" Target="http://www.ct.gov/pura/cwp/view.asp?a=3363&amp;Q=492678&amp;puraNav_GID=1702" TargetMode="External"/><Relationship Id="rId196" Type="http://schemas.openxmlformats.org/officeDocument/2006/relationships/hyperlink" Target="http://www.nmprc.state.nm.us/transportation/pipeline-safety.html" TargetMode="External"/><Relationship Id="rId200" Type="http://schemas.openxmlformats.org/officeDocument/2006/relationships/hyperlink" Target="http://www.occeweb.com/tr/PLShome.htm" TargetMode="External"/><Relationship Id="rId16" Type="http://schemas.openxmlformats.org/officeDocument/2006/relationships/hyperlink" Target="https://iub.iowa.gov/regulated-industries/pipeline-permits-certifications/pipeline-safety" TargetMode="External"/><Relationship Id="rId37" Type="http://schemas.openxmlformats.org/officeDocument/2006/relationships/hyperlink" Target="https://oklahoma.gov/occ/divisions/transportation/pipeline-safety.html" TargetMode="External"/><Relationship Id="rId58" Type="http://schemas.openxmlformats.org/officeDocument/2006/relationships/hyperlink" Target="https://www1.maine.gov/mpuc/safety/natural-gas-safety" TargetMode="External"/><Relationship Id="rId79" Type="http://schemas.openxmlformats.org/officeDocument/2006/relationships/hyperlink" Target="https://www.puc.pa.gov/pipeline-safety/" TargetMode="External"/><Relationship Id="rId102" Type="http://schemas.openxmlformats.org/officeDocument/2006/relationships/hyperlink" Target="http://www.puc.state.nh.us/safety/safety.htm" TargetMode="External"/><Relationship Id="rId123" Type="http://schemas.openxmlformats.org/officeDocument/2006/relationships/hyperlink" Target="http://www.in.gov/iurc/2335.htm" TargetMode="External"/><Relationship Id="rId144" Type="http://schemas.openxmlformats.org/officeDocument/2006/relationships/hyperlink" Target="http://www.psc.state.ms.us/pipeline/pipeline.html" TargetMode="External"/><Relationship Id="rId90" Type="http://schemas.openxmlformats.org/officeDocument/2006/relationships/hyperlink" Target="https://puc.colorado.gov/gaspipelines" TargetMode="External"/><Relationship Id="rId165" Type="http://schemas.openxmlformats.org/officeDocument/2006/relationships/hyperlink" Target="http://www.puc.idaho.gov/safety/safety.html" TargetMode="External"/><Relationship Id="rId186" Type="http://schemas.openxmlformats.org/officeDocument/2006/relationships/hyperlink" Target="http://www.maine.gov/mpuc/" TargetMode="External"/><Relationship Id="rId211" Type="http://schemas.openxmlformats.org/officeDocument/2006/relationships/hyperlink" Target="http://psc.state.wy.us/pscdocs/pipeline.html" TargetMode="External"/><Relationship Id="rId27" Type="http://schemas.openxmlformats.org/officeDocument/2006/relationships/hyperlink" Target="https://psc.mt.gov/Public-Safety/Pipeline-Safety" TargetMode="External"/><Relationship Id="rId48" Type="http://schemas.openxmlformats.org/officeDocument/2006/relationships/hyperlink" Target="https://www.utc.wa.gov/public-safety/pipeline-safety" TargetMode="External"/><Relationship Id="rId69" Type="http://schemas.openxmlformats.org/officeDocument/2006/relationships/hyperlink" Target="http://www.dnr.louisiana.gov/index.cfm?md=pagebuilder&amp;tmp=home&amp;pid=54&amp;pnid=21&amp;nid=30" TargetMode="External"/><Relationship Id="rId113" Type="http://schemas.openxmlformats.org/officeDocument/2006/relationships/hyperlink" Target="http://www.icc.illinois.gov/PipelineSafety/" TargetMode="External"/><Relationship Id="rId134" Type="http://schemas.openxmlformats.org/officeDocument/2006/relationships/hyperlink" Target="https://iub.iowa.gov/regulated-industries/pipeline-safety" TargetMode="External"/><Relationship Id="rId80" Type="http://schemas.openxmlformats.org/officeDocument/2006/relationships/hyperlink" Target="https://www.michigan.gov/mpsc/regulatory/natural-gas/pipeline-safety" TargetMode="External"/><Relationship Id="rId155" Type="http://schemas.openxmlformats.org/officeDocument/2006/relationships/hyperlink" Target="https://iub.iowa.gov/pipeline-safety" TargetMode="External"/><Relationship Id="rId176" Type="http://schemas.openxmlformats.org/officeDocument/2006/relationships/hyperlink" Target="http://depsc.delaware.gov/naturalgas.shtml" TargetMode="External"/><Relationship Id="rId197" Type="http://schemas.openxmlformats.org/officeDocument/2006/relationships/hyperlink" Target="http://www.dps.ny.gov/New_NaturalGas.html" TargetMode="External"/><Relationship Id="rId201" Type="http://schemas.openxmlformats.org/officeDocument/2006/relationships/hyperlink" Target="http://www.puc.state.or.us/Pages/safety/gassafety.aspx" TargetMode="External"/><Relationship Id="rId17" Type="http://schemas.openxmlformats.org/officeDocument/2006/relationships/hyperlink" Target="https://www.kcc.ks.gov/natural-gas-pipeline-safety-liquid-pipeline" TargetMode="External"/><Relationship Id="rId38" Type="http://schemas.openxmlformats.org/officeDocument/2006/relationships/hyperlink" Target="https://www.oregon.gov/puc/safety/pages/gas-pipeline-safety.aspx" TargetMode="External"/><Relationship Id="rId59" Type="http://schemas.openxmlformats.org/officeDocument/2006/relationships/hyperlink" Target="https://portal.ct.gov/PURA/Gas-Pipeline-Safety/Gas-Pipeline-Safety" TargetMode="External"/><Relationship Id="rId103" Type="http://schemas.openxmlformats.org/officeDocument/2006/relationships/hyperlink" Target="https://dps.mn.gov/divisions/ops/Pages/default.aspx" TargetMode="External"/><Relationship Id="rId124" Type="http://schemas.openxmlformats.org/officeDocument/2006/relationships/hyperlink" Target="http://www.occeweb.com/tr/PLShome.htm" TargetMode="External"/><Relationship Id="rId70" Type="http://schemas.openxmlformats.org/officeDocument/2006/relationships/hyperlink" Target="https://psc.nd.gov/jurisdiction/pipelines/index.php" TargetMode="External"/><Relationship Id="rId91" Type="http://schemas.openxmlformats.org/officeDocument/2006/relationships/hyperlink" Target="https://dcpsc.org/Utility-Information/Natural-Gas/Natural-Gas-Pipeline-Safety-and-Damage-Prevention.aspx" TargetMode="External"/><Relationship Id="rId145" Type="http://schemas.openxmlformats.org/officeDocument/2006/relationships/hyperlink" Target="http://puc.sd.gov/pipelinesafety/default.aspx" TargetMode="External"/><Relationship Id="rId166" Type="http://schemas.openxmlformats.org/officeDocument/2006/relationships/hyperlink" Target="http://www.psc.state.md.us/gas/" TargetMode="External"/><Relationship Id="rId187" Type="http://schemas.openxmlformats.org/officeDocument/2006/relationships/hyperlink" Target="http://www.psc.state.md.us/gas/" TargetMode="External"/><Relationship Id="rId1" Type="http://schemas.openxmlformats.org/officeDocument/2006/relationships/hyperlink" Target="https://psc.alabama.gov/gas-pipeline-safety/" TargetMode="External"/><Relationship Id="rId212" Type="http://schemas.openxmlformats.org/officeDocument/2006/relationships/drawing" Target="../drawings/drawing2.xml"/><Relationship Id="rId28" Type="http://schemas.openxmlformats.org/officeDocument/2006/relationships/hyperlink" Target="https://sfm.nebraska.gov/fuels-safety/pipeline-safety" TargetMode="External"/><Relationship Id="rId49" Type="http://schemas.openxmlformats.org/officeDocument/2006/relationships/hyperlink" Target="http://www.psc.state.wv.us/div/gaspipelinesafety.htm" TargetMode="External"/><Relationship Id="rId114" Type="http://schemas.openxmlformats.org/officeDocument/2006/relationships/hyperlink" Target="http://www.psc.state.ga.us/facilitiesprotect/fp_pipesafe/fp_pipesafe.asp" TargetMode="External"/><Relationship Id="rId60" Type="http://schemas.openxmlformats.org/officeDocument/2006/relationships/hyperlink" Target="https://www.psc.ms.gov/pipeline/safety" TargetMode="External"/><Relationship Id="rId81" Type="http://schemas.openxmlformats.org/officeDocument/2006/relationships/hyperlink" Target="https://www.psc.state.md.us/gas/" TargetMode="External"/><Relationship Id="rId135" Type="http://schemas.openxmlformats.org/officeDocument/2006/relationships/hyperlink" Target="http://puc.nv.gov/Safety/Pipeline/" TargetMode="External"/><Relationship Id="rId156" Type="http://schemas.openxmlformats.org/officeDocument/2006/relationships/hyperlink" Target="http://psc.ky.gov/home/pipelinesafety" TargetMode="External"/><Relationship Id="rId177" Type="http://schemas.openxmlformats.org/officeDocument/2006/relationships/hyperlink" Target="http://www.psc.state.fl.us/" TargetMode="External"/><Relationship Id="rId198" Type="http://schemas.openxmlformats.org/officeDocument/2006/relationships/hyperlink" Target="http://www.ncuc.commerce.state.nc.us/industries/naturalgas/pipelinesafety.htm" TargetMode="External"/><Relationship Id="rId202" Type="http://schemas.openxmlformats.org/officeDocument/2006/relationships/hyperlink" Target="http://www.puc.state.pa.us/consumer_info/transportation/pipeline_safety_.aspx" TargetMode="External"/><Relationship Id="rId18" Type="http://schemas.openxmlformats.org/officeDocument/2006/relationships/hyperlink" Target="https://psc.ky.gov/Home/PipelineSafety" TargetMode="External"/><Relationship Id="rId39" Type="http://schemas.openxmlformats.org/officeDocument/2006/relationships/hyperlink" Target="https://www.puc.pa.gov/pipeline-safety/" TargetMode="External"/><Relationship Id="rId50" Type="http://schemas.openxmlformats.org/officeDocument/2006/relationships/hyperlink" Target="https://psc.wi.gov/Pages/ServiceType/Energy/PipelineSafetyProgram.aspx" TargetMode="External"/><Relationship Id="rId104" Type="http://schemas.openxmlformats.org/officeDocument/2006/relationships/hyperlink" Target="http://www.psc.state.wv.us/div/gaspipelinesafety.htm" TargetMode="External"/><Relationship Id="rId125" Type="http://schemas.openxmlformats.org/officeDocument/2006/relationships/hyperlink" Target="http://www.ripuc.org/utilityinfo/natgas/Pipeline_safety.html" TargetMode="External"/><Relationship Id="rId146" Type="http://schemas.openxmlformats.org/officeDocument/2006/relationships/hyperlink" Target="http://www.nj.gov/bpu/about/divisions/reliability/" TargetMode="External"/><Relationship Id="rId167" Type="http://schemas.openxmlformats.org/officeDocument/2006/relationships/hyperlink" Target="https://psc.wyo.gov/pipeline" TargetMode="External"/><Relationship Id="rId188" Type="http://schemas.openxmlformats.org/officeDocument/2006/relationships/hyperlink" Target="http://www.michigan.gov/mpsc/0,4639,7-159-16385---,00.html" TargetMode="External"/><Relationship Id="rId71" Type="http://schemas.openxmlformats.org/officeDocument/2006/relationships/hyperlink" Target="https://osfm.fire.ca.gov/divisions/pipeline-safety-and-cupa/" TargetMode="External"/><Relationship Id="rId92" Type="http://schemas.openxmlformats.org/officeDocument/2006/relationships/hyperlink" Target="https://puc.idaho.gov/Page/Utility/8" TargetMode="External"/><Relationship Id="rId2" Type="http://schemas.openxmlformats.org/officeDocument/2006/relationships/hyperlink" Target="https://www.azcc.gov/safety/pipeline" TargetMode="External"/><Relationship Id="rId29" Type="http://schemas.openxmlformats.org/officeDocument/2006/relationships/hyperlink" Target="https://puc.nv.gov/Safety/Pipeline/" TargetMode="External"/><Relationship Id="rId40" Type="http://schemas.openxmlformats.org/officeDocument/2006/relationships/hyperlink" Target="https://ripuc.ri.gov/utility-information/natural-gas/ridpuc-pipeline-safety" TargetMode="External"/><Relationship Id="rId115" Type="http://schemas.openxmlformats.org/officeDocument/2006/relationships/hyperlink" Target="http://www.nmprc.state.nm.us/transportation/pipeline-safety.html" TargetMode="External"/><Relationship Id="rId136" Type="http://schemas.openxmlformats.org/officeDocument/2006/relationships/hyperlink" Target="http://www.utc.wa.gov/publicSafety/pipelineSafety/Pages/default.aspx" TargetMode="External"/><Relationship Id="rId157" Type="http://schemas.openxmlformats.org/officeDocument/2006/relationships/hyperlink" Target="http://www.puc.state.or.us/Pages/safety/gassafety.aspx" TargetMode="External"/><Relationship Id="rId178" Type="http://schemas.openxmlformats.org/officeDocument/2006/relationships/hyperlink" Target="http://www.psc.state.ga.us/facilitiesprotect/fp_pipesafe/fp_pipesafe.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in.gov/iurc/pipeline-safety-division/" TargetMode="External"/><Relationship Id="rId299" Type="http://schemas.openxmlformats.org/officeDocument/2006/relationships/hyperlink" Target="https://www.rrc.texas.gov/pipeline-safety/" TargetMode="External"/><Relationship Id="rId21" Type="http://schemas.openxmlformats.org/officeDocument/2006/relationships/hyperlink" Target="https://www.psc.state.md.us/gas/" TargetMode="External"/><Relationship Id="rId63" Type="http://schemas.openxmlformats.org/officeDocument/2006/relationships/hyperlink" Target="https://psc.ga.gov/facilities-protection/pipeline-safety/" TargetMode="External"/><Relationship Id="rId159" Type="http://schemas.openxmlformats.org/officeDocument/2006/relationships/hyperlink" Target="https://osfm.fire.ca.gov/divisions/pipeline-safety-and-cupa/" TargetMode="External"/><Relationship Id="rId324" Type="http://schemas.openxmlformats.org/officeDocument/2006/relationships/hyperlink" Target="https://psc.mt.gov/Public-Safety/Pipeline-Safety" TargetMode="External"/><Relationship Id="rId366" Type="http://schemas.openxmlformats.org/officeDocument/2006/relationships/hyperlink" Target="https://www.ncuc.gov/Industries/naturalgas/pipelinesafety.html" TargetMode="External"/><Relationship Id="rId170" Type="http://schemas.openxmlformats.org/officeDocument/2006/relationships/hyperlink" Target="https://www.kcc.ks.gov/natural-gas-pipeline-safety-liquid-pipeline" TargetMode="External"/><Relationship Id="rId226" Type="http://schemas.openxmlformats.org/officeDocument/2006/relationships/hyperlink" Target="https://www.mass.gov/orgs/pipeline-safety-division" TargetMode="External"/><Relationship Id="rId268" Type="http://schemas.openxmlformats.org/officeDocument/2006/relationships/hyperlink" Target="https://puc.idaho.gov/Page/Utility/8" TargetMode="External"/><Relationship Id="rId32" Type="http://schemas.openxmlformats.org/officeDocument/2006/relationships/hyperlink" Target="https://www.prc.nm.gov/transportation/pipeline-safety/" TargetMode="External"/><Relationship Id="rId74" Type="http://schemas.openxmlformats.org/officeDocument/2006/relationships/hyperlink" Target="https://www.michigan.gov/mpsc/regulatory/natural-gas/pipeline-safety" TargetMode="External"/><Relationship Id="rId128" Type="http://schemas.openxmlformats.org/officeDocument/2006/relationships/hyperlink" Target="https://psc.mo.gov/General/Pipeline_Safety" TargetMode="External"/><Relationship Id="rId335" Type="http://schemas.openxmlformats.org/officeDocument/2006/relationships/hyperlink" Target="https://psc.wi.gov/Pages/ServiceType/Energy/PipelineSafetyProgram.aspx" TargetMode="External"/><Relationship Id="rId377" Type="http://schemas.openxmlformats.org/officeDocument/2006/relationships/hyperlink" Target="https://www.psc.state.fl.us/natural-gas" TargetMode="External"/><Relationship Id="rId5" Type="http://schemas.openxmlformats.org/officeDocument/2006/relationships/hyperlink" Target="https://www.cpuc.ca.gov/regulatory-services/safety/gas-safety-and-reliability-branch" TargetMode="External"/><Relationship Id="rId181" Type="http://schemas.openxmlformats.org/officeDocument/2006/relationships/hyperlink" Target="https://sfm.nebraska.gov/fuels-safety/pipeline-safety" TargetMode="External"/><Relationship Id="rId237" Type="http://schemas.openxmlformats.org/officeDocument/2006/relationships/hyperlink" Target="https://dps.ny.gov/nys-pipeline-safety-program" TargetMode="External"/><Relationship Id="rId402" Type="http://schemas.openxmlformats.org/officeDocument/2006/relationships/hyperlink" Target="https://dcpsc.org/Utility-Information/Natural-Gas/Natural-Gas-Pipeline-Safety-and-Damage-Prevention.aspx" TargetMode="External"/><Relationship Id="rId279" Type="http://schemas.openxmlformats.org/officeDocument/2006/relationships/hyperlink" Target="https://dps.mn.gov/divisions/ops/Pages/default.aspx" TargetMode="External"/><Relationship Id="rId43" Type="http://schemas.openxmlformats.org/officeDocument/2006/relationships/hyperlink" Target="https://www.tn.gov/tpuc/divisions/gas-pipeline-safety-division.html" TargetMode="External"/><Relationship Id="rId139" Type="http://schemas.openxmlformats.org/officeDocument/2006/relationships/hyperlink" Target="https://oklahoma.gov/occ/divisions/transportation/pipeline-safety.html" TargetMode="External"/><Relationship Id="rId290" Type="http://schemas.openxmlformats.org/officeDocument/2006/relationships/hyperlink" Target="https://psc.nd.gov/jurisdiction/pipelines/index.php" TargetMode="External"/><Relationship Id="rId304" Type="http://schemas.openxmlformats.org/officeDocument/2006/relationships/hyperlink" Target="http://www.psc.state.wv.us/div/gaspipelinesafety.htm" TargetMode="External"/><Relationship Id="rId346" Type="http://schemas.openxmlformats.org/officeDocument/2006/relationships/hyperlink" Target="https://sfm.nebraska.gov/fuels-safety/pipeline-safety" TargetMode="External"/><Relationship Id="rId388" Type="http://schemas.openxmlformats.org/officeDocument/2006/relationships/hyperlink" Target="https://www.psc.ms.gov/pipeline/safety" TargetMode="External"/><Relationship Id="rId85" Type="http://schemas.openxmlformats.org/officeDocument/2006/relationships/hyperlink" Target="https://www.ncuc.gov/Industries/naturalgas/pipelinesafety.html" TargetMode="External"/><Relationship Id="rId150" Type="http://schemas.openxmlformats.org/officeDocument/2006/relationships/hyperlink" Target="https://www.utc.wa.gov/public-safety/pipeline-safety" TargetMode="External"/><Relationship Id="rId192" Type="http://schemas.openxmlformats.org/officeDocument/2006/relationships/hyperlink" Target="https://www.puc.pa.gov/pipeline-safety/" TargetMode="External"/><Relationship Id="rId206" Type="http://schemas.openxmlformats.org/officeDocument/2006/relationships/hyperlink" Target="https://www.azcc.gov/safety/pipeline" TargetMode="External"/><Relationship Id="rId413" Type="http://schemas.openxmlformats.org/officeDocument/2006/relationships/hyperlink" Target="https://iub.iowa.gov/regulated-industries/pipeline-permits-certifications/pipeline-safety" TargetMode="External"/><Relationship Id="rId248" Type="http://schemas.openxmlformats.org/officeDocument/2006/relationships/hyperlink" Target="https://www.rrc.texas.gov/pipeline-safety/" TargetMode="External"/><Relationship Id="rId12" Type="http://schemas.openxmlformats.org/officeDocument/2006/relationships/hyperlink" Target="https://psc.ga.gov/facilities-protection/pipeline-safety/" TargetMode="External"/><Relationship Id="rId108" Type="http://schemas.openxmlformats.org/officeDocument/2006/relationships/hyperlink" Target="https://osfm.fire.ca.gov/divisions/pipeline-safety-and-cupa/" TargetMode="External"/><Relationship Id="rId315" Type="http://schemas.openxmlformats.org/officeDocument/2006/relationships/hyperlink" Target="https://www.icc.illinois.gov/home/illinois-gas-pipeline-safety-program" TargetMode="External"/><Relationship Id="rId357" Type="http://schemas.openxmlformats.org/officeDocument/2006/relationships/hyperlink" Target="https://psc.wyo.gov/pipeline" TargetMode="External"/><Relationship Id="rId54" Type="http://schemas.openxmlformats.org/officeDocument/2006/relationships/hyperlink" Target="https://apsc.arkansas.gov/utilities/pipeline-safety/" TargetMode="External"/><Relationship Id="rId96" Type="http://schemas.openxmlformats.org/officeDocument/2006/relationships/hyperlink" Target="https://dpu.utah.gov/pipeline-safety/" TargetMode="External"/><Relationship Id="rId161" Type="http://schemas.openxmlformats.org/officeDocument/2006/relationships/hyperlink" Target="https://portal.ct.gov/PURA/Gas-Pipeline-Safety/Gas-Pipeline-Safety" TargetMode="External"/><Relationship Id="rId217" Type="http://schemas.openxmlformats.org/officeDocument/2006/relationships/hyperlink" Target="https://puc.idaho.gov/Page/Utility/8" TargetMode="External"/><Relationship Id="rId399" Type="http://schemas.openxmlformats.org/officeDocument/2006/relationships/hyperlink" Target="https://apsc.arkansas.gov/utilities/pipeline-safety/" TargetMode="External"/><Relationship Id="rId259" Type="http://schemas.openxmlformats.org/officeDocument/2006/relationships/hyperlink" Target="https://www.aogc.state.ar.us/" TargetMode="External"/><Relationship Id="rId23" Type="http://schemas.openxmlformats.org/officeDocument/2006/relationships/hyperlink" Target="https://www.michigan.gov/mpsc/regulatory/natural-gas/pipeline-safety" TargetMode="External"/><Relationship Id="rId119" Type="http://schemas.openxmlformats.org/officeDocument/2006/relationships/hyperlink" Target="https://www.kcc.ks.gov/natural-gas-pipeline-safety-liquid-pipeline" TargetMode="External"/><Relationship Id="rId270" Type="http://schemas.openxmlformats.org/officeDocument/2006/relationships/hyperlink" Target="https://www.in.gov/iurc/pipeline-safety-division/" TargetMode="External"/><Relationship Id="rId326" Type="http://schemas.openxmlformats.org/officeDocument/2006/relationships/hyperlink" Target="https://puc.nv.gov/Safety/Pipeline/" TargetMode="External"/><Relationship Id="rId65" Type="http://schemas.openxmlformats.org/officeDocument/2006/relationships/hyperlink" Target="https://www.icc.illinois.gov/home/illinois-gas-pipeline-safety-program" TargetMode="External"/><Relationship Id="rId130" Type="http://schemas.openxmlformats.org/officeDocument/2006/relationships/hyperlink" Target="https://sfm.nebraska.gov/fuels-safety/pipeline-safety" TargetMode="External"/><Relationship Id="rId368" Type="http://schemas.openxmlformats.org/officeDocument/2006/relationships/hyperlink" Target="https://puco.ohio.gov/utilities/gas/resources/natural-gas-pipeline-safety-in-ohio" TargetMode="External"/><Relationship Id="rId172" Type="http://schemas.openxmlformats.org/officeDocument/2006/relationships/hyperlink" Target="https://www.dnr.louisiana.gov/index.cfm/page/144" TargetMode="External"/><Relationship Id="rId228" Type="http://schemas.openxmlformats.org/officeDocument/2006/relationships/hyperlink" Target="https://dps.mn.gov/divisions/ops/Pages/default.aspx" TargetMode="External"/><Relationship Id="rId281" Type="http://schemas.openxmlformats.org/officeDocument/2006/relationships/hyperlink" Target="https://psc.mo.gov/General/Pipeline_Safety" TargetMode="External"/><Relationship Id="rId337" Type="http://schemas.openxmlformats.org/officeDocument/2006/relationships/hyperlink" Target="https://www.cpuc.ca.gov/regulatory-services/safety/gas-safety-and-reliability-branch" TargetMode="External"/><Relationship Id="rId34" Type="http://schemas.openxmlformats.org/officeDocument/2006/relationships/hyperlink" Target="https://www.ncuc.gov/Industries/naturalgas/pipelinesafety.html" TargetMode="External"/><Relationship Id="rId76" Type="http://schemas.openxmlformats.org/officeDocument/2006/relationships/hyperlink" Target="https://www.psc.ms.gov/pipeline/safety" TargetMode="External"/><Relationship Id="rId141" Type="http://schemas.openxmlformats.org/officeDocument/2006/relationships/hyperlink" Target="https://www.puc.pa.gov/pipeline-safety/" TargetMode="External"/><Relationship Id="rId379" Type="http://schemas.openxmlformats.org/officeDocument/2006/relationships/hyperlink" Target="https://puc.idaho.gov/Page/Utility/8" TargetMode="External"/><Relationship Id="rId7" Type="http://schemas.openxmlformats.org/officeDocument/2006/relationships/hyperlink" Target="https://puc.colorado.gov/gaspipelines" TargetMode="External"/><Relationship Id="rId183" Type="http://schemas.openxmlformats.org/officeDocument/2006/relationships/hyperlink" Target="https://www.energy.nh.gov/enforcement/pipeline-safety" TargetMode="External"/><Relationship Id="rId239" Type="http://schemas.openxmlformats.org/officeDocument/2006/relationships/hyperlink" Target="https://psc.nd.gov/jurisdiction/pipelines/index.php" TargetMode="External"/><Relationship Id="rId390" Type="http://schemas.openxmlformats.org/officeDocument/2006/relationships/hyperlink" Target="https://sfm.nebraska.gov/fuels-safety/pipeline-safety" TargetMode="External"/><Relationship Id="rId404" Type="http://schemas.openxmlformats.org/officeDocument/2006/relationships/hyperlink" Target="https://www.energy.nh.gov/enforcement/pipeline-safety" TargetMode="External"/><Relationship Id="rId250" Type="http://schemas.openxmlformats.org/officeDocument/2006/relationships/hyperlink" Target="https://publicservice.vermont.gov/regulated-utilities/natural-gas" TargetMode="External"/><Relationship Id="rId292" Type="http://schemas.openxmlformats.org/officeDocument/2006/relationships/hyperlink" Target="https://oklahoma.gov/occ/divisions/transportation/pipeline-safety.html" TargetMode="External"/><Relationship Id="rId306" Type="http://schemas.openxmlformats.org/officeDocument/2006/relationships/hyperlink" Target="https://psc.wyo.gov/pipeline" TargetMode="External"/><Relationship Id="rId45" Type="http://schemas.openxmlformats.org/officeDocument/2006/relationships/hyperlink" Target="https://dpu.utah.gov/pipeline-safety/" TargetMode="External"/><Relationship Id="rId87" Type="http://schemas.openxmlformats.org/officeDocument/2006/relationships/hyperlink" Target="https://puco.ohio.gov/utilities/gas/resources/natural-gas-pipeline-safety-in-ohio" TargetMode="External"/><Relationship Id="rId110" Type="http://schemas.openxmlformats.org/officeDocument/2006/relationships/hyperlink" Target="https://portal.ct.gov/PURA/Gas-Pipeline-Safety/Gas-Pipeline-Safety" TargetMode="External"/><Relationship Id="rId348" Type="http://schemas.openxmlformats.org/officeDocument/2006/relationships/hyperlink" Target="https://www.energy.nh.gov/enforcement/pipeline-safety" TargetMode="External"/><Relationship Id="rId152" Type="http://schemas.openxmlformats.org/officeDocument/2006/relationships/hyperlink" Target="https://psc.wi.gov/Pages/ServiceType/Energy/PipelineSafetyProgram.aspx" TargetMode="External"/><Relationship Id="rId194" Type="http://schemas.openxmlformats.org/officeDocument/2006/relationships/hyperlink" Target="https://ors.sc.gov/safety/pipeline-safety" TargetMode="External"/><Relationship Id="rId208" Type="http://schemas.openxmlformats.org/officeDocument/2006/relationships/hyperlink" Target="https://www.aogc.state.ar.us/" TargetMode="External"/><Relationship Id="rId415" Type="http://schemas.openxmlformats.org/officeDocument/2006/relationships/hyperlink" Target="https://psc.mo.gov/General/Pipeline_Safety" TargetMode="External"/><Relationship Id="rId261" Type="http://schemas.openxmlformats.org/officeDocument/2006/relationships/hyperlink" Target="https://osfm.fire.ca.gov/divisions/pipeline-safety-and-cupa/" TargetMode="External"/><Relationship Id="rId14" Type="http://schemas.openxmlformats.org/officeDocument/2006/relationships/hyperlink" Target="https://www.icc.illinois.gov/home/illinois-gas-pipeline-safety-program" TargetMode="External"/><Relationship Id="rId56" Type="http://schemas.openxmlformats.org/officeDocument/2006/relationships/hyperlink" Target="https://www.cpuc.ca.gov/regulatory-services/safety/gas-safety-and-reliability-branch" TargetMode="External"/><Relationship Id="rId317" Type="http://schemas.openxmlformats.org/officeDocument/2006/relationships/hyperlink" Target="https://www.kcc.ks.gov/natural-gas-pipeline-safety-liquid-pipeline" TargetMode="External"/><Relationship Id="rId359" Type="http://schemas.openxmlformats.org/officeDocument/2006/relationships/hyperlink" Target="https://apsc.arkansas.gov/utilities/pipeline-safety/" TargetMode="External"/><Relationship Id="rId98" Type="http://schemas.openxmlformats.org/officeDocument/2006/relationships/hyperlink" Target="https://www.scc.virginia.gov/pages/Pipeline-Safety" TargetMode="External"/><Relationship Id="rId121" Type="http://schemas.openxmlformats.org/officeDocument/2006/relationships/hyperlink" Target="https://www.dnr.louisiana.gov/index.cfm/page/144" TargetMode="External"/><Relationship Id="rId163" Type="http://schemas.openxmlformats.org/officeDocument/2006/relationships/hyperlink" Target="https://depsc.delaware.gov/pipeline-safety-program/" TargetMode="External"/><Relationship Id="rId219" Type="http://schemas.openxmlformats.org/officeDocument/2006/relationships/hyperlink" Target="https://www.in.gov/iurc/pipeline-safety-division/" TargetMode="External"/><Relationship Id="rId370" Type="http://schemas.openxmlformats.org/officeDocument/2006/relationships/hyperlink" Target="https://ors.sc.gov/safety/pipeline-safety" TargetMode="External"/><Relationship Id="rId230" Type="http://schemas.openxmlformats.org/officeDocument/2006/relationships/hyperlink" Target="https://psc.mo.gov/General/Pipeline_Safety" TargetMode="External"/><Relationship Id="rId25" Type="http://schemas.openxmlformats.org/officeDocument/2006/relationships/hyperlink" Target="https://www.psc.ms.gov/pipeline/safety" TargetMode="External"/><Relationship Id="rId67" Type="http://schemas.openxmlformats.org/officeDocument/2006/relationships/hyperlink" Target="https://iub.iowa.gov/regulated-industries/pipeline-permits-certifications/pipeline-safety" TargetMode="External"/><Relationship Id="rId272" Type="http://schemas.openxmlformats.org/officeDocument/2006/relationships/hyperlink" Target="https://www.kcc.ks.gov/natural-gas-pipeline-safety-liquid-pipeline" TargetMode="External"/><Relationship Id="rId328" Type="http://schemas.openxmlformats.org/officeDocument/2006/relationships/hyperlink" Target="https://www.puc.pa.gov/pipeline-safety/" TargetMode="External"/><Relationship Id="rId132" Type="http://schemas.openxmlformats.org/officeDocument/2006/relationships/hyperlink" Target="https://www.energy.nh.gov/enforcement/pipeline-safety" TargetMode="External"/><Relationship Id="rId174" Type="http://schemas.openxmlformats.org/officeDocument/2006/relationships/hyperlink" Target="https://www.psc.state.md.us/gas/" TargetMode="External"/><Relationship Id="rId381" Type="http://schemas.openxmlformats.org/officeDocument/2006/relationships/hyperlink" Target="https://www.in.gov/iurc/pipeline-safety-division/" TargetMode="External"/><Relationship Id="rId241" Type="http://schemas.openxmlformats.org/officeDocument/2006/relationships/hyperlink" Target="https://oklahoma.gov/occ/divisions/transportation/pipeline-safety.html" TargetMode="External"/><Relationship Id="rId36" Type="http://schemas.openxmlformats.org/officeDocument/2006/relationships/hyperlink" Target="https://puco.ohio.gov/utilities/gas/resources/natural-gas-pipeline-safety-in-ohio" TargetMode="External"/><Relationship Id="rId283" Type="http://schemas.openxmlformats.org/officeDocument/2006/relationships/hyperlink" Target="https://sfm.nebraska.gov/fuels-safety/pipeline-safety" TargetMode="External"/><Relationship Id="rId339" Type="http://schemas.openxmlformats.org/officeDocument/2006/relationships/hyperlink" Target="https://portal.ct.gov/PURA/Gas-Pipeline-Safety/Gas-Pipeline-Safety" TargetMode="External"/><Relationship Id="rId78" Type="http://schemas.openxmlformats.org/officeDocument/2006/relationships/hyperlink" Target="https://psc.mt.gov/Public-Safety/Pipeline-Safety" TargetMode="External"/><Relationship Id="rId101" Type="http://schemas.openxmlformats.org/officeDocument/2006/relationships/hyperlink" Target="https://psc.wi.gov/Pages/ServiceType/Energy/PipelineSafetyProgram.aspx" TargetMode="External"/><Relationship Id="rId143" Type="http://schemas.openxmlformats.org/officeDocument/2006/relationships/hyperlink" Target="https://ors.sc.gov/safety/pipeline-safety" TargetMode="External"/><Relationship Id="rId185" Type="http://schemas.openxmlformats.org/officeDocument/2006/relationships/hyperlink" Target="https://www.prc.nm.gov/transportation/pipeline-safety/" TargetMode="External"/><Relationship Id="rId350" Type="http://schemas.openxmlformats.org/officeDocument/2006/relationships/hyperlink" Target="https://psc.nd.gov/jurisdiction/pipelines/index.php" TargetMode="External"/><Relationship Id="rId406" Type="http://schemas.openxmlformats.org/officeDocument/2006/relationships/hyperlink" Target="https://psc.nd.gov/jurisdiction/pipelines/index.php" TargetMode="External"/><Relationship Id="rId9" Type="http://schemas.openxmlformats.org/officeDocument/2006/relationships/hyperlink" Target="https://dcpsc.org/Utility-Information/Natural-Gas/Natural-Gas-Pipeline-Safety-and-Damage-Prevention.aspx" TargetMode="External"/><Relationship Id="rId210" Type="http://schemas.openxmlformats.org/officeDocument/2006/relationships/hyperlink" Target="https://osfm.fire.ca.gov/divisions/pipeline-safety-and-cupa/" TargetMode="External"/><Relationship Id="rId392" Type="http://schemas.openxmlformats.org/officeDocument/2006/relationships/hyperlink" Target="https://ripuc.ri.gov/utility-information/natural-gas/ridpuc-pipeline-safety" TargetMode="External"/><Relationship Id="rId252" Type="http://schemas.openxmlformats.org/officeDocument/2006/relationships/hyperlink" Target="https://www.utc.wa.gov/public-safety/pipeline-safety" TargetMode="External"/><Relationship Id="rId294" Type="http://schemas.openxmlformats.org/officeDocument/2006/relationships/hyperlink" Target="https://www.puc.pa.gov/pipeline-safety/" TargetMode="External"/><Relationship Id="rId308" Type="http://schemas.openxmlformats.org/officeDocument/2006/relationships/hyperlink" Target="https://www.aogc.state.ar.us/" TargetMode="External"/><Relationship Id="rId47" Type="http://schemas.openxmlformats.org/officeDocument/2006/relationships/hyperlink" Target="https://www.scc.virginia.gov/pages/Pipeline-Safety" TargetMode="External"/><Relationship Id="rId89" Type="http://schemas.openxmlformats.org/officeDocument/2006/relationships/hyperlink" Target="https://www.oregon.gov/puc/safety/pages/gas-pipeline-safety.aspx" TargetMode="External"/><Relationship Id="rId112" Type="http://schemas.openxmlformats.org/officeDocument/2006/relationships/hyperlink" Target="https://depsc.delaware.gov/pipeline-safety-program/" TargetMode="External"/><Relationship Id="rId154" Type="http://schemas.openxmlformats.org/officeDocument/2006/relationships/hyperlink" Target="https://psc.alabama.gov/gas-pipeline-safety/" TargetMode="External"/><Relationship Id="rId361" Type="http://schemas.openxmlformats.org/officeDocument/2006/relationships/hyperlink" Target="https://www.dnr.louisiana.gov/index.cfm/page/144" TargetMode="External"/><Relationship Id="rId196" Type="http://schemas.openxmlformats.org/officeDocument/2006/relationships/hyperlink" Target="https://www.tn.gov/tpuc/divisions/gas-pipeline-safety-division.html" TargetMode="External"/><Relationship Id="rId417" Type="http://schemas.openxmlformats.org/officeDocument/2006/relationships/hyperlink" Target="https://www.prc.nm.gov/transportation/pipeline-safety/" TargetMode="External"/><Relationship Id="rId16" Type="http://schemas.openxmlformats.org/officeDocument/2006/relationships/hyperlink" Target="https://iub.iowa.gov/regulated-industries/pipeline-permits-certifications/pipeline-safety" TargetMode="External"/><Relationship Id="rId221" Type="http://schemas.openxmlformats.org/officeDocument/2006/relationships/hyperlink" Target="https://www.kcc.ks.gov/natural-gas-pipeline-safety-liquid-pipeline" TargetMode="External"/><Relationship Id="rId263" Type="http://schemas.openxmlformats.org/officeDocument/2006/relationships/hyperlink" Target="https://portal.ct.gov/PURA/Gas-Pipeline-Safety/Gas-Pipeline-Safety" TargetMode="External"/><Relationship Id="rId319" Type="http://schemas.openxmlformats.org/officeDocument/2006/relationships/hyperlink" Target="https://www.dnr.louisiana.gov/index.cfm/page/144" TargetMode="External"/><Relationship Id="rId58" Type="http://schemas.openxmlformats.org/officeDocument/2006/relationships/hyperlink" Target="https://puc.colorado.gov/gaspipelines" TargetMode="External"/><Relationship Id="rId123" Type="http://schemas.openxmlformats.org/officeDocument/2006/relationships/hyperlink" Target="https://www.psc.state.md.us/gas/" TargetMode="External"/><Relationship Id="rId330" Type="http://schemas.openxmlformats.org/officeDocument/2006/relationships/hyperlink" Target="https://www.tn.gov/tpuc/divisions/gas-pipeline-safety-division.html" TargetMode="External"/><Relationship Id="rId165" Type="http://schemas.openxmlformats.org/officeDocument/2006/relationships/hyperlink" Target="https://psc.ga.gov/facilities-protection/pipeline-safety/" TargetMode="External"/><Relationship Id="rId372" Type="http://schemas.openxmlformats.org/officeDocument/2006/relationships/hyperlink" Target="https://psc.alabama.gov/gas-pipeline-safety/" TargetMode="External"/><Relationship Id="rId232" Type="http://schemas.openxmlformats.org/officeDocument/2006/relationships/hyperlink" Target="https://sfm.nebraska.gov/fuels-safety/pipeline-safety" TargetMode="External"/><Relationship Id="rId274" Type="http://schemas.openxmlformats.org/officeDocument/2006/relationships/hyperlink" Target="https://www.dnr.louisiana.gov/index.cfm/page/144" TargetMode="External"/><Relationship Id="rId27" Type="http://schemas.openxmlformats.org/officeDocument/2006/relationships/hyperlink" Target="https://psc.mt.gov/Public-Safety/Pipeline-Safety" TargetMode="External"/><Relationship Id="rId69" Type="http://schemas.openxmlformats.org/officeDocument/2006/relationships/hyperlink" Target="https://psc.ky.gov/Home/PipelineSafety" TargetMode="External"/><Relationship Id="rId134" Type="http://schemas.openxmlformats.org/officeDocument/2006/relationships/hyperlink" Target="https://www.prc.nm.gov/transportation/pipeline-safety/" TargetMode="External"/><Relationship Id="rId80" Type="http://schemas.openxmlformats.org/officeDocument/2006/relationships/hyperlink" Target="https://puc.nv.gov/Safety/Pipeline/" TargetMode="External"/><Relationship Id="rId176" Type="http://schemas.openxmlformats.org/officeDocument/2006/relationships/hyperlink" Target="https://www.michigan.gov/mpsc/regulatory/natural-gas/pipeline-safety" TargetMode="External"/><Relationship Id="rId341" Type="http://schemas.openxmlformats.org/officeDocument/2006/relationships/hyperlink" Target="https://www.icc.illinois.gov/home/illinois-gas-pipeline-safety-program" TargetMode="External"/><Relationship Id="rId383" Type="http://schemas.openxmlformats.org/officeDocument/2006/relationships/hyperlink" Target="https://psc.ky.gov/Home/PipelineSafety" TargetMode="External"/><Relationship Id="rId201" Type="http://schemas.openxmlformats.org/officeDocument/2006/relationships/hyperlink" Target="https://www.utc.wa.gov/public-safety/pipeline-safety" TargetMode="External"/><Relationship Id="rId243" Type="http://schemas.openxmlformats.org/officeDocument/2006/relationships/hyperlink" Target="https://www.puc.pa.gov/pipeline-safety/" TargetMode="External"/><Relationship Id="rId285" Type="http://schemas.openxmlformats.org/officeDocument/2006/relationships/hyperlink" Target="https://www.energy.nh.gov/enforcement/pipeline-safety" TargetMode="External"/><Relationship Id="rId17" Type="http://schemas.openxmlformats.org/officeDocument/2006/relationships/hyperlink" Target="https://www.kcc.ks.gov/natural-gas-pipeline-safety-liquid-pipeline" TargetMode="External"/><Relationship Id="rId38" Type="http://schemas.openxmlformats.org/officeDocument/2006/relationships/hyperlink" Target="https://www.oregon.gov/puc/safety/pages/gas-pipeline-safety.aspx" TargetMode="External"/><Relationship Id="rId59" Type="http://schemas.openxmlformats.org/officeDocument/2006/relationships/hyperlink" Target="https://portal.ct.gov/PURA/Gas-Pipeline-Safety/Gas-Pipeline-Safety" TargetMode="External"/><Relationship Id="rId103" Type="http://schemas.openxmlformats.org/officeDocument/2006/relationships/hyperlink" Target="https://psc.alabama.gov/gas-pipeline-safety/" TargetMode="External"/><Relationship Id="rId124" Type="http://schemas.openxmlformats.org/officeDocument/2006/relationships/hyperlink" Target="https://www.mass.gov/orgs/pipeline-safety-division" TargetMode="External"/><Relationship Id="rId310" Type="http://schemas.openxmlformats.org/officeDocument/2006/relationships/hyperlink" Target="https://osfm.fire.ca.gov/divisions/pipeline-safety-and-cupa/" TargetMode="External"/><Relationship Id="rId70" Type="http://schemas.openxmlformats.org/officeDocument/2006/relationships/hyperlink" Target="https://www.dnr.louisiana.gov/index.cfm/page/144" TargetMode="External"/><Relationship Id="rId91" Type="http://schemas.openxmlformats.org/officeDocument/2006/relationships/hyperlink" Target="https://ripuc.ri.gov/utility-information/natural-gas/ridpuc-pipeline-safety" TargetMode="External"/><Relationship Id="rId145" Type="http://schemas.openxmlformats.org/officeDocument/2006/relationships/hyperlink" Target="https://www.tn.gov/tpuc/divisions/gas-pipeline-safety-division.html" TargetMode="External"/><Relationship Id="rId166" Type="http://schemas.openxmlformats.org/officeDocument/2006/relationships/hyperlink" Target="https://puc.idaho.gov/Page/Utility/8" TargetMode="External"/><Relationship Id="rId187" Type="http://schemas.openxmlformats.org/officeDocument/2006/relationships/hyperlink" Target="https://www.ncuc.gov/Industries/naturalgas/pipelinesafety.html" TargetMode="External"/><Relationship Id="rId331" Type="http://schemas.openxmlformats.org/officeDocument/2006/relationships/hyperlink" Target="https://dpu.utah.gov/pipeline-safety/" TargetMode="External"/><Relationship Id="rId352" Type="http://schemas.openxmlformats.org/officeDocument/2006/relationships/hyperlink" Target="https://www.oregon.gov/puc/safety/pages/gas-pipeline-safety.aspx" TargetMode="External"/><Relationship Id="rId373" Type="http://schemas.openxmlformats.org/officeDocument/2006/relationships/hyperlink" Target="https://www.aogc.state.ar.us/" TargetMode="External"/><Relationship Id="rId394" Type="http://schemas.openxmlformats.org/officeDocument/2006/relationships/hyperlink" Target="https://dpu.utah.gov/pipeline-safety/" TargetMode="External"/><Relationship Id="rId408" Type="http://schemas.openxmlformats.org/officeDocument/2006/relationships/hyperlink" Target="https://www.oregon.gov/puc/safety/pages/gas-pipeline-safety.aspx" TargetMode="External"/><Relationship Id="rId1" Type="http://schemas.openxmlformats.org/officeDocument/2006/relationships/hyperlink" Target="https://psc.alabama.gov/gas-pipeline-safety/" TargetMode="External"/><Relationship Id="rId212" Type="http://schemas.openxmlformats.org/officeDocument/2006/relationships/hyperlink" Target="https://portal.ct.gov/PURA/Gas-Pipeline-Safety/Gas-Pipeline-Safety" TargetMode="External"/><Relationship Id="rId233" Type="http://schemas.openxmlformats.org/officeDocument/2006/relationships/hyperlink" Target="https://puc.nv.gov/Safety/Pipeline/" TargetMode="External"/><Relationship Id="rId254" Type="http://schemas.openxmlformats.org/officeDocument/2006/relationships/hyperlink" Target="https://psc.wi.gov/Pages/ServiceType/Energy/PipelineSafetyProgram.aspx" TargetMode="External"/><Relationship Id="rId28" Type="http://schemas.openxmlformats.org/officeDocument/2006/relationships/hyperlink" Target="https://sfm.nebraska.gov/fuels-safety/pipeline-safety" TargetMode="External"/><Relationship Id="rId49" Type="http://schemas.openxmlformats.org/officeDocument/2006/relationships/hyperlink" Target="http://www.psc.state.wv.us/div/gaspipelinesafety.htm" TargetMode="External"/><Relationship Id="rId114" Type="http://schemas.openxmlformats.org/officeDocument/2006/relationships/hyperlink" Target="https://psc.ga.gov/facilities-protection/pipeline-safety/" TargetMode="External"/><Relationship Id="rId275" Type="http://schemas.openxmlformats.org/officeDocument/2006/relationships/hyperlink" Target="https://www.maine.gov/mpuc/safety/natural-gas-safety" TargetMode="External"/><Relationship Id="rId296" Type="http://schemas.openxmlformats.org/officeDocument/2006/relationships/hyperlink" Target="https://ors.sc.gov/safety/pipeline-safety" TargetMode="External"/><Relationship Id="rId300" Type="http://schemas.openxmlformats.org/officeDocument/2006/relationships/hyperlink" Target="https://dpu.utah.gov/pipeline-safety/" TargetMode="External"/><Relationship Id="rId60" Type="http://schemas.openxmlformats.org/officeDocument/2006/relationships/hyperlink" Target="https://dcpsc.org/Utility-Information/Natural-Gas/Natural-Gas-Pipeline-Safety-and-Damage-Prevention.aspx" TargetMode="External"/><Relationship Id="rId81" Type="http://schemas.openxmlformats.org/officeDocument/2006/relationships/hyperlink" Target="https://www.energy.nh.gov/enforcement/pipeline-safety" TargetMode="External"/><Relationship Id="rId135" Type="http://schemas.openxmlformats.org/officeDocument/2006/relationships/hyperlink" Target="https://dps.ny.gov/nys-pipeline-safety-program" TargetMode="External"/><Relationship Id="rId156" Type="http://schemas.openxmlformats.org/officeDocument/2006/relationships/hyperlink" Target="https://apsc.arkansas.gov/utilities/pipeline-safety/" TargetMode="External"/><Relationship Id="rId177" Type="http://schemas.openxmlformats.org/officeDocument/2006/relationships/hyperlink" Target="https://dps.mn.gov/divisions/ops/Pages/default.aspx" TargetMode="External"/><Relationship Id="rId198" Type="http://schemas.openxmlformats.org/officeDocument/2006/relationships/hyperlink" Target="https://dpu.utah.gov/pipeline-safety/" TargetMode="External"/><Relationship Id="rId321" Type="http://schemas.openxmlformats.org/officeDocument/2006/relationships/hyperlink" Target="https://www.michigan.gov/mpsc/regulatory/natural-gas/pipeline-safety" TargetMode="External"/><Relationship Id="rId342" Type="http://schemas.openxmlformats.org/officeDocument/2006/relationships/hyperlink" Target="https://www.dnr.louisiana.gov/index.cfm/page/144" TargetMode="External"/><Relationship Id="rId363" Type="http://schemas.openxmlformats.org/officeDocument/2006/relationships/hyperlink" Target="https://psc.mo.gov/General/Pipeline_Safety" TargetMode="External"/><Relationship Id="rId384" Type="http://schemas.openxmlformats.org/officeDocument/2006/relationships/hyperlink" Target="https://www.dnr.louisiana.gov/index.cfm/page/144" TargetMode="External"/><Relationship Id="rId419" Type="http://schemas.openxmlformats.org/officeDocument/2006/relationships/hyperlink" Target="https://puco.ohio.gov/utilities/gas/resources/natural-gas-pipeline-safety-in-ohio" TargetMode="External"/><Relationship Id="rId202" Type="http://schemas.openxmlformats.org/officeDocument/2006/relationships/hyperlink" Target="http://www.psc.state.wv.us/div/gaspipelinesafety.htm" TargetMode="External"/><Relationship Id="rId223" Type="http://schemas.openxmlformats.org/officeDocument/2006/relationships/hyperlink" Target="https://www.dnr.louisiana.gov/index.cfm/page/144" TargetMode="External"/><Relationship Id="rId244" Type="http://schemas.openxmlformats.org/officeDocument/2006/relationships/hyperlink" Target="https://ripuc.ri.gov/utility-information/natural-gas/ridpuc-pipeline-safety" TargetMode="External"/><Relationship Id="rId18" Type="http://schemas.openxmlformats.org/officeDocument/2006/relationships/hyperlink" Target="https://psc.ky.gov/Home/PipelineSafety" TargetMode="External"/><Relationship Id="rId39" Type="http://schemas.openxmlformats.org/officeDocument/2006/relationships/hyperlink" Target="https://www.puc.pa.gov/pipeline-safety/" TargetMode="External"/><Relationship Id="rId265" Type="http://schemas.openxmlformats.org/officeDocument/2006/relationships/hyperlink" Target="https://depsc.delaware.gov/pipeline-safety-program/" TargetMode="External"/><Relationship Id="rId286" Type="http://schemas.openxmlformats.org/officeDocument/2006/relationships/hyperlink" Target="https://www.nj.gov/bpu/about/divisions/reliability/" TargetMode="External"/><Relationship Id="rId50" Type="http://schemas.openxmlformats.org/officeDocument/2006/relationships/hyperlink" Target="https://psc.wi.gov/Pages/ServiceType/Energy/PipelineSafetyProgram.aspx" TargetMode="External"/><Relationship Id="rId104" Type="http://schemas.openxmlformats.org/officeDocument/2006/relationships/hyperlink" Target="https://www.azcc.gov/safety/pipeline" TargetMode="External"/><Relationship Id="rId125" Type="http://schemas.openxmlformats.org/officeDocument/2006/relationships/hyperlink" Target="https://www.michigan.gov/mpsc/regulatory/natural-gas/pipeline-safety" TargetMode="External"/><Relationship Id="rId146" Type="http://schemas.openxmlformats.org/officeDocument/2006/relationships/hyperlink" Target="https://www.rrc.texas.gov/pipeline-safety/" TargetMode="External"/><Relationship Id="rId167" Type="http://schemas.openxmlformats.org/officeDocument/2006/relationships/hyperlink" Target="https://www.icc.illinois.gov/home/illinois-gas-pipeline-safety-program" TargetMode="External"/><Relationship Id="rId188" Type="http://schemas.openxmlformats.org/officeDocument/2006/relationships/hyperlink" Target="https://psc.nd.gov/jurisdiction/pipelines/index.php" TargetMode="External"/><Relationship Id="rId311" Type="http://schemas.openxmlformats.org/officeDocument/2006/relationships/hyperlink" Target="https://depsc.delaware.gov/pipeline-safety-program/" TargetMode="External"/><Relationship Id="rId332" Type="http://schemas.openxmlformats.org/officeDocument/2006/relationships/hyperlink" Target="https://publicservice.vermont.gov/regulated-utilities/natural-gas" TargetMode="External"/><Relationship Id="rId353" Type="http://schemas.openxmlformats.org/officeDocument/2006/relationships/hyperlink" Target="https://puc.sd.gov/pipelinesafety/" TargetMode="External"/><Relationship Id="rId374" Type="http://schemas.openxmlformats.org/officeDocument/2006/relationships/hyperlink" Target="https://www.cpuc.ca.gov/regulatory-services/safety/gas-safety-and-reliability-branch" TargetMode="External"/><Relationship Id="rId395" Type="http://schemas.openxmlformats.org/officeDocument/2006/relationships/hyperlink" Target="https://publicservice.vermont.gov/regulated-utilities/natural-gas" TargetMode="External"/><Relationship Id="rId409" Type="http://schemas.openxmlformats.org/officeDocument/2006/relationships/hyperlink" Target="https://puc.sd.gov/pipelinesafety/" TargetMode="External"/><Relationship Id="rId71" Type="http://schemas.openxmlformats.org/officeDocument/2006/relationships/hyperlink" Target="https://www.maine.gov/mpuc/safety/natural-gas-safety" TargetMode="External"/><Relationship Id="rId92" Type="http://schemas.openxmlformats.org/officeDocument/2006/relationships/hyperlink" Target="https://ors.sc.gov/safety/pipeline-safety" TargetMode="External"/><Relationship Id="rId213" Type="http://schemas.openxmlformats.org/officeDocument/2006/relationships/hyperlink" Target="https://dcpsc.org/Utility-Information/Natural-Gas/Natural-Gas-Pipeline-Safety-and-Damage-Prevention.aspx" TargetMode="External"/><Relationship Id="rId234" Type="http://schemas.openxmlformats.org/officeDocument/2006/relationships/hyperlink" Target="https://www.energy.nh.gov/enforcement/pipeline-safety" TargetMode="External"/><Relationship Id="rId420" Type="http://schemas.openxmlformats.org/officeDocument/2006/relationships/hyperlink" Target="https://www.puc.pa.gov/pipeline-safety/" TargetMode="External"/><Relationship Id="rId2" Type="http://schemas.openxmlformats.org/officeDocument/2006/relationships/hyperlink" Target="https://www.azcc.gov/safety/pipeline" TargetMode="External"/><Relationship Id="rId29" Type="http://schemas.openxmlformats.org/officeDocument/2006/relationships/hyperlink" Target="https://puc.nv.gov/Safety/Pipeline/" TargetMode="External"/><Relationship Id="rId255" Type="http://schemas.openxmlformats.org/officeDocument/2006/relationships/hyperlink" Target="https://psc.wyo.gov/pipeline" TargetMode="External"/><Relationship Id="rId276" Type="http://schemas.openxmlformats.org/officeDocument/2006/relationships/hyperlink" Target="https://www.psc.state.md.us/gas/" TargetMode="External"/><Relationship Id="rId297" Type="http://schemas.openxmlformats.org/officeDocument/2006/relationships/hyperlink" Target="https://puc.sd.gov/pipelinesafety/" TargetMode="External"/><Relationship Id="rId40" Type="http://schemas.openxmlformats.org/officeDocument/2006/relationships/hyperlink" Target="https://ripuc.ri.gov/utility-information/natural-gas/ridpuc-pipeline-safety" TargetMode="External"/><Relationship Id="rId115" Type="http://schemas.openxmlformats.org/officeDocument/2006/relationships/hyperlink" Target="https://puc.idaho.gov/Page/Utility/8" TargetMode="External"/><Relationship Id="rId136" Type="http://schemas.openxmlformats.org/officeDocument/2006/relationships/hyperlink" Target="https://www.ncuc.gov/Industries/naturalgas/pipelinesafety.html" TargetMode="External"/><Relationship Id="rId157" Type="http://schemas.openxmlformats.org/officeDocument/2006/relationships/hyperlink" Target="https://www.aogc.state.ar.us/" TargetMode="External"/><Relationship Id="rId178" Type="http://schemas.openxmlformats.org/officeDocument/2006/relationships/hyperlink" Target="https://www.psc.ms.gov/pipeline/safety" TargetMode="External"/><Relationship Id="rId301" Type="http://schemas.openxmlformats.org/officeDocument/2006/relationships/hyperlink" Target="https://publicservice.vermont.gov/regulated-utilities/natural-gas" TargetMode="External"/><Relationship Id="rId322" Type="http://schemas.openxmlformats.org/officeDocument/2006/relationships/hyperlink" Target="https://dps.mn.gov/divisions/ops/Pages/default.aspx" TargetMode="External"/><Relationship Id="rId343" Type="http://schemas.openxmlformats.org/officeDocument/2006/relationships/hyperlink" Target="https://www.mass.gov/orgs/pipeline-safety-division" TargetMode="External"/><Relationship Id="rId364" Type="http://schemas.openxmlformats.org/officeDocument/2006/relationships/hyperlink" Target="https://www.nj.gov/bpu/about/divisions/reliability/" TargetMode="External"/><Relationship Id="rId61" Type="http://schemas.openxmlformats.org/officeDocument/2006/relationships/hyperlink" Target="https://depsc.delaware.gov/pipeline-safety-program/" TargetMode="External"/><Relationship Id="rId82" Type="http://schemas.openxmlformats.org/officeDocument/2006/relationships/hyperlink" Target="https://www.nj.gov/bpu/about/divisions/reliability/" TargetMode="External"/><Relationship Id="rId199" Type="http://schemas.openxmlformats.org/officeDocument/2006/relationships/hyperlink" Target="https://publicservice.vermont.gov/regulated-utilities/natural-gas" TargetMode="External"/><Relationship Id="rId203" Type="http://schemas.openxmlformats.org/officeDocument/2006/relationships/hyperlink" Target="https://psc.wi.gov/Pages/ServiceType/Energy/PipelineSafetyProgram.aspx" TargetMode="External"/><Relationship Id="rId385" Type="http://schemas.openxmlformats.org/officeDocument/2006/relationships/hyperlink" Target="https://www.psc.state.md.us/gas/" TargetMode="External"/><Relationship Id="rId19" Type="http://schemas.openxmlformats.org/officeDocument/2006/relationships/hyperlink" Target="https://www.dnr.louisiana.gov/index.cfm/page/144" TargetMode="External"/><Relationship Id="rId224" Type="http://schemas.openxmlformats.org/officeDocument/2006/relationships/hyperlink" Target="https://www.maine.gov/mpuc/safety/natural-gas-safety" TargetMode="External"/><Relationship Id="rId245" Type="http://schemas.openxmlformats.org/officeDocument/2006/relationships/hyperlink" Target="https://ors.sc.gov/safety/pipeline-safety" TargetMode="External"/><Relationship Id="rId266" Type="http://schemas.openxmlformats.org/officeDocument/2006/relationships/hyperlink" Target="https://www.psc.state.fl.us/natural-gas" TargetMode="External"/><Relationship Id="rId287" Type="http://schemas.openxmlformats.org/officeDocument/2006/relationships/hyperlink" Target="https://www.prc.nm.gov/transportation/pipeline-safety/" TargetMode="External"/><Relationship Id="rId410" Type="http://schemas.openxmlformats.org/officeDocument/2006/relationships/hyperlink" Target="https://www.rrc.texas.gov/pipeline-safety/" TargetMode="External"/><Relationship Id="rId30" Type="http://schemas.openxmlformats.org/officeDocument/2006/relationships/hyperlink" Target="https://www.energy.nh.gov/enforcement/pipeline-safety" TargetMode="External"/><Relationship Id="rId105" Type="http://schemas.openxmlformats.org/officeDocument/2006/relationships/hyperlink" Target="https://apsc.arkansas.gov/utilities/pipeline-safety/" TargetMode="External"/><Relationship Id="rId126" Type="http://schemas.openxmlformats.org/officeDocument/2006/relationships/hyperlink" Target="https://dps.mn.gov/divisions/ops/Pages/default.aspx" TargetMode="External"/><Relationship Id="rId147" Type="http://schemas.openxmlformats.org/officeDocument/2006/relationships/hyperlink" Target="https://dpu.utah.gov/pipeline-safety/" TargetMode="External"/><Relationship Id="rId168" Type="http://schemas.openxmlformats.org/officeDocument/2006/relationships/hyperlink" Target="https://www.in.gov/iurc/pipeline-safety-division/" TargetMode="External"/><Relationship Id="rId312" Type="http://schemas.openxmlformats.org/officeDocument/2006/relationships/hyperlink" Target="https://www.psc.state.fl.us/natural-gas" TargetMode="External"/><Relationship Id="rId333" Type="http://schemas.openxmlformats.org/officeDocument/2006/relationships/hyperlink" Target="https://www.utc.wa.gov/public-safety/pipeline-safety" TargetMode="External"/><Relationship Id="rId354" Type="http://schemas.openxmlformats.org/officeDocument/2006/relationships/hyperlink" Target="https://www.rrc.texas.gov/pipeline-safety/" TargetMode="External"/><Relationship Id="rId51" Type="http://schemas.openxmlformats.org/officeDocument/2006/relationships/hyperlink" Target="https://psc.wyo.gov/pipeline" TargetMode="External"/><Relationship Id="rId72" Type="http://schemas.openxmlformats.org/officeDocument/2006/relationships/hyperlink" Target="https://www.psc.state.md.us/gas/" TargetMode="External"/><Relationship Id="rId93" Type="http://schemas.openxmlformats.org/officeDocument/2006/relationships/hyperlink" Target="https://puc.sd.gov/pipelinesafety/" TargetMode="External"/><Relationship Id="rId189" Type="http://schemas.openxmlformats.org/officeDocument/2006/relationships/hyperlink" Target="https://puco.ohio.gov/utilities/gas/resources/natural-gas-pipeline-safety-in-ohio" TargetMode="External"/><Relationship Id="rId375" Type="http://schemas.openxmlformats.org/officeDocument/2006/relationships/hyperlink" Target="https://osfm.fire.ca.gov/divisions/pipeline-safety-and-cupa/" TargetMode="External"/><Relationship Id="rId396" Type="http://schemas.openxmlformats.org/officeDocument/2006/relationships/hyperlink" Target="https://www.utc.wa.gov/public-safety/pipeline-safety" TargetMode="External"/><Relationship Id="rId3" Type="http://schemas.openxmlformats.org/officeDocument/2006/relationships/hyperlink" Target="https://apsc.arkansas.gov/utilities/pipeline-safety/" TargetMode="External"/><Relationship Id="rId214" Type="http://schemas.openxmlformats.org/officeDocument/2006/relationships/hyperlink" Target="https://depsc.delaware.gov/pipeline-safety-program/" TargetMode="External"/><Relationship Id="rId235" Type="http://schemas.openxmlformats.org/officeDocument/2006/relationships/hyperlink" Target="https://www.nj.gov/bpu/about/divisions/reliability/" TargetMode="External"/><Relationship Id="rId256" Type="http://schemas.openxmlformats.org/officeDocument/2006/relationships/hyperlink" Target="https://psc.alabama.gov/gas-pipeline-safety/" TargetMode="External"/><Relationship Id="rId277" Type="http://schemas.openxmlformats.org/officeDocument/2006/relationships/hyperlink" Target="https://www.mass.gov/orgs/pipeline-safety-division" TargetMode="External"/><Relationship Id="rId298" Type="http://schemas.openxmlformats.org/officeDocument/2006/relationships/hyperlink" Target="https://www.tn.gov/tpuc/divisions/gas-pipeline-safety-division.html" TargetMode="External"/><Relationship Id="rId400" Type="http://schemas.openxmlformats.org/officeDocument/2006/relationships/hyperlink" Target="https://puc.colorado.gov/gaspipelines" TargetMode="External"/><Relationship Id="rId421" Type="http://schemas.openxmlformats.org/officeDocument/2006/relationships/hyperlink" Target="https://ors.sc.gov/safety/pipeline-safety" TargetMode="External"/><Relationship Id="rId116" Type="http://schemas.openxmlformats.org/officeDocument/2006/relationships/hyperlink" Target="https://www.icc.illinois.gov/home/illinois-gas-pipeline-safety-program" TargetMode="External"/><Relationship Id="rId137" Type="http://schemas.openxmlformats.org/officeDocument/2006/relationships/hyperlink" Target="https://psc.nd.gov/jurisdiction/pipelines/index.php" TargetMode="External"/><Relationship Id="rId158" Type="http://schemas.openxmlformats.org/officeDocument/2006/relationships/hyperlink" Target="https://www.cpuc.ca.gov/regulatory-services/safety/gas-safety-and-reliability-branch" TargetMode="External"/><Relationship Id="rId302" Type="http://schemas.openxmlformats.org/officeDocument/2006/relationships/hyperlink" Target="https://www.scc.virginia.gov/pages/Pipeline-Safety" TargetMode="External"/><Relationship Id="rId323" Type="http://schemas.openxmlformats.org/officeDocument/2006/relationships/hyperlink" Target="https://www.psc.ms.gov/pipeline/safety" TargetMode="External"/><Relationship Id="rId344" Type="http://schemas.openxmlformats.org/officeDocument/2006/relationships/hyperlink" Target="https://www.michigan.gov/mpsc/regulatory/natural-gas/pipeline-safety" TargetMode="External"/><Relationship Id="rId20" Type="http://schemas.openxmlformats.org/officeDocument/2006/relationships/hyperlink" Target="https://www.maine.gov/mpuc/safety/natural-gas-safety" TargetMode="External"/><Relationship Id="rId41" Type="http://schemas.openxmlformats.org/officeDocument/2006/relationships/hyperlink" Target="https://ors.sc.gov/safety/pipeline-safety" TargetMode="External"/><Relationship Id="rId62" Type="http://schemas.openxmlformats.org/officeDocument/2006/relationships/hyperlink" Target="https://www.psc.state.fl.us/natural-gas" TargetMode="External"/><Relationship Id="rId83" Type="http://schemas.openxmlformats.org/officeDocument/2006/relationships/hyperlink" Target="https://www.prc.nm.gov/transportation/pipeline-safety/" TargetMode="External"/><Relationship Id="rId179" Type="http://schemas.openxmlformats.org/officeDocument/2006/relationships/hyperlink" Target="https://psc.mo.gov/General/Pipeline_Safety" TargetMode="External"/><Relationship Id="rId365" Type="http://schemas.openxmlformats.org/officeDocument/2006/relationships/hyperlink" Target="https://www.prc.nm.gov/transportation/pipeline-safety/" TargetMode="External"/><Relationship Id="rId386" Type="http://schemas.openxmlformats.org/officeDocument/2006/relationships/hyperlink" Target="https://www.michigan.gov/mpsc/regulatory/natural-gas/pipeline-safety" TargetMode="External"/><Relationship Id="rId190" Type="http://schemas.openxmlformats.org/officeDocument/2006/relationships/hyperlink" Target="https://oklahoma.gov/occ/divisions/transportation/pipeline-safety.html" TargetMode="External"/><Relationship Id="rId204" Type="http://schemas.openxmlformats.org/officeDocument/2006/relationships/hyperlink" Target="https://psc.wyo.gov/pipeline" TargetMode="External"/><Relationship Id="rId225" Type="http://schemas.openxmlformats.org/officeDocument/2006/relationships/hyperlink" Target="https://www.psc.state.md.us/gas/" TargetMode="External"/><Relationship Id="rId246" Type="http://schemas.openxmlformats.org/officeDocument/2006/relationships/hyperlink" Target="https://puc.sd.gov/pipelinesafety/" TargetMode="External"/><Relationship Id="rId267" Type="http://schemas.openxmlformats.org/officeDocument/2006/relationships/hyperlink" Target="https://psc.ga.gov/facilities-protection/pipeline-safety/" TargetMode="External"/><Relationship Id="rId288" Type="http://schemas.openxmlformats.org/officeDocument/2006/relationships/hyperlink" Target="https://dps.ny.gov/nys-pipeline-safety-program" TargetMode="External"/><Relationship Id="rId411" Type="http://schemas.openxmlformats.org/officeDocument/2006/relationships/hyperlink" Target="https://psc.wyo.gov/pipeline" TargetMode="External"/><Relationship Id="rId106" Type="http://schemas.openxmlformats.org/officeDocument/2006/relationships/hyperlink" Target="https://www.aogc.state.ar.us/" TargetMode="External"/><Relationship Id="rId127" Type="http://schemas.openxmlformats.org/officeDocument/2006/relationships/hyperlink" Target="https://www.psc.ms.gov/pipeline/safety" TargetMode="External"/><Relationship Id="rId313" Type="http://schemas.openxmlformats.org/officeDocument/2006/relationships/hyperlink" Target="https://psc.ga.gov/facilities-protection/pipeline-safety/" TargetMode="External"/><Relationship Id="rId10" Type="http://schemas.openxmlformats.org/officeDocument/2006/relationships/hyperlink" Target="https://depsc.delaware.gov/pipeline-safety-program/" TargetMode="External"/><Relationship Id="rId31" Type="http://schemas.openxmlformats.org/officeDocument/2006/relationships/hyperlink" Target="https://www.nj.gov/bpu/about/divisions/reliability/" TargetMode="External"/><Relationship Id="rId52" Type="http://schemas.openxmlformats.org/officeDocument/2006/relationships/hyperlink" Target="https://psc.alabama.gov/gas-pipeline-safety/" TargetMode="External"/><Relationship Id="rId73" Type="http://schemas.openxmlformats.org/officeDocument/2006/relationships/hyperlink" Target="https://www.mass.gov/orgs/pipeline-safety-division" TargetMode="External"/><Relationship Id="rId94" Type="http://schemas.openxmlformats.org/officeDocument/2006/relationships/hyperlink" Target="https://www.tn.gov/tpuc/divisions/gas-pipeline-safety-division.html" TargetMode="External"/><Relationship Id="rId148" Type="http://schemas.openxmlformats.org/officeDocument/2006/relationships/hyperlink" Target="https://publicservice.vermont.gov/regulated-utilities/natural-gas" TargetMode="External"/><Relationship Id="rId169" Type="http://schemas.openxmlformats.org/officeDocument/2006/relationships/hyperlink" Target="https://iub.iowa.gov/regulated-industries/pipeline-permits-certifications/pipeline-safety" TargetMode="External"/><Relationship Id="rId334" Type="http://schemas.openxmlformats.org/officeDocument/2006/relationships/hyperlink" Target="http://www.psc.state.wv.us/div/gaspipelinesafety.htm" TargetMode="External"/><Relationship Id="rId355" Type="http://schemas.openxmlformats.org/officeDocument/2006/relationships/hyperlink" Target="https://www.utc.wa.gov/public-safety/pipeline-safety" TargetMode="External"/><Relationship Id="rId376" Type="http://schemas.openxmlformats.org/officeDocument/2006/relationships/hyperlink" Target="https://depsc.delaware.gov/pipeline-safety-program/" TargetMode="External"/><Relationship Id="rId397" Type="http://schemas.openxmlformats.org/officeDocument/2006/relationships/hyperlink" Target="http://www.psc.state.wv.us/div/gaspipelinesafety.htm" TargetMode="External"/><Relationship Id="rId4" Type="http://schemas.openxmlformats.org/officeDocument/2006/relationships/hyperlink" Target="https://www.aogc.state.ar.us/" TargetMode="External"/><Relationship Id="rId180" Type="http://schemas.openxmlformats.org/officeDocument/2006/relationships/hyperlink" Target="https://psc.mt.gov/Public-Safety/Pipeline-Safety" TargetMode="External"/><Relationship Id="rId215" Type="http://schemas.openxmlformats.org/officeDocument/2006/relationships/hyperlink" Target="https://www.psc.state.fl.us/natural-gas" TargetMode="External"/><Relationship Id="rId236" Type="http://schemas.openxmlformats.org/officeDocument/2006/relationships/hyperlink" Target="https://www.prc.nm.gov/transportation/pipeline-safety/" TargetMode="External"/><Relationship Id="rId257" Type="http://schemas.openxmlformats.org/officeDocument/2006/relationships/hyperlink" Target="https://www.azcc.gov/safety/pipeline" TargetMode="External"/><Relationship Id="rId278" Type="http://schemas.openxmlformats.org/officeDocument/2006/relationships/hyperlink" Target="https://www.michigan.gov/mpsc/regulatory/natural-gas/pipeline-safety" TargetMode="External"/><Relationship Id="rId401" Type="http://schemas.openxmlformats.org/officeDocument/2006/relationships/hyperlink" Target="https://portal.ct.gov/PURA/Gas-Pipeline-Safety/Gas-Pipeline-Safety" TargetMode="External"/><Relationship Id="rId422" Type="http://schemas.openxmlformats.org/officeDocument/2006/relationships/hyperlink" Target="https://www.scc.virginia.gov/pages/Pipeline-Safety" TargetMode="External"/><Relationship Id="rId303" Type="http://schemas.openxmlformats.org/officeDocument/2006/relationships/hyperlink" Target="https://www.utc.wa.gov/public-safety/pipeline-safety" TargetMode="External"/><Relationship Id="rId42" Type="http://schemas.openxmlformats.org/officeDocument/2006/relationships/hyperlink" Target="https://puc.sd.gov/pipelinesafety/" TargetMode="External"/><Relationship Id="rId84" Type="http://schemas.openxmlformats.org/officeDocument/2006/relationships/hyperlink" Target="https://dps.ny.gov/nys-pipeline-safety-program" TargetMode="External"/><Relationship Id="rId138" Type="http://schemas.openxmlformats.org/officeDocument/2006/relationships/hyperlink" Target="https://puco.ohio.gov/utilities/gas/resources/natural-gas-pipeline-safety-in-ohio" TargetMode="External"/><Relationship Id="rId345" Type="http://schemas.openxmlformats.org/officeDocument/2006/relationships/hyperlink" Target="https://dps.mn.gov/divisions/ops/Pages/default.aspx" TargetMode="External"/><Relationship Id="rId387" Type="http://schemas.openxmlformats.org/officeDocument/2006/relationships/hyperlink" Target="https://dps.mn.gov/divisions/ops/Pages/default.aspx" TargetMode="External"/><Relationship Id="rId191" Type="http://schemas.openxmlformats.org/officeDocument/2006/relationships/hyperlink" Target="https://www.oregon.gov/puc/safety/pages/gas-pipeline-safety.aspx" TargetMode="External"/><Relationship Id="rId205" Type="http://schemas.openxmlformats.org/officeDocument/2006/relationships/hyperlink" Target="https://psc.alabama.gov/gas-pipeline-safety/" TargetMode="External"/><Relationship Id="rId247" Type="http://schemas.openxmlformats.org/officeDocument/2006/relationships/hyperlink" Target="https://www.tn.gov/tpuc/divisions/gas-pipeline-safety-division.html" TargetMode="External"/><Relationship Id="rId412" Type="http://schemas.openxmlformats.org/officeDocument/2006/relationships/hyperlink" Target="https://www.azcc.gov/safety/pipeline" TargetMode="External"/><Relationship Id="rId107" Type="http://schemas.openxmlformats.org/officeDocument/2006/relationships/hyperlink" Target="https://www.cpuc.ca.gov/regulatory-services/safety/gas-safety-and-reliability-branch" TargetMode="External"/><Relationship Id="rId289" Type="http://schemas.openxmlformats.org/officeDocument/2006/relationships/hyperlink" Target="https://www.ncuc.gov/Industries/naturalgas/pipelinesafety.html" TargetMode="External"/><Relationship Id="rId11" Type="http://schemas.openxmlformats.org/officeDocument/2006/relationships/hyperlink" Target="https://www.psc.state.fl.us/natural-gas" TargetMode="External"/><Relationship Id="rId53" Type="http://schemas.openxmlformats.org/officeDocument/2006/relationships/hyperlink" Target="https://www.azcc.gov/safety/pipeline" TargetMode="External"/><Relationship Id="rId149" Type="http://schemas.openxmlformats.org/officeDocument/2006/relationships/hyperlink" Target="https://www.scc.virginia.gov/pages/Pipeline-Safety" TargetMode="External"/><Relationship Id="rId314" Type="http://schemas.openxmlformats.org/officeDocument/2006/relationships/hyperlink" Target="https://puc.idaho.gov/Page/Utility/8" TargetMode="External"/><Relationship Id="rId356" Type="http://schemas.openxmlformats.org/officeDocument/2006/relationships/hyperlink" Target="https://psc.wi.gov/Pages/ServiceType/Energy/PipelineSafetyProgram.aspx" TargetMode="External"/><Relationship Id="rId398" Type="http://schemas.openxmlformats.org/officeDocument/2006/relationships/hyperlink" Target="https://psc.wi.gov/Pages/ServiceType/Energy/PipelineSafetyProgram.aspx" TargetMode="External"/><Relationship Id="rId95" Type="http://schemas.openxmlformats.org/officeDocument/2006/relationships/hyperlink" Target="https://www.rrc.texas.gov/pipeline-safety/" TargetMode="External"/><Relationship Id="rId160" Type="http://schemas.openxmlformats.org/officeDocument/2006/relationships/hyperlink" Target="https://puc.colorado.gov/gaspipelines" TargetMode="External"/><Relationship Id="rId216" Type="http://schemas.openxmlformats.org/officeDocument/2006/relationships/hyperlink" Target="https://psc.ga.gov/facilities-protection/pipeline-safety/" TargetMode="External"/><Relationship Id="rId258" Type="http://schemas.openxmlformats.org/officeDocument/2006/relationships/hyperlink" Target="https://apsc.arkansas.gov/utilities/pipeline-safety/" TargetMode="External"/><Relationship Id="rId22" Type="http://schemas.openxmlformats.org/officeDocument/2006/relationships/hyperlink" Target="https://www.mass.gov/orgs/pipeline-safety-division" TargetMode="External"/><Relationship Id="rId64" Type="http://schemas.openxmlformats.org/officeDocument/2006/relationships/hyperlink" Target="https://puc.idaho.gov/Page/Utility/8" TargetMode="External"/><Relationship Id="rId118" Type="http://schemas.openxmlformats.org/officeDocument/2006/relationships/hyperlink" Target="https://iub.iowa.gov/regulated-industries/pipeline-permits-certifications/pipeline-safety" TargetMode="External"/><Relationship Id="rId325" Type="http://schemas.openxmlformats.org/officeDocument/2006/relationships/hyperlink" Target="https://sfm.nebraska.gov/fuels-safety/pipeline-safety" TargetMode="External"/><Relationship Id="rId367" Type="http://schemas.openxmlformats.org/officeDocument/2006/relationships/hyperlink" Target="https://psc.nd.gov/jurisdiction/pipelines/index.php" TargetMode="External"/><Relationship Id="rId171" Type="http://schemas.openxmlformats.org/officeDocument/2006/relationships/hyperlink" Target="https://psc.ky.gov/Home/PipelineSafety" TargetMode="External"/><Relationship Id="rId227" Type="http://schemas.openxmlformats.org/officeDocument/2006/relationships/hyperlink" Target="https://www.michigan.gov/mpsc/regulatory/natural-gas/pipeline-safety" TargetMode="External"/><Relationship Id="rId269" Type="http://schemas.openxmlformats.org/officeDocument/2006/relationships/hyperlink" Target="https://www.icc.illinois.gov/home/illinois-gas-pipeline-safety-program" TargetMode="External"/><Relationship Id="rId33" Type="http://schemas.openxmlformats.org/officeDocument/2006/relationships/hyperlink" Target="https://dps.ny.gov/nys-pipeline-safety-program" TargetMode="External"/><Relationship Id="rId129" Type="http://schemas.openxmlformats.org/officeDocument/2006/relationships/hyperlink" Target="https://psc.mt.gov/Public-Safety/Pipeline-Safety" TargetMode="External"/><Relationship Id="rId280" Type="http://schemas.openxmlformats.org/officeDocument/2006/relationships/hyperlink" Target="https://www.psc.ms.gov/pipeline/safety" TargetMode="External"/><Relationship Id="rId336" Type="http://schemas.openxmlformats.org/officeDocument/2006/relationships/hyperlink" Target="https://apsc.arkansas.gov/utilities/pipeline-safety/" TargetMode="External"/><Relationship Id="rId75" Type="http://schemas.openxmlformats.org/officeDocument/2006/relationships/hyperlink" Target="https://dps.mn.gov/divisions/ops/Pages/default.aspx" TargetMode="External"/><Relationship Id="rId140" Type="http://schemas.openxmlformats.org/officeDocument/2006/relationships/hyperlink" Target="https://www.oregon.gov/puc/safety/pages/gas-pipeline-safety.aspx" TargetMode="External"/><Relationship Id="rId182" Type="http://schemas.openxmlformats.org/officeDocument/2006/relationships/hyperlink" Target="https://puc.nv.gov/Safety/Pipeline/" TargetMode="External"/><Relationship Id="rId378" Type="http://schemas.openxmlformats.org/officeDocument/2006/relationships/hyperlink" Target="https://psc.ga.gov/facilities-protection/pipeline-safety/" TargetMode="External"/><Relationship Id="rId403" Type="http://schemas.openxmlformats.org/officeDocument/2006/relationships/hyperlink" Target="https://www.mass.gov/orgs/pipeline-safety-division" TargetMode="External"/><Relationship Id="rId6" Type="http://schemas.openxmlformats.org/officeDocument/2006/relationships/hyperlink" Target="https://osfm.fire.ca.gov/divisions/pipeline-safety-and-cupa/" TargetMode="External"/><Relationship Id="rId238" Type="http://schemas.openxmlformats.org/officeDocument/2006/relationships/hyperlink" Target="https://www.ncuc.gov/Industries/naturalgas/pipelinesafety.html" TargetMode="External"/><Relationship Id="rId291" Type="http://schemas.openxmlformats.org/officeDocument/2006/relationships/hyperlink" Target="https://puco.ohio.gov/utilities/gas/resources/natural-gas-pipeline-safety-in-ohio" TargetMode="External"/><Relationship Id="rId305" Type="http://schemas.openxmlformats.org/officeDocument/2006/relationships/hyperlink" Target="https://psc.wi.gov/Pages/ServiceType/Energy/PipelineSafetyProgram.aspx" TargetMode="External"/><Relationship Id="rId347" Type="http://schemas.openxmlformats.org/officeDocument/2006/relationships/hyperlink" Target="https://puc.nv.gov/Safety/Pipeline/" TargetMode="External"/><Relationship Id="rId44" Type="http://schemas.openxmlformats.org/officeDocument/2006/relationships/hyperlink" Target="https://www.rrc.texas.gov/pipeline-safety/" TargetMode="External"/><Relationship Id="rId86" Type="http://schemas.openxmlformats.org/officeDocument/2006/relationships/hyperlink" Target="https://psc.nd.gov/jurisdiction/pipelines/index.php" TargetMode="External"/><Relationship Id="rId151" Type="http://schemas.openxmlformats.org/officeDocument/2006/relationships/hyperlink" Target="http://www.psc.state.wv.us/div/gaspipelinesafety.htm" TargetMode="External"/><Relationship Id="rId389" Type="http://schemas.openxmlformats.org/officeDocument/2006/relationships/hyperlink" Target="https://psc.mt.gov/Public-Safety/Pipeline-Safety" TargetMode="External"/><Relationship Id="rId193" Type="http://schemas.openxmlformats.org/officeDocument/2006/relationships/hyperlink" Target="https://ripuc.ri.gov/utility-information/natural-gas/ridpuc-pipeline-safety" TargetMode="External"/><Relationship Id="rId207" Type="http://schemas.openxmlformats.org/officeDocument/2006/relationships/hyperlink" Target="https://apsc.arkansas.gov/utilities/pipeline-safety/" TargetMode="External"/><Relationship Id="rId249" Type="http://schemas.openxmlformats.org/officeDocument/2006/relationships/hyperlink" Target="https://dpu.utah.gov/pipeline-safety/" TargetMode="External"/><Relationship Id="rId414" Type="http://schemas.openxmlformats.org/officeDocument/2006/relationships/hyperlink" Target="https://www.maine.gov/mpuc/safety/natural-gas-safety" TargetMode="External"/><Relationship Id="rId13" Type="http://schemas.openxmlformats.org/officeDocument/2006/relationships/hyperlink" Target="https://puc.idaho.gov/Page/Utility/8" TargetMode="External"/><Relationship Id="rId109" Type="http://schemas.openxmlformats.org/officeDocument/2006/relationships/hyperlink" Target="https://puc.colorado.gov/gaspipelines" TargetMode="External"/><Relationship Id="rId260" Type="http://schemas.openxmlformats.org/officeDocument/2006/relationships/hyperlink" Target="https://www.cpuc.ca.gov/regulatory-services/safety/gas-safety-and-reliability-branch" TargetMode="External"/><Relationship Id="rId316" Type="http://schemas.openxmlformats.org/officeDocument/2006/relationships/hyperlink" Target="https://www.in.gov/iurc/pipeline-safety-division/" TargetMode="External"/><Relationship Id="rId55" Type="http://schemas.openxmlformats.org/officeDocument/2006/relationships/hyperlink" Target="https://www.aogc.state.ar.us/" TargetMode="External"/><Relationship Id="rId97" Type="http://schemas.openxmlformats.org/officeDocument/2006/relationships/hyperlink" Target="https://publicservice.vermont.gov/regulated-utilities/natural-gas" TargetMode="External"/><Relationship Id="rId120" Type="http://schemas.openxmlformats.org/officeDocument/2006/relationships/hyperlink" Target="https://psc.ky.gov/Home/PipelineSafety" TargetMode="External"/><Relationship Id="rId358" Type="http://schemas.openxmlformats.org/officeDocument/2006/relationships/hyperlink" Target="https://www.azcc.gov/safety/pipeline" TargetMode="External"/><Relationship Id="rId162" Type="http://schemas.openxmlformats.org/officeDocument/2006/relationships/hyperlink" Target="https://dcpsc.org/Utility-Information/Natural-Gas/Natural-Gas-Pipeline-Safety-and-Damage-Prevention.aspx" TargetMode="External"/><Relationship Id="rId218" Type="http://schemas.openxmlformats.org/officeDocument/2006/relationships/hyperlink" Target="https://www.icc.illinois.gov/home/illinois-gas-pipeline-safety-program" TargetMode="External"/><Relationship Id="rId271" Type="http://schemas.openxmlformats.org/officeDocument/2006/relationships/hyperlink" Target="https://iub.iowa.gov/regulated-industries/pipeline-permits-certifications/pipeline-safety" TargetMode="External"/><Relationship Id="rId24" Type="http://schemas.openxmlformats.org/officeDocument/2006/relationships/hyperlink" Target="https://dps.mn.gov/divisions/ops/Pages/default.aspx" TargetMode="External"/><Relationship Id="rId66" Type="http://schemas.openxmlformats.org/officeDocument/2006/relationships/hyperlink" Target="https://www.in.gov/iurc/pipeline-safety-division/" TargetMode="External"/><Relationship Id="rId131" Type="http://schemas.openxmlformats.org/officeDocument/2006/relationships/hyperlink" Target="https://puc.nv.gov/Safety/Pipeline/" TargetMode="External"/><Relationship Id="rId327" Type="http://schemas.openxmlformats.org/officeDocument/2006/relationships/hyperlink" Target="https://psc.nd.gov/jurisdiction/pipelines/index.php" TargetMode="External"/><Relationship Id="rId369" Type="http://schemas.openxmlformats.org/officeDocument/2006/relationships/hyperlink" Target="https://www.puc.pa.gov/pipeline-safety/" TargetMode="External"/><Relationship Id="rId173" Type="http://schemas.openxmlformats.org/officeDocument/2006/relationships/hyperlink" Target="https://www.maine.gov/mpuc/safety/natural-gas-safety" TargetMode="External"/><Relationship Id="rId229" Type="http://schemas.openxmlformats.org/officeDocument/2006/relationships/hyperlink" Target="https://www.psc.ms.gov/pipeline/safety" TargetMode="External"/><Relationship Id="rId380" Type="http://schemas.openxmlformats.org/officeDocument/2006/relationships/hyperlink" Target="https://www.icc.illinois.gov/home/illinois-gas-pipeline-safety-program" TargetMode="External"/><Relationship Id="rId240" Type="http://schemas.openxmlformats.org/officeDocument/2006/relationships/hyperlink" Target="https://puco.ohio.gov/utilities/gas/resources/natural-gas-pipeline-safety-in-ohio" TargetMode="External"/><Relationship Id="rId35" Type="http://schemas.openxmlformats.org/officeDocument/2006/relationships/hyperlink" Target="https://psc.nd.gov/jurisdiction/pipelines/index.php" TargetMode="External"/><Relationship Id="rId77" Type="http://schemas.openxmlformats.org/officeDocument/2006/relationships/hyperlink" Target="https://psc.mo.gov/General/Pipeline_Safety" TargetMode="External"/><Relationship Id="rId100" Type="http://schemas.openxmlformats.org/officeDocument/2006/relationships/hyperlink" Target="http://www.psc.state.wv.us/div/gaspipelinesafety.htm" TargetMode="External"/><Relationship Id="rId282" Type="http://schemas.openxmlformats.org/officeDocument/2006/relationships/hyperlink" Target="https://psc.mt.gov/Public-Safety/Pipeline-Safety" TargetMode="External"/><Relationship Id="rId338" Type="http://schemas.openxmlformats.org/officeDocument/2006/relationships/hyperlink" Target="https://puc.colorado.gov/gaspipelines" TargetMode="External"/><Relationship Id="rId8" Type="http://schemas.openxmlformats.org/officeDocument/2006/relationships/hyperlink" Target="https://portal.ct.gov/PURA/Gas-Pipeline-Safety/Gas-Pipeline-Safety" TargetMode="External"/><Relationship Id="rId142" Type="http://schemas.openxmlformats.org/officeDocument/2006/relationships/hyperlink" Target="https://ripuc.ri.gov/utility-information/natural-gas/ridpuc-pipeline-safety" TargetMode="External"/><Relationship Id="rId184" Type="http://schemas.openxmlformats.org/officeDocument/2006/relationships/hyperlink" Target="https://www.nj.gov/bpu/about/divisions/reliability/" TargetMode="External"/><Relationship Id="rId391" Type="http://schemas.openxmlformats.org/officeDocument/2006/relationships/hyperlink" Target="https://puc.nv.gov/Safety/Pipeline/" TargetMode="External"/><Relationship Id="rId405" Type="http://schemas.openxmlformats.org/officeDocument/2006/relationships/hyperlink" Target="https://dps.ny.gov/nys-pipeline-safety-program" TargetMode="External"/><Relationship Id="rId251" Type="http://schemas.openxmlformats.org/officeDocument/2006/relationships/hyperlink" Target="https://www.scc.virginia.gov/pages/Pipeline-Safety" TargetMode="External"/><Relationship Id="rId46" Type="http://schemas.openxmlformats.org/officeDocument/2006/relationships/hyperlink" Target="https://publicservice.vermont.gov/regulated-utilities/natural-gas" TargetMode="External"/><Relationship Id="rId293" Type="http://schemas.openxmlformats.org/officeDocument/2006/relationships/hyperlink" Target="https://www.oregon.gov/puc/safety/pages/gas-pipeline-safety.aspx" TargetMode="External"/><Relationship Id="rId307" Type="http://schemas.openxmlformats.org/officeDocument/2006/relationships/hyperlink" Target="https://psc.alabama.gov/gas-pipeline-safety/" TargetMode="External"/><Relationship Id="rId349" Type="http://schemas.openxmlformats.org/officeDocument/2006/relationships/hyperlink" Target="https://dps.ny.gov/nys-pipeline-safety-program" TargetMode="External"/><Relationship Id="rId88" Type="http://schemas.openxmlformats.org/officeDocument/2006/relationships/hyperlink" Target="https://oklahoma.gov/occ/divisions/transportation/pipeline-safety.html" TargetMode="External"/><Relationship Id="rId111" Type="http://schemas.openxmlformats.org/officeDocument/2006/relationships/hyperlink" Target="https://dcpsc.org/Utility-Information/Natural-Gas/Natural-Gas-Pipeline-Safety-and-Damage-Prevention.aspx" TargetMode="External"/><Relationship Id="rId153" Type="http://schemas.openxmlformats.org/officeDocument/2006/relationships/hyperlink" Target="https://psc.wyo.gov/pipeline" TargetMode="External"/><Relationship Id="rId195" Type="http://schemas.openxmlformats.org/officeDocument/2006/relationships/hyperlink" Target="https://puc.sd.gov/pipelinesafety/" TargetMode="External"/><Relationship Id="rId209" Type="http://schemas.openxmlformats.org/officeDocument/2006/relationships/hyperlink" Target="https://www.cpuc.ca.gov/regulatory-services/safety/gas-safety-and-reliability-branch" TargetMode="External"/><Relationship Id="rId360" Type="http://schemas.openxmlformats.org/officeDocument/2006/relationships/hyperlink" Target="https://iub.iowa.gov/regulated-industries/pipeline-permits-certifications/pipeline-safety" TargetMode="External"/><Relationship Id="rId416" Type="http://schemas.openxmlformats.org/officeDocument/2006/relationships/hyperlink" Target="https://www.nj.gov/bpu/about/divisions/reliability/" TargetMode="External"/><Relationship Id="rId220" Type="http://schemas.openxmlformats.org/officeDocument/2006/relationships/hyperlink" Target="https://iub.iowa.gov/regulated-industries/pipeline-permits-certifications/pipeline-safety" TargetMode="External"/><Relationship Id="rId15" Type="http://schemas.openxmlformats.org/officeDocument/2006/relationships/hyperlink" Target="https://www.in.gov/iurc/pipeline-safety-division/" TargetMode="External"/><Relationship Id="rId57" Type="http://schemas.openxmlformats.org/officeDocument/2006/relationships/hyperlink" Target="https://osfm.fire.ca.gov/divisions/pipeline-safety-and-cupa/" TargetMode="External"/><Relationship Id="rId262" Type="http://schemas.openxmlformats.org/officeDocument/2006/relationships/hyperlink" Target="https://puc.colorado.gov/gaspipelines" TargetMode="External"/><Relationship Id="rId318" Type="http://schemas.openxmlformats.org/officeDocument/2006/relationships/hyperlink" Target="https://psc.ky.gov/Home/PipelineSafety" TargetMode="External"/><Relationship Id="rId99" Type="http://schemas.openxmlformats.org/officeDocument/2006/relationships/hyperlink" Target="https://www.utc.wa.gov/public-safety/pipeline-safety" TargetMode="External"/><Relationship Id="rId122" Type="http://schemas.openxmlformats.org/officeDocument/2006/relationships/hyperlink" Target="https://www.maine.gov/mpuc/safety/natural-gas-safety" TargetMode="External"/><Relationship Id="rId164" Type="http://schemas.openxmlformats.org/officeDocument/2006/relationships/hyperlink" Target="https://www.psc.state.fl.us/natural-gas" TargetMode="External"/><Relationship Id="rId371" Type="http://schemas.openxmlformats.org/officeDocument/2006/relationships/hyperlink" Target="https://www.scc.virginia.gov/pages/Pipeline-Safety" TargetMode="External"/><Relationship Id="rId26" Type="http://schemas.openxmlformats.org/officeDocument/2006/relationships/hyperlink" Target="https://psc.mo.gov/General/Pipeline_Safety" TargetMode="External"/><Relationship Id="rId231" Type="http://schemas.openxmlformats.org/officeDocument/2006/relationships/hyperlink" Target="https://psc.mt.gov/Public-Safety/Pipeline-Safety" TargetMode="External"/><Relationship Id="rId273" Type="http://schemas.openxmlformats.org/officeDocument/2006/relationships/hyperlink" Target="https://psc.ky.gov/Home/PipelineSafety" TargetMode="External"/><Relationship Id="rId329" Type="http://schemas.openxmlformats.org/officeDocument/2006/relationships/hyperlink" Target="https://ripuc.ri.gov/utility-information/natural-gas/ridpuc-pipeline-safety" TargetMode="External"/><Relationship Id="rId68" Type="http://schemas.openxmlformats.org/officeDocument/2006/relationships/hyperlink" Target="https://www.kcc.ks.gov/natural-gas-pipeline-safety-liquid-pipeline" TargetMode="External"/><Relationship Id="rId133" Type="http://schemas.openxmlformats.org/officeDocument/2006/relationships/hyperlink" Target="https://www.nj.gov/bpu/about/divisions/reliability/" TargetMode="External"/><Relationship Id="rId175" Type="http://schemas.openxmlformats.org/officeDocument/2006/relationships/hyperlink" Target="https://www.mass.gov/orgs/pipeline-safety-division" TargetMode="External"/><Relationship Id="rId340" Type="http://schemas.openxmlformats.org/officeDocument/2006/relationships/hyperlink" Target="https://dcpsc.org/Utility-Information/Natural-Gas/Natural-Gas-Pipeline-Safety-and-Damage-Prevention.aspx" TargetMode="External"/><Relationship Id="rId200" Type="http://schemas.openxmlformats.org/officeDocument/2006/relationships/hyperlink" Target="https://www.scc.virginia.gov/pages/Pipeline-Safety" TargetMode="External"/><Relationship Id="rId382" Type="http://schemas.openxmlformats.org/officeDocument/2006/relationships/hyperlink" Target="https://www.kcc.ks.gov/natural-gas-pipeline-safety-liquid-pipeline" TargetMode="External"/><Relationship Id="rId242" Type="http://schemas.openxmlformats.org/officeDocument/2006/relationships/hyperlink" Target="https://www.oregon.gov/puc/safety/pages/gas-pipeline-safety.aspx" TargetMode="External"/><Relationship Id="rId284" Type="http://schemas.openxmlformats.org/officeDocument/2006/relationships/hyperlink" Target="https://puc.nv.gov/Safety/Pipeline/" TargetMode="External"/><Relationship Id="rId37" Type="http://schemas.openxmlformats.org/officeDocument/2006/relationships/hyperlink" Target="https://oklahoma.gov/occ/divisions/transportation/pipeline-safety.html" TargetMode="External"/><Relationship Id="rId79" Type="http://schemas.openxmlformats.org/officeDocument/2006/relationships/hyperlink" Target="https://sfm.nebraska.gov/fuels-safety/pipeline-safety" TargetMode="External"/><Relationship Id="rId102" Type="http://schemas.openxmlformats.org/officeDocument/2006/relationships/hyperlink" Target="https://psc.wyo.gov/pipeline" TargetMode="External"/><Relationship Id="rId144" Type="http://schemas.openxmlformats.org/officeDocument/2006/relationships/hyperlink" Target="https://puc.sd.gov/pipelinesafety/" TargetMode="External"/><Relationship Id="rId90" Type="http://schemas.openxmlformats.org/officeDocument/2006/relationships/hyperlink" Target="https://www.puc.pa.gov/pipeline-safety/" TargetMode="External"/><Relationship Id="rId186" Type="http://schemas.openxmlformats.org/officeDocument/2006/relationships/hyperlink" Target="https://dps.ny.gov/nys-pipeline-safety-program" TargetMode="External"/><Relationship Id="rId351" Type="http://schemas.openxmlformats.org/officeDocument/2006/relationships/hyperlink" Target="https://oklahoma.gov/occ/divisions/transportation/pipeline-safety.html" TargetMode="External"/><Relationship Id="rId393" Type="http://schemas.openxmlformats.org/officeDocument/2006/relationships/hyperlink" Target="https://www.tn.gov/tpuc/divisions/gas-pipeline-safety-division.html" TargetMode="External"/><Relationship Id="rId407" Type="http://schemas.openxmlformats.org/officeDocument/2006/relationships/hyperlink" Target="https://oklahoma.gov/occ/divisions/transportation/pipeline-safety.html" TargetMode="External"/><Relationship Id="rId211" Type="http://schemas.openxmlformats.org/officeDocument/2006/relationships/hyperlink" Target="https://puc.colorado.gov/gaspipelines" TargetMode="External"/><Relationship Id="rId253" Type="http://schemas.openxmlformats.org/officeDocument/2006/relationships/hyperlink" Target="http://www.psc.state.wv.us/div/gaspipelinesafety.htm" TargetMode="External"/><Relationship Id="rId295" Type="http://schemas.openxmlformats.org/officeDocument/2006/relationships/hyperlink" Target="https://ripuc.ri.gov/utility-information/natural-gas/ridpuc-pipeline-safety" TargetMode="External"/><Relationship Id="rId309" Type="http://schemas.openxmlformats.org/officeDocument/2006/relationships/hyperlink" Target="https://www.cpuc.ca.gov/regulatory-services/safety/gas-safety-and-reliability-branch" TargetMode="External"/><Relationship Id="rId48" Type="http://schemas.openxmlformats.org/officeDocument/2006/relationships/hyperlink" Target="https://www.utc.wa.gov/public-safety/pipeline-safety" TargetMode="External"/><Relationship Id="rId113" Type="http://schemas.openxmlformats.org/officeDocument/2006/relationships/hyperlink" Target="https://www.psc.state.fl.us/natural-gas" TargetMode="External"/><Relationship Id="rId320" Type="http://schemas.openxmlformats.org/officeDocument/2006/relationships/hyperlink" Target="https://www.psc.state.md.us/gas/" TargetMode="External"/><Relationship Id="rId155" Type="http://schemas.openxmlformats.org/officeDocument/2006/relationships/hyperlink" Target="https://www.azcc.gov/safety/pipeline" TargetMode="External"/><Relationship Id="rId197" Type="http://schemas.openxmlformats.org/officeDocument/2006/relationships/hyperlink" Target="https://www.rrc.texas.gov/pipeline-safety/" TargetMode="External"/><Relationship Id="rId362" Type="http://schemas.openxmlformats.org/officeDocument/2006/relationships/hyperlink" Target="https://www.maine.gov/mpuc/safety/natural-gas-safety" TargetMode="External"/><Relationship Id="rId418" Type="http://schemas.openxmlformats.org/officeDocument/2006/relationships/hyperlink" Target="https://www.ncuc.gov/Industries/naturalgas/pipelinesafety.html" TargetMode="External"/><Relationship Id="rId222" Type="http://schemas.openxmlformats.org/officeDocument/2006/relationships/hyperlink" Target="https://psc.ky.gov/Home/PipelineSafety" TargetMode="External"/><Relationship Id="rId264" Type="http://schemas.openxmlformats.org/officeDocument/2006/relationships/hyperlink" Target="https://dcpsc.org/Utility-Information/Natural-Gas/Natural-Gas-Pipeline-Safety-and-Damage-Prevention.asp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dnr.louisiana.gov/index.cfm/page/144" TargetMode="External"/><Relationship Id="rId18" Type="http://schemas.openxmlformats.org/officeDocument/2006/relationships/hyperlink" Target="https://psc.mt.gov/Public-Safety/Pipeline-Safety" TargetMode="External"/><Relationship Id="rId26" Type="http://schemas.openxmlformats.org/officeDocument/2006/relationships/hyperlink" Target="http://www.psc.state.wv.us/div/gaspipelinesafety.htm" TargetMode="External"/><Relationship Id="rId39" Type="http://schemas.openxmlformats.org/officeDocument/2006/relationships/hyperlink" Target="https://www.rrc.texas.gov/pipeline-safety/" TargetMode="External"/><Relationship Id="rId21" Type="http://schemas.openxmlformats.org/officeDocument/2006/relationships/hyperlink" Target="https://ripuc.ri.gov/utility-information/natural-gas/ridpuc-pipeline-safety" TargetMode="External"/><Relationship Id="rId34" Type="http://schemas.openxmlformats.org/officeDocument/2006/relationships/hyperlink" Target="https://dps.ny.gov/nys-pipeline-safety-program" TargetMode="External"/><Relationship Id="rId42" Type="http://schemas.openxmlformats.org/officeDocument/2006/relationships/hyperlink" Target="https://iub.iowa.gov/regulated-industries/pipeline-permits-certifications/pipeline-safety" TargetMode="External"/><Relationship Id="rId47" Type="http://schemas.openxmlformats.org/officeDocument/2006/relationships/hyperlink" Target="https://www.ncuc.gov/Industries/naturalgas/pipelinesafety.html" TargetMode="External"/><Relationship Id="rId50" Type="http://schemas.openxmlformats.org/officeDocument/2006/relationships/hyperlink" Target="https://ors.sc.gov/safety/pipeline-safety" TargetMode="External"/><Relationship Id="rId7" Type="http://schemas.openxmlformats.org/officeDocument/2006/relationships/hyperlink" Target="https://psc.ga.gov/facilities-protection/pipeline-safety/" TargetMode="External"/><Relationship Id="rId2" Type="http://schemas.openxmlformats.org/officeDocument/2006/relationships/hyperlink" Target="https://www.aogc.state.ar.us/" TargetMode="External"/><Relationship Id="rId16" Type="http://schemas.openxmlformats.org/officeDocument/2006/relationships/hyperlink" Target="https://dps.mn.gov/divisions/ops/Pages/default.aspx" TargetMode="External"/><Relationship Id="rId29" Type="http://schemas.openxmlformats.org/officeDocument/2006/relationships/hyperlink" Target="https://puc.colorado.gov/gaspipelines" TargetMode="External"/><Relationship Id="rId11" Type="http://schemas.openxmlformats.org/officeDocument/2006/relationships/hyperlink" Target="https://www.kcc.ks.gov/natural-gas-pipeline-safety-liquid-pipeline" TargetMode="External"/><Relationship Id="rId24" Type="http://schemas.openxmlformats.org/officeDocument/2006/relationships/hyperlink" Target="https://publicservice.vermont.gov/regulated-utilities/natural-gas" TargetMode="External"/><Relationship Id="rId32" Type="http://schemas.openxmlformats.org/officeDocument/2006/relationships/hyperlink" Target="https://www.mass.gov/orgs/pipeline-safety-division" TargetMode="External"/><Relationship Id="rId37" Type="http://schemas.openxmlformats.org/officeDocument/2006/relationships/hyperlink" Target="https://www.oregon.gov/puc/safety/pages/gas-pipeline-safety.aspx" TargetMode="External"/><Relationship Id="rId40" Type="http://schemas.openxmlformats.org/officeDocument/2006/relationships/hyperlink" Target="https://psc.wyo.gov/pipeline" TargetMode="External"/><Relationship Id="rId45" Type="http://schemas.openxmlformats.org/officeDocument/2006/relationships/hyperlink" Target="https://www.nj.gov/bpu/about/divisions/reliability/" TargetMode="External"/><Relationship Id="rId5" Type="http://schemas.openxmlformats.org/officeDocument/2006/relationships/hyperlink" Target="https://depsc.delaware.gov/pipeline-safety-program/" TargetMode="External"/><Relationship Id="rId15" Type="http://schemas.openxmlformats.org/officeDocument/2006/relationships/hyperlink" Target="https://www.michigan.gov/mpsc/regulatory/natural-gas/pipeline-safety" TargetMode="External"/><Relationship Id="rId23" Type="http://schemas.openxmlformats.org/officeDocument/2006/relationships/hyperlink" Target="https://dpu.utah.gov/pipeline-safety/" TargetMode="External"/><Relationship Id="rId28" Type="http://schemas.openxmlformats.org/officeDocument/2006/relationships/hyperlink" Target="https://apsc.arkansas.gov/utilities/pipeline-safety/" TargetMode="External"/><Relationship Id="rId36" Type="http://schemas.openxmlformats.org/officeDocument/2006/relationships/hyperlink" Target="https://oklahoma.gov/occ/divisions/transportation/pipeline-safety.html" TargetMode="External"/><Relationship Id="rId49" Type="http://schemas.openxmlformats.org/officeDocument/2006/relationships/hyperlink" Target="https://www.puc.pa.gov/pipeline-safety/" TargetMode="External"/><Relationship Id="rId10" Type="http://schemas.openxmlformats.org/officeDocument/2006/relationships/hyperlink" Target="https://www.in.gov/iurc/pipeline-safety-division/" TargetMode="External"/><Relationship Id="rId19" Type="http://schemas.openxmlformats.org/officeDocument/2006/relationships/hyperlink" Target="https://sfm.nebraska.gov/fuels-safety/pipeline-safety" TargetMode="External"/><Relationship Id="rId31" Type="http://schemas.openxmlformats.org/officeDocument/2006/relationships/hyperlink" Target="https://dcpsc.org/Utility-Information/Natural-Gas/Natural-Gas-Pipeline-Safety-and-Damage-Prevention.aspx" TargetMode="External"/><Relationship Id="rId44" Type="http://schemas.openxmlformats.org/officeDocument/2006/relationships/hyperlink" Target="https://psc.mo.gov/General/Pipeline_Safety" TargetMode="External"/><Relationship Id="rId4" Type="http://schemas.openxmlformats.org/officeDocument/2006/relationships/hyperlink" Target="https://osfm.fire.ca.gov/divisions/pipeline-safety-and-cupa/" TargetMode="External"/><Relationship Id="rId9" Type="http://schemas.openxmlformats.org/officeDocument/2006/relationships/hyperlink" Target="https://www.icc.illinois.gov/home/illinois-gas-pipeline-safety-program" TargetMode="External"/><Relationship Id="rId14" Type="http://schemas.openxmlformats.org/officeDocument/2006/relationships/hyperlink" Target="https://www.psc.state.md.us/gas/" TargetMode="External"/><Relationship Id="rId22" Type="http://schemas.openxmlformats.org/officeDocument/2006/relationships/hyperlink" Target="https://www.tn.gov/tpuc/divisions/gas-pipeline-safety-division.html" TargetMode="External"/><Relationship Id="rId27" Type="http://schemas.openxmlformats.org/officeDocument/2006/relationships/hyperlink" Target="https://psc.wi.gov/Pages/ServiceType/Energy/PipelineSafetyProgram.aspx" TargetMode="External"/><Relationship Id="rId30" Type="http://schemas.openxmlformats.org/officeDocument/2006/relationships/hyperlink" Target="https://portal.ct.gov/PURA/Gas-Pipeline-Safety/Gas-Pipeline-Safety" TargetMode="External"/><Relationship Id="rId35" Type="http://schemas.openxmlformats.org/officeDocument/2006/relationships/hyperlink" Target="https://psc.nd.gov/jurisdiction/pipelines/index.php" TargetMode="External"/><Relationship Id="rId43" Type="http://schemas.openxmlformats.org/officeDocument/2006/relationships/hyperlink" Target="https://www.maine.gov/mpuc/safety/natural-gas-safety" TargetMode="External"/><Relationship Id="rId48" Type="http://schemas.openxmlformats.org/officeDocument/2006/relationships/hyperlink" Target="https://puco.ohio.gov/utilities/gas/resources/natural-gas-pipeline-safety-in-ohio" TargetMode="External"/><Relationship Id="rId8" Type="http://schemas.openxmlformats.org/officeDocument/2006/relationships/hyperlink" Target="https://puc.idaho.gov/Page/Utility/8" TargetMode="External"/><Relationship Id="rId51" Type="http://schemas.openxmlformats.org/officeDocument/2006/relationships/hyperlink" Target="https://www.scc.virginia.gov/pages/Pipeline-Safety" TargetMode="External"/><Relationship Id="rId3" Type="http://schemas.openxmlformats.org/officeDocument/2006/relationships/hyperlink" Target="https://www.cpuc.ca.gov/regulatory-services/safety/gas-safety-and-reliability-branch" TargetMode="External"/><Relationship Id="rId12" Type="http://schemas.openxmlformats.org/officeDocument/2006/relationships/hyperlink" Target="https://psc.ky.gov/Home/PipelineSafety" TargetMode="External"/><Relationship Id="rId17" Type="http://schemas.openxmlformats.org/officeDocument/2006/relationships/hyperlink" Target="https://www.psc.ms.gov/pipeline/safety" TargetMode="External"/><Relationship Id="rId25" Type="http://schemas.openxmlformats.org/officeDocument/2006/relationships/hyperlink" Target="https://www.utc.wa.gov/public-safety/pipeline-safety" TargetMode="External"/><Relationship Id="rId33" Type="http://schemas.openxmlformats.org/officeDocument/2006/relationships/hyperlink" Target="https://www.energy.nh.gov/enforcement/pipeline-safety" TargetMode="External"/><Relationship Id="rId38" Type="http://schemas.openxmlformats.org/officeDocument/2006/relationships/hyperlink" Target="https://puc.sd.gov/pipelinesafety/" TargetMode="External"/><Relationship Id="rId46" Type="http://schemas.openxmlformats.org/officeDocument/2006/relationships/hyperlink" Target="https://www.prc.nm.gov/transportation/pipeline-safety/" TargetMode="External"/><Relationship Id="rId20" Type="http://schemas.openxmlformats.org/officeDocument/2006/relationships/hyperlink" Target="https://puc.nv.gov/Safety/Pipeline/" TargetMode="External"/><Relationship Id="rId41" Type="http://schemas.openxmlformats.org/officeDocument/2006/relationships/hyperlink" Target="https://www.azcc.gov/safety/pipeline" TargetMode="External"/><Relationship Id="rId1" Type="http://schemas.openxmlformats.org/officeDocument/2006/relationships/hyperlink" Target="https://psc.alabama.gov/gas-pipeline-safety/" TargetMode="External"/><Relationship Id="rId6" Type="http://schemas.openxmlformats.org/officeDocument/2006/relationships/hyperlink" Target="https://www.psc.state.fl.us/natural-g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910D-A672-0349-ABD7-028B9F947926}">
  <sheetPr codeName="Sheet1"/>
  <dimension ref="A1:W198"/>
  <sheetViews>
    <sheetView tabSelected="1" topLeftCell="F1" workbookViewId="0">
      <selection activeCell="M2" sqref="M2"/>
    </sheetView>
  </sheetViews>
  <sheetFormatPr baseColWidth="10" defaultColWidth="14.5" defaultRowHeight="16" x14ac:dyDescent="0.2"/>
  <cols>
    <col min="1" max="1" width="19" style="4" customWidth="1"/>
    <col min="2" max="2" width="9.83203125" style="4" customWidth="1"/>
    <col min="3" max="12" width="10.83203125" style="4" customWidth="1"/>
    <col min="13" max="13" width="17.1640625" style="4" customWidth="1"/>
    <col min="14" max="14" width="14.33203125" style="4" customWidth="1"/>
    <col min="15" max="15" width="15.1640625" style="43" customWidth="1"/>
    <col min="16" max="16" width="8.83203125" style="4" customWidth="1"/>
    <col min="17" max="17" width="47" style="4" customWidth="1"/>
    <col min="18" max="18" width="55.33203125" style="4" customWidth="1"/>
    <col min="19" max="19" width="96.5" style="4" customWidth="1"/>
    <col min="20" max="20" width="29.33203125" style="4" customWidth="1"/>
    <col min="21" max="21" width="57.33203125" style="4" customWidth="1"/>
    <col min="22" max="22" width="47.1640625" style="4" customWidth="1"/>
    <col min="23" max="23" width="60.33203125" style="4" customWidth="1"/>
    <col min="24" max="24" width="162.6640625" style="4" customWidth="1"/>
    <col min="25" max="16384" width="14.5" style="4"/>
  </cols>
  <sheetData>
    <row r="1" spans="1:16" ht="96.75" customHeight="1" thickBo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2" t="s">
        <v>67</v>
      </c>
    </row>
    <row r="2" spans="1:16" ht="17" thickBot="1" x14ac:dyDescent="0.25">
      <c r="A2" s="5" t="s">
        <v>15</v>
      </c>
      <c r="B2" s="6">
        <v>3</v>
      </c>
      <c r="C2" s="6">
        <v>3</v>
      </c>
      <c r="D2" s="6">
        <v>3</v>
      </c>
      <c r="E2" s="6">
        <v>3</v>
      </c>
      <c r="F2" s="6">
        <v>3</v>
      </c>
      <c r="G2" s="6">
        <v>3</v>
      </c>
      <c r="H2" s="6">
        <v>3</v>
      </c>
      <c r="I2" s="6">
        <v>3</v>
      </c>
      <c r="J2" s="6">
        <v>3</v>
      </c>
      <c r="K2" s="6">
        <v>3</v>
      </c>
      <c r="L2" s="6">
        <v>3</v>
      </c>
      <c r="M2" s="6">
        <f>SUM(B2,C2,D2,E2,F2,G2,H2,I2,J2,K2,L2)</f>
        <v>33</v>
      </c>
      <c r="N2" s="7">
        <f>VLOOKUP(A2,'[1]2022 Review w Notes'!A:M, 13,FALSE)</f>
        <v>33</v>
      </c>
      <c r="O2" s="8">
        <f>Table13[[#This Row],[2023 Total Score]]-Table13[[#This Row],[2022]]</f>
        <v>0</v>
      </c>
      <c r="P2" s="46">
        <v>1</v>
      </c>
    </row>
    <row r="3" spans="1:16" ht="17" thickBot="1" x14ac:dyDescent="0.25">
      <c r="A3" s="5" t="s">
        <v>16</v>
      </c>
      <c r="B3" s="9">
        <v>3</v>
      </c>
      <c r="C3" s="9">
        <v>3</v>
      </c>
      <c r="D3" s="9">
        <v>3</v>
      </c>
      <c r="E3" s="9">
        <v>3</v>
      </c>
      <c r="F3" s="9">
        <v>3</v>
      </c>
      <c r="G3" s="9">
        <v>3</v>
      </c>
      <c r="H3" s="9">
        <v>3</v>
      </c>
      <c r="I3" s="9">
        <v>3</v>
      </c>
      <c r="J3" s="9">
        <v>3</v>
      </c>
      <c r="K3" s="9">
        <v>3</v>
      </c>
      <c r="L3" s="9">
        <v>3</v>
      </c>
      <c r="M3" s="9">
        <f>SUM(B3,C3,D3,E3,F3,G3,H3,I3,J3,K3,L3)</f>
        <v>33</v>
      </c>
      <c r="N3" s="7">
        <f>VLOOKUP(A3,'[1]2022 Review w Notes'!A:M, 13,FALSE)</f>
        <v>33</v>
      </c>
      <c r="O3" s="11">
        <f>Table13[[#This Row],[2023 Total Score]]-Table13[[#This Row],[2022]]</f>
        <v>0</v>
      </c>
      <c r="P3" s="46">
        <v>1</v>
      </c>
    </row>
    <row r="4" spans="1:16" ht="17" thickBot="1" x14ac:dyDescent="0.25">
      <c r="A4" s="12" t="s">
        <v>17</v>
      </c>
      <c r="B4" s="9">
        <v>3</v>
      </c>
      <c r="C4" s="9">
        <v>3</v>
      </c>
      <c r="D4" s="9">
        <v>3</v>
      </c>
      <c r="E4" s="9">
        <v>3</v>
      </c>
      <c r="F4" s="9">
        <v>3</v>
      </c>
      <c r="G4" s="9">
        <v>3</v>
      </c>
      <c r="H4" s="9">
        <v>3</v>
      </c>
      <c r="I4" s="9">
        <v>3</v>
      </c>
      <c r="J4" s="9">
        <v>3</v>
      </c>
      <c r="K4" s="9">
        <v>3</v>
      </c>
      <c r="L4" s="9">
        <v>3</v>
      </c>
      <c r="M4" s="9">
        <f>SUM(B4,C4,D4,E4,F4,G4,H4,I4,J4,K4,L4)</f>
        <v>33</v>
      </c>
      <c r="N4" s="7">
        <f>VLOOKUP(A4,'[1]2022 Review w Notes'!A:M, 13,FALSE)</f>
        <v>33</v>
      </c>
      <c r="O4" s="11">
        <f>Table13[[#This Row],[2023 Total Score]]-Table13[[#This Row],[2022]]</f>
        <v>0</v>
      </c>
      <c r="P4" s="46">
        <v>1</v>
      </c>
    </row>
    <row r="5" spans="1:16" ht="17" thickBot="1" x14ac:dyDescent="0.25">
      <c r="A5" s="13" t="s">
        <v>18</v>
      </c>
      <c r="B5" s="14">
        <v>3</v>
      </c>
      <c r="C5" s="15">
        <v>3</v>
      </c>
      <c r="D5" s="15">
        <v>3</v>
      </c>
      <c r="E5" s="15">
        <v>3</v>
      </c>
      <c r="F5" s="15">
        <v>3</v>
      </c>
      <c r="G5" s="15">
        <v>3</v>
      </c>
      <c r="H5" s="15">
        <v>3</v>
      </c>
      <c r="I5" s="15">
        <v>3</v>
      </c>
      <c r="J5" s="15">
        <v>3</v>
      </c>
      <c r="K5" s="15">
        <v>3</v>
      </c>
      <c r="L5" s="15">
        <v>3</v>
      </c>
      <c r="M5" s="15">
        <f>SUM(B5,C5,D5,E5,F5,G5,H5,I5,J5,K5,L5)</f>
        <v>33</v>
      </c>
      <c r="N5" s="16">
        <f>VLOOKUP(A5,'[1]2022 Review w Notes'!A:M, 13,FALSE)</f>
        <v>27</v>
      </c>
      <c r="O5" s="17">
        <f>Table13[[#This Row],[2023 Total Score]]-Table13[[#This Row],[2022]]</f>
        <v>6</v>
      </c>
      <c r="P5" s="46">
        <v>1</v>
      </c>
    </row>
    <row r="6" spans="1:16" s="20" customFormat="1" ht="17" thickBot="1" x14ac:dyDescent="0.25">
      <c r="A6" s="21" t="s">
        <v>20</v>
      </c>
      <c r="B6" s="22">
        <v>3</v>
      </c>
      <c r="C6" s="22">
        <v>3</v>
      </c>
      <c r="D6" s="22">
        <v>3</v>
      </c>
      <c r="E6" s="22">
        <v>3</v>
      </c>
      <c r="F6" s="22">
        <v>3</v>
      </c>
      <c r="G6" s="22">
        <v>3</v>
      </c>
      <c r="H6" s="22">
        <v>3</v>
      </c>
      <c r="I6" s="22">
        <v>3</v>
      </c>
      <c r="J6" s="22">
        <v>3</v>
      </c>
      <c r="K6" s="22">
        <v>3</v>
      </c>
      <c r="L6" s="22">
        <v>3</v>
      </c>
      <c r="M6" s="22">
        <f>SUM(B6,C6,D6,E6,F6,G6,H6,I6,J6,K6,L6)</f>
        <v>33</v>
      </c>
      <c r="N6" s="16">
        <f>VLOOKUP(A6,'[1]2022 Review w Notes'!A:M, 13,FALSE)</f>
        <v>32</v>
      </c>
      <c r="O6" s="17">
        <f>Table13[[#This Row],[2023 Total Score]]-Table13[[#This Row],[2022]]</f>
        <v>1</v>
      </c>
      <c r="P6" s="46">
        <v>5</v>
      </c>
    </row>
    <row r="7" spans="1:16" s="24" customFormat="1" ht="17" thickBot="1" x14ac:dyDescent="0.25">
      <c r="A7" s="12" t="s">
        <v>19</v>
      </c>
      <c r="B7" s="18">
        <v>2</v>
      </c>
      <c r="C7" s="18">
        <v>3</v>
      </c>
      <c r="D7" s="18">
        <v>3</v>
      </c>
      <c r="E7" s="18">
        <v>3</v>
      </c>
      <c r="F7" s="18">
        <v>3</v>
      </c>
      <c r="G7" s="18">
        <v>3</v>
      </c>
      <c r="H7" s="18">
        <v>3</v>
      </c>
      <c r="I7" s="18">
        <v>3</v>
      </c>
      <c r="J7" s="18">
        <v>3</v>
      </c>
      <c r="K7" s="18">
        <v>3</v>
      </c>
      <c r="L7" s="18">
        <v>3</v>
      </c>
      <c r="M7" s="9">
        <f>SUM(B7,C7,D7,E7,F7,G7,H7,I7,J7,K7,L7)</f>
        <v>32</v>
      </c>
      <c r="N7" s="7">
        <f>VLOOKUP(A7,'[1]2022 Review w Notes'!A:M, 13,FALSE)</f>
        <v>32</v>
      </c>
      <c r="O7" s="11">
        <f>Table13[[#This Row],[2023 Total Score]]-Table13[[#This Row],[2022]]</f>
        <v>0</v>
      </c>
      <c r="P7" s="46">
        <v>5</v>
      </c>
    </row>
    <row r="8" spans="1:16" ht="17" thickBot="1" x14ac:dyDescent="0.25">
      <c r="A8" s="5" t="s">
        <v>21</v>
      </c>
      <c r="B8" s="9">
        <v>3</v>
      </c>
      <c r="C8" s="9">
        <v>3</v>
      </c>
      <c r="D8" s="9">
        <v>2</v>
      </c>
      <c r="E8" s="9">
        <v>3</v>
      </c>
      <c r="F8" s="9">
        <v>3</v>
      </c>
      <c r="G8" s="9">
        <v>2</v>
      </c>
      <c r="H8" s="9">
        <v>3</v>
      </c>
      <c r="I8" s="9">
        <v>2</v>
      </c>
      <c r="J8" s="9">
        <v>2</v>
      </c>
      <c r="K8" s="9">
        <v>3</v>
      </c>
      <c r="L8" s="9">
        <v>3</v>
      </c>
      <c r="M8" s="9">
        <f>SUM(B8,C8,D8,E8,F8,G8,H8,I8,J8,K8,L8)</f>
        <v>29</v>
      </c>
      <c r="N8" s="7">
        <f>VLOOKUP(A8,'[1]2022 Review w Notes'!A:M, 13,FALSE)</f>
        <v>29</v>
      </c>
      <c r="O8" s="11">
        <f>Table13[[#This Row],[2023 Total Score]]-Table13[[#This Row],[2022]]</f>
        <v>0</v>
      </c>
      <c r="P8" s="46">
        <v>7</v>
      </c>
    </row>
    <row r="9" spans="1:16" ht="17" thickBot="1" x14ac:dyDescent="0.25">
      <c r="A9" s="12" t="s">
        <v>22</v>
      </c>
      <c r="B9" s="9">
        <v>3</v>
      </c>
      <c r="C9" s="9">
        <v>3</v>
      </c>
      <c r="D9" s="9">
        <v>3</v>
      </c>
      <c r="E9" s="9">
        <v>3</v>
      </c>
      <c r="F9" s="9">
        <v>3</v>
      </c>
      <c r="G9" s="9">
        <v>3</v>
      </c>
      <c r="H9" s="9">
        <v>1</v>
      </c>
      <c r="I9" s="9">
        <v>2</v>
      </c>
      <c r="J9" s="9">
        <v>2</v>
      </c>
      <c r="K9" s="9">
        <v>3</v>
      </c>
      <c r="L9" s="9">
        <v>3</v>
      </c>
      <c r="M9" s="9">
        <f>SUM(B9,C9,D9,E9,F9,G9,H9,I9,J9,K9,L9)</f>
        <v>29</v>
      </c>
      <c r="N9" s="7">
        <f>VLOOKUP(A9,'[1]2022 Review w Notes'!A:M, 13,FALSE)</f>
        <v>29</v>
      </c>
      <c r="O9" s="11">
        <f>Table13[[#This Row],[2023 Total Score]]-Table13[[#This Row],[2022]]</f>
        <v>0</v>
      </c>
      <c r="P9" s="46">
        <v>7</v>
      </c>
    </row>
    <row r="10" spans="1:16" ht="17" thickBot="1" x14ac:dyDescent="0.25">
      <c r="A10" s="25" t="s">
        <v>23</v>
      </c>
      <c r="B10" s="14">
        <v>3</v>
      </c>
      <c r="C10" s="14">
        <v>3</v>
      </c>
      <c r="D10" s="14">
        <v>3</v>
      </c>
      <c r="E10" s="14">
        <v>3</v>
      </c>
      <c r="F10" s="14">
        <v>3</v>
      </c>
      <c r="G10" s="14">
        <v>3</v>
      </c>
      <c r="H10" s="14">
        <v>1</v>
      </c>
      <c r="I10" s="14">
        <v>2</v>
      </c>
      <c r="J10" s="14">
        <v>2</v>
      </c>
      <c r="K10" s="14">
        <v>3</v>
      </c>
      <c r="L10" s="14">
        <v>3</v>
      </c>
      <c r="M10" s="14">
        <f>SUM(B10,C10,D10,E10,F10,G10,H10,I10,J10,K10,L10)</f>
        <v>29</v>
      </c>
      <c r="N10" s="16">
        <f>VLOOKUP(A10,'[1]2022 Review w Notes'!A:M, 13,FALSE)</f>
        <v>29</v>
      </c>
      <c r="O10" s="17">
        <f>Table13[[#This Row],[2023 Total Score]]-Table13[[#This Row],[2022]]</f>
        <v>0</v>
      </c>
      <c r="P10" s="46">
        <v>7</v>
      </c>
    </row>
    <row r="11" spans="1:16" ht="17" thickBot="1" x14ac:dyDescent="0.25">
      <c r="A11" s="21" t="s">
        <v>33</v>
      </c>
      <c r="B11" s="14">
        <v>3</v>
      </c>
      <c r="C11" s="14">
        <v>2</v>
      </c>
      <c r="D11" s="14">
        <v>3</v>
      </c>
      <c r="E11" s="14">
        <v>3</v>
      </c>
      <c r="F11" s="14">
        <v>3</v>
      </c>
      <c r="G11" s="14">
        <v>3</v>
      </c>
      <c r="H11" s="14">
        <v>1</v>
      </c>
      <c r="I11" s="14">
        <v>2</v>
      </c>
      <c r="J11" s="14">
        <v>3</v>
      </c>
      <c r="K11" s="14">
        <v>3</v>
      </c>
      <c r="L11" s="14">
        <v>3</v>
      </c>
      <c r="M11" s="14">
        <f>SUM(B11,C11,D11,E11,F11,G11,H11,I11,J11,K11,L11)</f>
        <v>29</v>
      </c>
      <c r="N11" s="16">
        <f>VLOOKUP(A11,'[1]2022 Review w Notes'!A:M, 13,FALSE)</f>
        <v>22</v>
      </c>
      <c r="O11" s="17">
        <f>Table13[[#This Row],[2023 Total Score]]-Table13[[#This Row],[2022]]</f>
        <v>7</v>
      </c>
      <c r="P11" s="46">
        <v>7</v>
      </c>
    </row>
    <row r="12" spans="1:16" ht="17" thickBot="1" x14ac:dyDescent="0.25">
      <c r="A12" s="26" t="s">
        <v>24</v>
      </c>
      <c r="B12" s="9">
        <v>3</v>
      </c>
      <c r="C12" s="9">
        <v>3</v>
      </c>
      <c r="D12" s="9">
        <v>3</v>
      </c>
      <c r="E12" s="9">
        <v>2</v>
      </c>
      <c r="F12" s="9">
        <v>3</v>
      </c>
      <c r="G12" s="9">
        <v>1</v>
      </c>
      <c r="H12" s="9">
        <v>2</v>
      </c>
      <c r="I12" s="9">
        <v>2</v>
      </c>
      <c r="J12" s="9">
        <v>2</v>
      </c>
      <c r="K12" s="9">
        <v>3</v>
      </c>
      <c r="L12" s="9">
        <v>3</v>
      </c>
      <c r="M12" s="9">
        <f>SUM(B12,C12,D12,E12,F12,G12,H12,I12,J12,K12,L12)</f>
        <v>27</v>
      </c>
      <c r="N12" s="7">
        <f>VLOOKUP(A12,'[1]2022 Review w Notes'!A:M, 13,FALSE)</f>
        <v>28</v>
      </c>
      <c r="O12" s="11">
        <f>Table13[[#This Row],[2023 Total Score]]-Table13[[#This Row],[2022]]</f>
        <v>-1</v>
      </c>
      <c r="P12" s="46">
        <v>11</v>
      </c>
    </row>
    <row r="13" spans="1:16" ht="17" thickBot="1" x14ac:dyDescent="0.25">
      <c r="A13" s="12" t="s">
        <v>25</v>
      </c>
      <c r="B13" s="9">
        <v>3</v>
      </c>
      <c r="C13" s="9">
        <v>3</v>
      </c>
      <c r="D13" s="9">
        <v>3</v>
      </c>
      <c r="E13" s="9">
        <v>3</v>
      </c>
      <c r="F13" s="9">
        <v>3</v>
      </c>
      <c r="G13" s="9">
        <v>2</v>
      </c>
      <c r="H13" s="9">
        <v>1</v>
      </c>
      <c r="I13" s="9">
        <v>2</v>
      </c>
      <c r="J13" s="9">
        <v>2</v>
      </c>
      <c r="K13" s="9">
        <v>3</v>
      </c>
      <c r="L13" s="9">
        <v>1</v>
      </c>
      <c r="M13" s="9">
        <f>SUM(B13,C13,D13,E13,F13,G13,H13,I13,J13,K13,L13)</f>
        <v>26</v>
      </c>
      <c r="N13" s="7">
        <f>VLOOKUP(A13,'[1]2022 Review w Notes'!A:M, 13,FALSE)</f>
        <v>21</v>
      </c>
      <c r="O13" s="11">
        <f>Table13[[#This Row],[2023 Total Score]]-Table13[[#This Row],[2022]]</f>
        <v>5</v>
      </c>
      <c r="P13" s="46">
        <v>12</v>
      </c>
    </row>
    <row r="14" spans="1:16" ht="17" thickBot="1" x14ac:dyDescent="0.25">
      <c r="A14" s="21" t="s">
        <v>26</v>
      </c>
      <c r="B14" s="14">
        <v>3</v>
      </c>
      <c r="C14" s="14">
        <v>3</v>
      </c>
      <c r="D14" s="14">
        <v>3</v>
      </c>
      <c r="E14" s="14">
        <v>3</v>
      </c>
      <c r="F14" s="14">
        <v>3</v>
      </c>
      <c r="G14" s="14">
        <v>2</v>
      </c>
      <c r="H14" s="14">
        <v>1</v>
      </c>
      <c r="I14" s="14">
        <v>2</v>
      </c>
      <c r="J14" s="23">
        <v>2</v>
      </c>
      <c r="K14" s="14">
        <v>3</v>
      </c>
      <c r="L14" s="14">
        <v>1</v>
      </c>
      <c r="M14" s="14">
        <f>SUM(B14,C14,D14,E14,F14,G14,H14,I14,J14,K14,L14)</f>
        <v>26</v>
      </c>
      <c r="N14" s="16">
        <f>VLOOKUP(A14,'[1]2022 Review w Notes'!A:M, 13,FALSE)</f>
        <v>24</v>
      </c>
      <c r="O14" s="17">
        <f>Table13[[#This Row],[2023 Total Score]]-Table13[[#This Row],[2022]]</f>
        <v>2</v>
      </c>
      <c r="P14" s="46">
        <v>12</v>
      </c>
    </row>
    <row r="15" spans="1:16" ht="17" thickBot="1" x14ac:dyDescent="0.25">
      <c r="A15" s="12" t="s">
        <v>27</v>
      </c>
      <c r="B15" s="9">
        <v>3</v>
      </c>
      <c r="C15" s="9">
        <v>3</v>
      </c>
      <c r="D15" s="9">
        <v>3</v>
      </c>
      <c r="E15" s="9">
        <v>3</v>
      </c>
      <c r="F15" s="9">
        <v>3</v>
      </c>
      <c r="G15" s="9">
        <v>3</v>
      </c>
      <c r="H15" s="9">
        <v>0</v>
      </c>
      <c r="I15" s="9">
        <v>2</v>
      </c>
      <c r="J15" s="9">
        <v>2</v>
      </c>
      <c r="K15" s="9">
        <v>3</v>
      </c>
      <c r="L15" s="9">
        <v>1</v>
      </c>
      <c r="M15" s="9">
        <f>SUM(B15,C15,D15,E15,F15,G15,H15,I15,J15,K15,L15)</f>
        <v>26</v>
      </c>
      <c r="N15" s="7">
        <f>VLOOKUP(A15,'[1]2022 Review w Notes'!A:M, 13,FALSE)</f>
        <v>27</v>
      </c>
      <c r="O15" s="11">
        <f>Table13[[#This Row],[2023 Total Score]]-Table13[[#This Row],[2022]]</f>
        <v>-1</v>
      </c>
      <c r="P15" s="46">
        <v>12</v>
      </c>
    </row>
    <row r="16" spans="1:16" ht="17" thickBot="1" x14ac:dyDescent="0.25">
      <c r="A16" s="21" t="s">
        <v>34</v>
      </c>
      <c r="B16" s="48">
        <v>2</v>
      </c>
      <c r="C16" s="48">
        <v>2</v>
      </c>
      <c r="D16" s="48">
        <v>3</v>
      </c>
      <c r="E16" s="48">
        <v>3</v>
      </c>
      <c r="F16" s="48">
        <v>3</v>
      </c>
      <c r="G16" s="48">
        <v>2</v>
      </c>
      <c r="H16" s="48">
        <v>3</v>
      </c>
      <c r="I16" s="48">
        <v>3</v>
      </c>
      <c r="J16" s="48">
        <v>0</v>
      </c>
      <c r="K16" s="48">
        <v>2</v>
      </c>
      <c r="L16" s="48">
        <v>3</v>
      </c>
      <c r="M16" s="48">
        <f>SUM(B16,C16,D16,E16,F16,G16,H16,I16,J16,K16,L16)</f>
        <v>26</v>
      </c>
      <c r="N16" s="16">
        <f>VLOOKUP(A16,'[1]2022 Review w Notes'!A:M, 13,FALSE)</f>
        <v>18</v>
      </c>
      <c r="O16" s="51">
        <f>Table13[[#This Row],[2023 Total Score]]-Table13[[#This Row],[2022]]</f>
        <v>8</v>
      </c>
      <c r="P16" s="46">
        <v>12</v>
      </c>
    </row>
    <row r="17" spans="1:16" ht="17" thickBot="1" x14ac:dyDescent="0.25">
      <c r="A17" s="29" t="s">
        <v>35</v>
      </c>
      <c r="B17" s="47">
        <v>3</v>
      </c>
      <c r="C17" s="47">
        <v>3</v>
      </c>
      <c r="D17" s="47">
        <v>3</v>
      </c>
      <c r="E17" s="47">
        <v>3</v>
      </c>
      <c r="F17" s="47">
        <v>3</v>
      </c>
      <c r="G17" s="47">
        <v>2</v>
      </c>
      <c r="H17" s="47">
        <v>2</v>
      </c>
      <c r="I17" s="47">
        <v>2</v>
      </c>
      <c r="J17" s="47">
        <v>2</v>
      </c>
      <c r="K17" s="47">
        <v>3</v>
      </c>
      <c r="L17" s="47">
        <v>0</v>
      </c>
      <c r="M17" s="49">
        <f>SUM(B17,C17,D17,E17,F17,G17,H17,I17,J17,K17,L17)</f>
        <v>26</v>
      </c>
      <c r="N17" s="30">
        <f>VLOOKUP(A17,'[1]2022 Review w Notes'!A:M, 13,FALSE)</f>
        <v>17</v>
      </c>
      <c r="O17" s="50">
        <f>Table13[[#This Row],[2023 Total Score]]-Table13[[#This Row],[2022]]</f>
        <v>9</v>
      </c>
      <c r="P17" s="46">
        <v>12</v>
      </c>
    </row>
    <row r="18" spans="1:16" ht="17" thickBot="1" x14ac:dyDescent="0.25">
      <c r="A18" s="12" t="s">
        <v>28</v>
      </c>
      <c r="B18" s="9">
        <v>3</v>
      </c>
      <c r="C18" s="9">
        <v>2</v>
      </c>
      <c r="D18" s="9">
        <v>1</v>
      </c>
      <c r="E18" s="9">
        <v>2</v>
      </c>
      <c r="F18" s="9">
        <v>3</v>
      </c>
      <c r="G18" s="9">
        <v>0</v>
      </c>
      <c r="H18" s="9">
        <v>3</v>
      </c>
      <c r="I18" s="9">
        <v>3</v>
      </c>
      <c r="J18" s="9">
        <v>2</v>
      </c>
      <c r="K18" s="9">
        <v>3</v>
      </c>
      <c r="L18" s="9">
        <v>3</v>
      </c>
      <c r="M18" s="9">
        <f>SUM(B18,C18,D18,E18,F18,G18,H18,I18,J18,K18,L18)</f>
        <v>25</v>
      </c>
      <c r="N18" s="7">
        <f>VLOOKUP(A18,'[1]2022 Review w Notes'!A:M, 13,FALSE)</f>
        <v>17</v>
      </c>
      <c r="O18" s="27">
        <f>Table13[[#This Row],[2023 Total Score]]-Table13[[#This Row],[2022]]</f>
        <v>8</v>
      </c>
      <c r="P18" s="46">
        <v>17</v>
      </c>
    </row>
    <row r="19" spans="1:16" ht="17" thickBot="1" x14ac:dyDescent="0.25">
      <c r="A19" s="5" t="s">
        <v>29</v>
      </c>
      <c r="B19" s="9">
        <v>3</v>
      </c>
      <c r="C19" s="9">
        <v>3</v>
      </c>
      <c r="D19" s="9">
        <v>2</v>
      </c>
      <c r="E19" s="9">
        <v>2</v>
      </c>
      <c r="F19" s="9">
        <v>3</v>
      </c>
      <c r="G19" s="9">
        <v>0</v>
      </c>
      <c r="H19" s="9">
        <v>2</v>
      </c>
      <c r="I19" s="9">
        <v>2</v>
      </c>
      <c r="J19" s="9">
        <v>2</v>
      </c>
      <c r="K19" s="9">
        <v>3</v>
      </c>
      <c r="L19" s="9">
        <v>3</v>
      </c>
      <c r="M19" s="9">
        <f>SUM(B19,C19,D19,E19,F19,G19,H19,I19,J19,K19,L19)</f>
        <v>25</v>
      </c>
      <c r="N19" s="7">
        <f>VLOOKUP(A19,'[1]2022 Review w Notes'!A:M, 13,FALSE)</f>
        <v>29</v>
      </c>
      <c r="O19" s="27">
        <f>Table13[[#This Row],[2023 Total Score]]-Table13[[#This Row],[2022]]</f>
        <v>-4</v>
      </c>
      <c r="P19" s="46">
        <v>17</v>
      </c>
    </row>
    <row r="20" spans="1:16" ht="17" thickBot="1" x14ac:dyDescent="0.25">
      <c r="A20" s="12" t="s">
        <v>30</v>
      </c>
      <c r="B20" s="9">
        <v>2</v>
      </c>
      <c r="C20" s="9">
        <v>3</v>
      </c>
      <c r="D20" s="9">
        <v>2</v>
      </c>
      <c r="E20" s="9">
        <v>3</v>
      </c>
      <c r="F20" s="9">
        <v>3</v>
      </c>
      <c r="G20" s="9">
        <v>0</v>
      </c>
      <c r="H20" s="9">
        <v>1</v>
      </c>
      <c r="I20" s="9">
        <v>3</v>
      </c>
      <c r="J20" s="9">
        <v>2</v>
      </c>
      <c r="K20" s="9">
        <v>3</v>
      </c>
      <c r="L20" s="9">
        <v>3</v>
      </c>
      <c r="M20" s="9">
        <f>SUM(B20,C20,D20,E20,F20,G20,H20,I20,J20,K20,L20)</f>
        <v>25</v>
      </c>
      <c r="N20" s="7">
        <f>VLOOKUP(A20,'[1]2022 Review w Notes'!A:M, 13,FALSE)</f>
        <v>27</v>
      </c>
      <c r="O20" s="27">
        <f>Table13[[#This Row],[2023 Total Score]]-Table13[[#This Row],[2022]]</f>
        <v>-2</v>
      </c>
      <c r="P20" s="46">
        <v>17</v>
      </c>
    </row>
    <row r="21" spans="1:16" ht="17" thickBot="1" x14ac:dyDescent="0.25">
      <c r="A21" s="5" t="s">
        <v>31</v>
      </c>
      <c r="B21" s="9">
        <v>2</v>
      </c>
      <c r="C21" s="9">
        <v>2</v>
      </c>
      <c r="D21" s="9">
        <v>3</v>
      </c>
      <c r="E21" s="9">
        <v>3</v>
      </c>
      <c r="F21" s="9">
        <v>3</v>
      </c>
      <c r="G21" s="9">
        <v>3</v>
      </c>
      <c r="H21" s="9">
        <v>2</v>
      </c>
      <c r="I21" s="9">
        <v>1</v>
      </c>
      <c r="J21" s="9">
        <v>2</v>
      </c>
      <c r="K21" s="9">
        <v>0</v>
      </c>
      <c r="L21" s="9">
        <v>3</v>
      </c>
      <c r="M21" s="9">
        <f>SUM(B21,C21,D21,E21,F21,G21,H21,I21,J21,K21,L21)</f>
        <v>24</v>
      </c>
      <c r="N21" s="7">
        <f>VLOOKUP(A21,'[1]2022 Review w Notes'!A:M, 13,FALSE)</f>
        <v>31</v>
      </c>
      <c r="O21" s="27">
        <f>Table13[[#This Row],[2023 Total Score]]-Table13[[#This Row],[2022]]</f>
        <v>-7</v>
      </c>
      <c r="P21" s="46">
        <v>20</v>
      </c>
    </row>
    <row r="22" spans="1:16" ht="17" thickBot="1" x14ac:dyDescent="0.25">
      <c r="A22" s="34" t="s">
        <v>46</v>
      </c>
      <c r="B22" s="35">
        <v>3</v>
      </c>
      <c r="C22" s="35">
        <v>3</v>
      </c>
      <c r="D22" s="35">
        <v>3</v>
      </c>
      <c r="E22" s="35">
        <v>3</v>
      </c>
      <c r="F22" s="35">
        <v>3</v>
      </c>
      <c r="G22" s="35">
        <v>3</v>
      </c>
      <c r="H22" s="35">
        <v>0</v>
      </c>
      <c r="I22" s="35">
        <v>0</v>
      </c>
      <c r="J22" s="35">
        <v>1</v>
      </c>
      <c r="K22" s="35">
        <v>2</v>
      </c>
      <c r="L22" s="35">
        <v>3</v>
      </c>
      <c r="M22" s="35">
        <f>SUM(B22,C22,D22,E22,F22,G22,H22,I22,J22,K22,L22)</f>
        <v>24</v>
      </c>
      <c r="N22" s="36">
        <f>VLOOKUP(A22,'[1]2022 Review w Notes'!A:M, 13,FALSE)</f>
        <v>11</v>
      </c>
      <c r="O22" s="37">
        <f>Table13[[#This Row],[2023 Total Score]]-Table13[[#This Row],[2022]]</f>
        <v>13</v>
      </c>
      <c r="P22" s="46">
        <v>20</v>
      </c>
    </row>
    <row r="23" spans="1:16" s="20" customFormat="1" ht="17" thickBot="1" x14ac:dyDescent="0.25">
      <c r="A23" s="12" t="s">
        <v>32</v>
      </c>
      <c r="B23" s="9">
        <v>2</v>
      </c>
      <c r="C23" s="9">
        <v>3</v>
      </c>
      <c r="D23" s="9">
        <v>2</v>
      </c>
      <c r="E23" s="9">
        <v>3</v>
      </c>
      <c r="F23" s="9">
        <v>3</v>
      </c>
      <c r="G23" s="9">
        <v>3</v>
      </c>
      <c r="H23" s="9">
        <v>0</v>
      </c>
      <c r="I23" s="9">
        <v>2</v>
      </c>
      <c r="J23" s="9">
        <v>2</v>
      </c>
      <c r="K23" s="9">
        <v>3</v>
      </c>
      <c r="L23" s="9">
        <v>0</v>
      </c>
      <c r="M23" s="9">
        <f>SUM(B23,C23,D23,E23,F23,G23,H23,I23,J23,K23,L23)</f>
        <v>23</v>
      </c>
      <c r="N23" s="7">
        <f>VLOOKUP(A23,'[1]2022 Review w Notes'!A:M, 13,FALSE)</f>
        <v>20</v>
      </c>
      <c r="O23" s="27">
        <f>Table13[[#This Row],[2023 Total Score]]-Table13[[#This Row],[2022]]</f>
        <v>3</v>
      </c>
      <c r="P23" s="46">
        <v>22</v>
      </c>
    </row>
    <row r="24" spans="1:16" s="32" customFormat="1" ht="17" thickBot="1" x14ac:dyDescent="0.25">
      <c r="A24" s="12" t="s">
        <v>36</v>
      </c>
      <c r="B24" s="9">
        <v>3</v>
      </c>
      <c r="C24" s="9">
        <v>2</v>
      </c>
      <c r="D24" s="9">
        <v>3</v>
      </c>
      <c r="E24" s="9">
        <v>2</v>
      </c>
      <c r="F24" s="9">
        <v>3</v>
      </c>
      <c r="G24" s="9">
        <v>0</v>
      </c>
      <c r="H24" s="9">
        <v>1</v>
      </c>
      <c r="I24" s="9">
        <v>2</v>
      </c>
      <c r="J24" s="9">
        <v>3</v>
      </c>
      <c r="K24" s="9">
        <v>3</v>
      </c>
      <c r="L24" s="9">
        <v>0</v>
      </c>
      <c r="M24" s="9">
        <f>SUM(B24,C24,D24,E24,F24,G24,H24,I24,J24,K24,L24)</f>
        <v>22</v>
      </c>
      <c r="N24" s="7">
        <f>VLOOKUP(A24,'[1]2022 Review w Notes'!A:M, 13,FALSE)</f>
        <v>22</v>
      </c>
      <c r="O24" s="27">
        <f>Table13[[#This Row],[2023 Total Score]]-Table13[[#This Row],[2022]]</f>
        <v>0</v>
      </c>
      <c r="P24" s="46">
        <v>23</v>
      </c>
    </row>
    <row r="25" spans="1:16" ht="17" thickBot="1" x14ac:dyDescent="0.25">
      <c r="A25" s="12" t="s">
        <v>37</v>
      </c>
      <c r="B25" s="9">
        <v>2</v>
      </c>
      <c r="C25" s="9">
        <v>3</v>
      </c>
      <c r="D25" s="9">
        <v>3</v>
      </c>
      <c r="E25" s="9">
        <v>3</v>
      </c>
      <c r="F25" s="9">
        <v>3</v>
      </c>
      <c r="G25" s="9">
        <v>2</v>
      </c>
      <c r="H25" s="9">
        <v>1</v>
      </c>
      <c r="I25" s="9">
        <v>1</v>
      </c>
      <c r="J25" s="31">
        <v>1</v>
      </c>
      <c r="K25" s="9">
        <v>0</v>
      </c>
      <c r="L25" s="9">
        <v>2</v>
      </c>
      <c r="M25" s="9">
        <f>SUM(B25,C25,D25,E25,F25,G25,H25,I25,J25,K25,L25)</f>
        <v>21</v>
      </c>
      <c r="N25" s="7">
        <f>VLOOKUP(A25,'[1]2022 Review w Notes'!A:M, 13,FALSE)</f>
        <v>21</v>
      </c>
      <c r="O25" s="27">
        <f>Table13[[#This Row],[2023 Total Score]]-Table13[[#This Row],[2022]]</f>
        <v>0</v>
      </c>
      <c r="P25" s="46">
        <v>24</v>
      </c>
    </row>
    <row r="26" spans="1:16" ht="17" thickBot="1" x14ac:dyDescent="0.25">
      <c r="A26" s="12" t="s">
        <v>38</v>
      </c>
      <c r="B26" s="9">
        <v>2</v>
      </c>
      <c r="C26" s="9">
        <v>0</v>
      </c>
      <c r="D26" s="9">
        <v>2</v>
      </c>
      <c r="E26" s="9">
        <v>3</v>
      </c>
      <c r="F26" s="9">
        <v>3</v>
      </c>
      <c r="G26" s="9">
        <v>2</v>
      </c>
      <c r="H26" s="9">
        <v>1</v>
      </c>
      <c r="I26" s="9">
        <v>2</v>
      </c>
      <c r="J26" s="9">
        <v>2</v>
      </c>
      <c r="K26" s="9">
        <v>3</v>
      </c>
      <c r="L26" s="9">
        <v>1</v>
      </c>
      <c r="M26" s="9">
        <f>SUM(B26,C26,D26,E26,F26,G26,H26,I26,J26,K26,L26)</f>
        <v>21</v>
      </c>
      <c r="N26" s="7">
        <f>VLOOKUP(A26,'[1]2022 Review w Notes'!A:M, 13,FALSE)</f>
        <v>22</v>
      </c>
      <c r="O26" s="27">
        <f>Table13[[#This Row],[2023 Total Score]]-Table13[[#This Row],[2022]]</f>
        <v>-1</v>
      </c>
      <c r="P26" s="46">
        <v>24</v>
      </c>
    </row>
    <row r="27" spans="1:16" ht="17" thickBot="1" x14ac:dyDescent="0.25">
      <c r="A27" s="12" t="s">
        <v>51</v>
      </c>
      <c r="B27" s="9">
        <v>2</v>
      </c>
      <c r="C27" s="9">
        <v>0</v>
      </c>
      <c r="D27" s="9">
        <v>3</v>
      </c>
      <c r="E27" s="9">
        <v>3</v>
      </c>
      <c r="F27" s="9">
        <v>3</v>
      </c>
      <c r="G27" s="9">
        <v>2</v>
      </c>
      <c r="H27" s="9">
        <v>1</v>
      </c>
      <c r="I27" s="9">
        <v>2</v>
      </c>
      <c r="J27" s="9">
        <v>2</v>
      </c>
      <c r="K27" s="9">
        <v>3</v>
      </c>
      <c r="L27" s="9">
        <v>0</v>
      </c>
      <c r="M27" s="9">
        <f>SUM(B27,C27,D27,E27,F27,G27,H27,I27,J27,K27,L27)</f>
        <v>21</v>
      </c>
      <c r="N27" s="7">
        <f>VLOOKUP(A27,'[1]2022 Review w Notes'!A:M, 13,FALSE)</f>
        <v>20</v>
      </c>
      <c r="O27" s="27">
        <f>Table13[[#This Row],[2023 Total Score]]-Table13[[#This Row],[2022]]</f>
        <v>1</v>
      </c>
      <c r="P27" s="46">
        <v>24</v>
      </c>
    </row>
    <row r="28" spans="1:16" s="20" customFormat="1" ht="17" thickBot="1" x14ac:dyDescent="0.25">
      <c r="A28" s="12" t="s">
        <v>39</v>
      </c>
      <c r="B28" s="9">
        <v>2</v>
      </c>
      <c r="C28" s="9">
        <v>3</v>
      </c>
      <c r="D28" s="9">
        <v>2</v>
      </c>
      <c r="E28" s="9">
        <v>2</v>
      </c>
      <c r="F28" s="9">
        <v>3</v>
      </c>
      <c r="G28" s="9">
        <v>2</v>
      </c>
      <c r="H28" s="9">
        <v>1</v>
      </c>
      <c r="I28" s="9">
        <v>2</v>
      </c>
      <c r="J28" s="18">
        <v>0</v>
      </c>
      <c r="K28" s="9">
        <v>3</v>
      </c>
      <c r="L28" s="9">
        <v>0</v>
      </c>
      <c r="M28" s="9">
        <f>SUM(B28,C28,D28,E28,F28,G28,H28,I28,J28,K28,L28)</f>
        <v>20</v>
      </c>
      <c r="N28" s="7">
        <f>VLOOKUP(A28,'[1]2022 Review w Notes'!A:M, 13,FALSE)</f>
        <v>22</v>
      </c>
      <c r="O28" s="27">
        <f>Table13[[#This Row],[2023 Total Score]]-Table13[[#This Row],[2022]]</f>
        <v>-2</v>
      </c>
      <c r="P28" s="46">
        <v>27</v>
      </c>
    </row>
    <row r="29" spans="1:16" s="20" customFormat="1" ht="17" thickBot="1" x14ac:dyDescent="0.25">
      <c r="A29" s="33" t="s">
        <v>40</v>
      </c>
      <c r="B29" s="9">
        <v>2</v>
      </c>
      <c r="C29" s="9">
        <v>1</v>
      </c>
      <c r="D29" s="9">
        <v>3</v>
      </c>
      <c r="E29" s="9">
        <v>3</v>
      </c>
      <c r="F29" s="9">
        <v>3</v>
      </c>
      <c r="G29" s="9">
        <v>0</v>
      </c>
      <c r="H29" s="9">
        <v>1</v>
      </c>
      <c r="I29" s="9">
        <v>2</v>
      </c>
      <c r="J29" s="9">
        <v>2</v>
      </c>
      <c r="K29" s="9">
        <v>3</v>
      </c>
      <c r="L29" s="9">
        <v>0</v>
      </c>
      <c r="M29" s="9">
        <f>SUM(B29,C29,D29,E29,F29,G29,H29,I29,J29,K29,L29)</f>
        <v>20</v>
      </c>
      <c r="N29" s="7">
        <f>VLOOKUP(A29,'[1]2022 Review w Notes'!A:M, 13,FALSE)</f>
        <v>21</v>
      </c>
      <c r="O29" s="27">
        <f>Table13[[#This Row],[2023 Total Score]]-Table13[[#This Row],[2022]]</f>
        <v>-1</v>
      </c>
      <c r="P29" s="46">
        <v>27</v>
      </c>
    </row>
    <row r="30" spans="1:16" ht="17" thickBot="1" x14ac:dyDescent="0.25">
      <c r="A30" s="5" t="s">
        <v>41</v>
      </c>
      <c r="B30" s="9">
        <v>2</v>
      </c>
      <c r="C30" s="9">
        <v>3</v>
      </c>
      <c r="D30" s="9">
        <v>1</v>
      </c>
      <c r="E30" s="9">
        <v>2</v>
      </c>
      <c r="F30" s="9">
        <v>3</v>
      </c>
      <c r="G30" s="9">
        <v>0</v>
      </c>
      <c r="H30" s="9">
        <v>1</v>
      </c>
      <c r="I30" s="9">
        <v>2</v>
      </c>
      <c r="J30" s="9">
        <v>2</v>
      </c>
      <c r="K30" s="9">
        <v>3</v>
      </c>
      <c r="L30" s="9">
        <v>0</v>
      </c>
      <c r="M30" s="9">
        <f>SUM(B30,C30,D30,E30,F30,G30,H30,I30,J30,K30,L30)</f>
        <v>19</v>
      </c>
      <c r="N30" s="7">
        <f>VLOOKUP(A30,'[1]2022 Review w Notes'!A:M, 13,FALSE)</f>
        <v>20</v>
      </c>
      <c r="O30" s="27">
        <f>Table13[[#This Row],[2023 Total Score]]-Table13[[#This Row],[2022]]</f>
        <v>-1</v>
      </c>
      <c r="P30" s="46">
        <v>29</v>
      </c>
    </row>
    <row r="31" spans="1:16" ht="17" thickBot="1" x14ac:dyDescent="0.25">
      <c r="A31" s="5" t="s">
        <v>42</v>
      </c>
      <c r="B31" s="9">
        <v>3</v>
      </c>
      <c r="C31" s="9">
        <v>0</v>
      </c>
      <c r="D31" s="9">
        <v>1</v>
      </c>
      <c r="E31" s="9">
        <v>3</v>
      </c>
      <c r="F31" s="9">
        <v>3</v>
      </c>
      <c r="G31" s="9">
        <v>0</v>
      </c>
      <c r="H31" s="9">
        <v>0</v>
      </c>
      <c r="I31" s="9">
        <v>2</v>
      </c>
      <c r="J31" s="9">
        <v>2</v>
      </c>
      <c r="K31" s="9">
        <v>3</v>
      </c>
      <c r="L31" s="9">
        <v>2</v>
      </c>
      <c r="M31" s="9">
        <f>SUM(B31,C31,D31,E31,F31,G31,H31,I31,J31,K31,L31)</f>
        <v>19</v>
      </c>
      <c r="N31" s="7">
        <f>VLOOKUP(A31,'[1]2022 Review w Notes'!A:M, 13,FALSE)</f>
        <v>19</v>
      </c>
      <c r="O31" s="27">
        <f>Table13[[#This Row],[2023 Total Score]]-Table13[[#This Row],[2022]]</f>
        <v>0</v>
      </c>
      <c r="P31" s="46">
        <v>29</v>
      </c>
    </row>
    <row r="32" spans="1:16" ht="17" thickBot="1" x14ac:dyDescent="0.25">
      <c r="A32" s="12" t="s">
        <v>43</v>
      </c>
      <c r="B32" s="9">
        <v>3</v>
      </c>
      <c r="C32" s="9">
        <v>3</v>
      </c>
      <c r="D32" s="9">
        <v>1</v>
      </c>
      <c r="E32" s="9">
        <v>1</v>
      </c>
      <c r="F32" s="9">
        <v>3</v>
      </c>
      <c r="G32" s="9">
        <v>0</v>
      </c>
      <c r="H32" s="9">
        <v>1</v>
      </c>
      <c r="I32" s="9">
        <v>2</v>
      </c>
      <c r="J32" s="9">
        <v>2</v>
      </c>
      <c r="K32" s="9">
        <v>3</v>
      </c>
      <c r="L32" s="9">
        <v>0</v>
      </c>
      <c r="M32" s="9">
        <f>SUM(B32,C32,D32,E32,F32,G32,H32,I32,J32,K32,L32)</f>
        <v>19</v>
      </c>
      <c r="N32" s="7">
        <f>VLOOKUP(A32,'[1]2022 Review w Notes'!A:M, 13,FALSE)</f>
        <v>17</v>
      </c>
      <c r="O32" s="27">
        <f>Table13[[#This Row],[2023 Total Score]]-Table13[[#This Row],[2022]]</f>
        <v>2</v>
      </c>
      <c r="P32" s="46">
        <v>29</v>
      </c>
    </row>
    <row r="33" spans="1:23" s="20" customFormat="1" ht="17" thickBot="1" x14ac:dyDescent="0.25">
      <c r="A33" s="12" t="s">
        <v>44</v>
      </c>
      <c r="B33" s="9">
        <v>3</v>
      </c>
      <c r="C33" s="9">
        <v>3</v>
      </c>
      <c r="D33" s="9">
        <v>2</v>
      </c>
      <c r="E33" s="9">
        <v>3</v>
      </c>
      <c r="F33" s="9">
        <v>0</v>
      </c>
      <c r="G33" s="9">
        <v>1</v>
      </c>
      <c r="H33" s="9">
        <v>0</v>
      </c>
      <c r="I33" s="9">
        <v>2</v>
      </c>
      <c r="J33" s="9">
        <v>2</v>
      </c>
      <c r="K33" s="9">
        <v>3</v>
      </c>
      <c r="L33" s="9">
        <v>0</v>
      </c>
      <c r="M33" s="9">
        <f>SUM(B33,C33,D33,E33,F33,G33,H33,I33,J33,K33,L33)</f>
        <v>19</v>
      </c>
      <c r="N33" s="7">
        <f>VLOOKUP(A33,'[1]2022 Review w Notes'!A:M, 13,FALSE)</f>
        <v>18</v>
      </c>
      <c r="O33" s="27">
        <f>Table13[[#This Row],[2023 Total Score]]-Table13[[#This Row],[2022]]</f>
        <v>1</v>
      </c>
      <c r="P33" s="46">
        <v>29</v>
      </c>
    </row>
    <row r="34" spans="1:23" ht="17" thickBot="1" x14ac:dyDescent="0.25">
      <c r="A34" s="12" t="s">
        <v>45</v>
      </c>
      <c r="B34" s="9">
        <v>2</v>
      </c>
      <c r="C34" s="10">
        <v>3</v>
      </c>
      <c r="D34" s="10">
        <v>3</v>
      </c>
      <c r="E34" s="10">
        <v>2</v>
      </c>
      <c r="F34" s="10">
        <v>3</v>
      </c>
      <c r="G34" s="10">
        <v>2</v>
      </c>
      <c r="H34" s="10">
        <v>3</v>
      </c>
      <c r="I34" s="10">
        <v>0</v>
      </c>
      <c r="J34" s="10">
        <v>0</v>
      </c>
      <c r="K34" s="10">
        <v>0</v>
      </c>
      <c r="L34" s="10">
        <v>0</v>
      </c>
      <c r="M34" s="10">
        <f>SUM(B34,C34,D34,E34,F34,G34,H34,I34,J34,K34,L34)</f>
        <v>18</v>
      </c>
      <c r="N34" s="7">
        <f>VLOOKUP(A34,'[1]2022 Review w Notes'!A:M, 13,FALSE)</f>
        <v>12</v>
      </c>
      <c r="O34" s="27">
        <f>Table13[[#This Row],[2023 Total Score]]-Table13[[#This Row],[2022]]</f>
        <v>6</v>
      </c>
      <c r="P34" s="46">
        <v>33</v>
      </c>
    </row>
    <row r="35" spans="1:23" ht="17" thickBot="1" x14ac:dyDescent="0.25">
      <c r="A35" s="25" t="s">
        <v>47</v>
      </c>
      <c r="B35" s="14">
        <v>2</v>
      </c>
      <c r="C35" s="14">
        <v>3</v>
      </c>
      <c r="D35" s="14">
        <v>1</v>
      </c>
      <c r="E35" s="14">
        <v>2</v>
      </c>
      <c r="F35" s="14">
        <v>3</v>
      </c>
      <c r="G35" s="14">
        <v>0</v>
      </c>
      <c r="H35" s="14">
        <v>0</v>
      </c>
      <c r="I35" s="14">
        <v>2</v>
      </c>
      <c r="J35" s="14">
        <v>2</v>
      </c>
      <c r="K35" s="14">
        <v>3</v>
      </c>
      <c r="L35" s="14">
        <v>0</v>
      </c>
      <c r="M35" s="14">
        <f>SUM(B35,C35,D35,E35,F35,G35,H35,I35,J35,K35,L35)</f>
        <v>18</v>
      </c>
      <c r="N35" s="16">
        <f>VLOOKUP(A35,'[1]2022 Review w Notes'!A:M, 13,FALSE)</f>
        <v>18</v>
      </c>
      <c r="O35" s="28">
        <f>Table13[[#This Row],[2023 Total Score]]-Table13[[#This Row],[2022]]</f>
        <v>0</v>
      </c>
      <c r="P35" s="46">
        <v>33</v>
      </c>
      <c r="Q35" s="19"/>
      <c r="R35" s="19"/>
      <c r="S35" s="19"/>
      <c r="T35" s="19"/>
      <c r="U35" s="19"/>
      <c r="V35" s="19"/>
      <c r="W35" s="19"/>
    </row>
    <row r="36" spans="1:23" ht="17" thickBot="1" x14ac:dyDescent="0.25">
      <c r="A36" s="12" t="s">
        <v>48</v>
      </c>
      <c r="B36" s="9">
        <v>3</v>
      </c>
      <c r="C36" s="9">
        <v>0</v>
      </c>
      <c r="D36" s="9">
        <v>2</v>
      </c>
      <c r="E36" s="9">
        <v>2</v>
      </c>
      <c r="F36" s="9">
        <v>3</v>
      </c>
      <c r="G36" s="9">
        <v>2</v>
      </c>
      <c r="H36" s="9">
        <v>0</v>
      </c>
      <c r="I36" s="9">
        <v>2</v>
      </c>
      <c r="J36" s="9">
        <v>1</v>
      </c>
      <c r="K36" s="9">
        <v>2</v>
      </c>
      <c r="L36" s="9">
        <v>0</v>
      </c>
      <c r="M36" s="9">
        <f>SUM(B36,C36,D36,E36,F36,G36,H36,I36,J36,K36,L36)</f>
        <v>17</v>
      </c>
      <c r="N36" s="7">
        <f>VLOOKUP(A36,'[1]2022 Review w Notes'!A:M, 13,FALSE)</f>
        <v>17</v>
      </c>
      <c r="O36" s="27">
        <f>Table13[[#This Row],[2023 Total Score]]-Table13[[#This Row],[2022]]</f>
        <v>0</v>
      </c>
      <c r="P36" s="46">
        <v>35</v>
      </c>
      <c r="Q36" s="19"/>
      <c r="R36" s="19"/>
      <c r="S36" s="19"/>
      <c r="T36" s="19"/>
      <c r="U36" s="19"/>
      <c r="V36" s="19"/>
      <c r="W36" s="19"/>
    </row>
    <row r="37" spans="1:23" ht="17" thickBot="1" x14ac:dyDescent="0.25">
      <c r="A37" s="12" t="s">
        <v>49</v>
      </c>
      <c r="B37" s="9">
        <v>2</v>
      </c>
      <c r="C37" s="9">
        <v>2</v>
      </c>
      <c r="D37" s="9">
        <v>1</v>
      </c>
      <c r="E37" s="9">
        <v>1</v>
      </c>
      <c r="F37" s="9">
        <v>3</v>
      </c>
      <c r="G37" s="9">
        <v>1</v>
      </c>
      <c r="H37" s="9">
        <v>0</v>
      </c>
      <c r="I37" s="9">
        <v>2</v>
      </c>
      <c r="J37" s="9">
        <v>2</v>
      </c>
      <c r="K37" s="9">
        <v>3</v>
      </c>
      <c r="L37" s="9">
        <v>0</v>
      </c>
      <c r="M37" s="9">
        <f>SUM(B37,C37,D37,E37,F37,G37,H37,I37,J37,K37,L37)</f>
        <v>17</v>
      </c>
      <c r="N37" s="7">
        <f>VLOOKUP(A37,'[1]2022 Review w Notes'!A:M, 13,FALSE)</f>
        <v>17</v>
      </c>
      <c r="O37" s="27">
        <f>Table13[[#This Row],[2023 Total Score]]-Table13[[#This Row],[2022]]</f>
        <v>0</v>
      </c>
      <c r="P37" s="46">
        <v>35</v>
      </c>
      <c r="Q37" s="19"/>
      <c r="R37" s="19"/>
      <c r="S37" s="19"/>
      <c r="T37" s="19"/>
      <c r="U37" s="19"/>
      <c r="V37" s="19"/>
      <c r="W37" s="19"/>
    </row>
    <row r="38" spans="1:23" ht="17" thickBot="1" x14ac:dyDescent="0.25">
      <c r="A38" s="12" t="s">
        <v>50</v>
      </c>
      <c r="B38" s="9">
        <v>3</v>
      </c>
      <c r="C38" s="9">
        <v>3</v>
      </c>
      <c r="D38" s="9">
        <v>0</v>
      </c>
      <c r="E38" s="9">
        <v>2</v>
      </c>
      <c r="F38" s="9">
        <v>0</v>
      </c>
      <c r="G38" s="9">
        <v>0</v>
      </c>
      <c r="H38" s="9">
        <v>1</v>
      </c>
      <c r="I38" s="9">
        <v>2</v>
      </c>
      <c r="J38" s="9">
        <v>2</v>
      </c>
      <c r="K38" s="9">
        <v>2</v>
      </c>
      <c r="L38" s="9">
        <v>0</v>
      </c>
      <c r="M38" s="9">
        <f>SUM(B38,C38,D38,E38,F38,G38,H38,I38,J38,K38,L38)</f>
        <v>15</v>
      </c>
      <c r="N38" s="7">
        <f>VLOOKUP(A38,'[1]2022 Review w Notes'!A:M, 13,FALSE)</f>
        <v>13</v>
      </c>
      <c r="O38" s="27">
        <f>Table13[[#This Row],[2023 Total Score]]-Table13[[#This Row],[2022]]</f>
        <v>2</v>
      </c>
      <c r="P38" s="46">
        <v>37</v>
      </c>
      <c r="Q38" s="38"/>
      <c r="R38" s="38"/>
      <c r="S38" s="38"/>
      <c r="T38" s="38"/>
      <c r="U38" s="38"/>
      <c r="V38" s="38"/>
      <c r="W38" s="38"/>
    </row>
    <row r="39" spans="1:23" ht="17" thickBot="1" x14ac:dyDescent="0.25">
      <c r="A39" s="5" t="s">
        <v>52</v>
      </c>
      <c r="B39" s="9">
        <v>3</v>
      </c>
      <c r="C39" s="9">
        <v>3</v>
      </c>
      <c r="D39" s="9">
        <v>1</v>
      </c>
      <c r="E39" s="9">
        <v>0</v>
      </c>
      <c r="F39" s="9">
        <v>3</v>
      </c>
      <c r="G39" s="9">
        <v>1</v>
      </c>
      <c r="H39" s="9">
        <v>0</v>
      </c>
      <c r="I39" s="9">
        <v>0</v>
      </c>
      <c r="J39" s="9">
        <v>2</v>
      </c>
      <c r="K39" s="9">
        <v>0</v>
      </c>
      <c r="L39" s="9">
        <v>0</v>
      </c>
      <c r="M39" s="9">
        <f>SUM(B39,C39,D39,E39,F39,G39,H39,I39,J39,K39,L39)</f>
        <v>13</v>
      </c>
      <c r="N39" s="7">
        <f>VLOOKUP(A39,'[1]2022 Review w Notes'!A:M, 13,FALSE)</f>
        <v>11</v>
      </c>
      <c r="O39" s="27">
        <f>Table13[[#This Row],[2023 Total Score]]-Table13[[#This Row],[2022]]</f>
        <v>2</v>
      </c>
      <c r="P39" s="46">
        <v>38</v>
      </c>
      <c r="Q39" s="38"/>
      <c r="R39" s="38"/>
      <c r="S39" s="38"/>
      <c r="T39" s="38"/>
      <c r="U39" s="38"/>
      <c r="V39" s="38"/>
      <c r="W39" s="38"/>
    </row>
    <row r="40" spans="1:23" ht="17" thickBot="1" x14ac:dyDescent="0.25">
      <c r="A40" s="12" t="s">
        <v>53</v>
      </c>
      <c r="B40" s="9">
        <v>2</v>
      </c>
      <c r="C40" s="9">
        <v>0</v>
      </c>
      <c r="D40" s="9">
        <v>1</v>
      </c>
      <c r="E40" s="9">
        <v>3</v>
      </c>
      <c r="F40" s="9">
        <v>3</v>
      </c>
      <c r="G40" s="9">
        <v>0</v>
      </c>
      <c r="H40" s="9">
        <v>1</v>
      </c>
      <c r="I40" s="9">
        <v>1</v>
      </c>
      <c r="J40" s="9">
        <v>1</v>
      </c>
      <c r="K40" s="9">
        <v>0</v>
      </c>
      <c r="L40" s="9">
        <v>1</v>
      </c>
      <c r="M40" s="9">
        <f>SUM(B40,C40,D40,E40,F40,G40,H40,I40,J40,K40,L40)</f>
        <v>13</v>
      </c>
      <c r="N40" s="7">
        <f>VLOOKUP(A40,'[1]2022 Review w Notes'!A:M, 13,FALSE)</f>
        <v>11</v>
      </c>
      <c r="O40" s="27">
        <f>Table13[[#This Row],[2023 Total Score]]-Table13[[#This Row],[2022]]</f>
        <v>2</v>
      </c>
      <c r="P40" s="46">
        <v>38</v>
      </c>
      <c r="Q40" s="38"/>
      <c r="R40" s="38"/>
      <c r="S40" s="38"/>
      <c r="T40" s="38"/>
      <c r="U40" s="38"/>
      <c r="V40" s="38"/>
      <c r="W40" s="38"/>
    </row>
    <row r="41" spans="1:23" ht="17" thickBot="1" x14ac:dyDescent="0.25">
      <c r="A41" s="12" t="s">
        <v>54</v>
      </c>
      <c r="B41" s="9">
        <v>2</v>
      </c>
      <c r="C41" s="9">
        <v>3</v>
      </c>
      <c r="D41" s="9">
        <v>1</v>
      </c>
      <c r="E41" s="9">
        <v>3</v>
      </c>
      <c r="F41" s="9">
        <v>0</v>
      </c>
      <c r="G41" s="9">
        <v>0</v>
      </c>
      <c r="H41" s="9">
        <v>1</v>
      </c>
      <c r="I41" s="9">
        <v>1</v>
      </c>
      <c r="J41" s="9">
        <v>0</v>
      </c>
      <c r="K41" s="39">
        <v>0</v>
      </c>
      <c r="L41" s="9">
        <v>0</v>
      </c>
      <c r="M41" s="9">
        <f>SUM(B41,C41,D41,E41,F41,G41,H41,I41,J41,K41,L41)</f>
        <v>11</v>
      </c>
      <c r="N41" s="7">
        <f>VLOOKUP(A41,'[1]2022 Review w Notes'!A:M, 13,FALSE)</f>
        <v>14</v>
      </c>
      <c r="O41" s="27">
        <f>Table13[[#This Row],[2023 Total Score]]-Table13[[#This Row],[2022]]</f>
        <v>-3</v>
      </c>
      <c r="P41" s="46">
        <v>40</v>
      </c>
    </row>
    <row r="42" spans="1:23" ht="17" thickBot="1" x14ac:dyDescent="0.25">
      <c r="A42" s="12" t="s">
        <v>55</v>
      </c>
      <c r="B42" s="9">
        <v>2</v>
      </c>
      <c r="C42" s="9">
        <v>2</v>
      </c>
      <c r="D42" s="9">
        <v>2</v>
      </c>
      <c r="E42" s="9">
        <v>1</v>
      </c>
      <c r="F42" s="9">
        <v>3</v>
      </c>
      <c r="G42" s="9">
        <v>1</v>
      </c>
      <c r="H42" s="9">
        <v>0</v>
      </c>
      <c r="I42" s="9">
        <v>0</v>
      </c>
      <c r="J42" s="9">
        <v>0</v>
      </c>
      <c r="K42" s="9">
        <v>0</v>
      </c>
      <c r="L42" s="9">
        <v>0</v>
      </c>
      <c r="M42" s="9">
        <f>SUM(B42,C42,D42,E42,F42,G42,H42,I42,J42,K42,L42)</f>
        <v>11</v>
      </c>
      <c r="N42" s="7">
        <f>VLOOKUP(A42,'[1]2022 Review w Notes'!A:M, 13,FALSE)</f>
        <v>11</v>
      </c>
      <c r="O42" s="27">
        <f>Table13[[#This Row],[2023 Total Score]]-Table13[[#This Row],[2022]]</f>
        <v>0</v>
      </c>
      <c r="P42" s="46">
        <v>40</v>
      </c>
      <c r="Q42" s="38"/>
      <c r="R42" s="38"/>
      <c r="S42" s="38"/>
      <c r="T42" s="38"/>
      <c r="U42" s="38"/>
      <c r="V42" s="38"/>
      <c r="W42" s="38"/>
    </row>
    <row r="43" spans="1:23" ht="21" customHeight="1" thickBot="1" x14ac:dyDescent="0.25">
      <c r="A43" s="12" t="s">
        <v>56</v>
      </c>
      <c r="B43" s="9">
        <v>2</v>
      </c>
      <c r="C43" s="9">
        <v>0</v>
      </c>
      <c r="D43" s="9">
        <v>0</v>
      </c>
      <c r="E43" s="9">
        <v>1</v>
      </c>
      <c r="F43" s="9">
        <v>0</v>
      </c>
      <c r="G43" s="9">
        <v>1</v>
      </c>
      <c r="H43" s="9">
        <v>0</v>
      </c>
      <c r="I43" s="9">
        <v>2</v>
      </c>
      <c r="J43" s="9">
        <v>2</v>
      </c>
      <c r="K43" s="9">
        <v>3</v>
      </c>
      <c r="L43" s="9">
        <v>0</v>
      </c>
      <c r="M43" s="9">
        <f>SUM(B43,C43,D43,E43,F43,G43,H43,I43,J43,K43,L43)</f>
        <v>11</v>
      </c>
      <c r="N43" s="7">
        <f>VLOOKUP(A43,'[1]2022 Review w Notes'!A:M, 13,FALSE)</f>
        <v>14</v>
      </c>
      <c r="O43" s="27">
        <f>Table13[[#This Row],[2023 Total Score]]-Table13[[#This Row],[2022]]</f>
        <v>-3</v>
      </c>
      <c r="P43" s="46">
        <v>40</v>
      </c>
      <c r="Q43" s="38"/>
      <c r="R43" s="38"/>
      <c r="S43" s="38"/>
      <c r="T43" s="38"/>
      <c r="U43" s="38"/>
      <c r="V43" s="38"/>
      <c r="W43" s="38"/>
    </row>
    <row r="44" spans="1:23" ht="17" thickBot="1" x14ac:dyDescent="0.25">
      <c r="A44" s="33" t="s">
        <v>57</v>
      </c>
      <c r="B44" s="9">
        <v>3</v>
      </c>
      <c r="C44" s="9">
        <v>2</v>
      </c>
      <c r="D44" s="9">
        <v>1</v>
      </c>
      <c r="E44" s="9">
        <v>2</v>
      </c>
      <c r="F44" s="9">
        <v>0</v>
      </c>
      <c r="G44" s="9">
        <v>0</v>
      </c>
      <c r="H44" s="9">
        <v>1</v>
      </c>
      <c r="I44" s="9">
        <v>0</v>
      </c>
      <c r="J44" s="9">
        <v>0</v>
      </c>
      <c r="K44" s="9">
        <v>0</v>
      </c>
      <c r="L44" s="9">
        <v>0</v>
      </c>
      <c r="M44" s="9">
        <f>SUM(B44,C44,D44,E44,F44,G44,H44,I44,J44,K44,L44)</f>
        <v>9</v>
      </c>
      <c r="N44" s="7">
        <f>VLOOKUP(A44,'[1]2022 Review w Notes'!A:M, 13,FALSE)</f>
        <v>10</v>
      </c>
      <c r="O44" s="27">
        <f>Table13[[#This Row],[2023 Total Score]]-Table13[[#This Row],[2022]]</f>
        <v>-1</v>
      </c>
      <c r="P44" s="46">
        <v>43</v>
      </c>
      <c r="Q44" s="38"/>
      <c r="R44" s="38"/>
      <c r="S44" s="38"/>
      <c r="T44" s="38"/>
      <c r="U44" s="38"/>
      <c r="V44" s="38"/>
      <c r="W44" s="38"/>
    </row>
    <row r="45" spans="1:23" s="20" customFormat="1" ht="17" thickBot="1" x14ac:dyDescent="0.25">
      <c r="A45" s="12" t="s">
        <v>58</v>
      </c>
      <c r="B45" s="9">
        <v>3</v>
      </c>
      <c r="C45" s="9">
        <v>0</v>
      </c>
      <c r="D45" s="9">
        <v>2</v>
      </c>
      <c r="E45" s="9">
        <v>3</v>
      </c>
      <c r="F45" s="9">
        <v>0</v>
      </c>
      <c r="G45" s="9">
        <v>0</v>
      </c>
      <c r="H45" s="9">
        <v>1</v>
      </c>
      <c r="I45" s="9">
        <v>0</v>
      </c>
      <c r="J45" s="9">
        <v>0</v>
      </c>
      <c r="K45" s="9">
        <v>0</v>
      </c>
      <c r="L45" s="9">
        <v>0</v>
      </c>
      <c r="M45" s="9">
        <f>SUM(B45,C45,D45,E45,F45,G45,H45,I45,J45,K45,L45)</f>
        <v>9</v>
      </c>
      <c r="N45" s="7">
        <f>VLOOKUP(A45,'[1]2022 Review w Notes'!A:M, 13,FALSE)</f>
        <v>21</v>
      </c>
      <c r="O45" s="27">
        <f>Table13[[#This Row],[2023 Total Score]]-Table13[[#This Row],[2022]]</f>
        <v>-12</v>
      </c>
      <c r="P45" s="46">
        <v>43</v>
      </c>
      <c r="Q45" s="22"/>
      <c r="R45" s="22"/>
      <c r="S45" s="22"/>
      <c r="T45" s="22"/>
      <c r="U45" s="22"/>
      <c r="V45" s="22"/>
      <c r="W45" s="22"/>
    </row>
    <row r="46" spans="1:23" ht="17" thickBot="1" x14ac:dyDescent="0.25">
      <c r="A46" s="5" t="s">
        <v>59</v>
      </c>
      <c r="B46" s="9">
        <v>2</v>
      </c>
      <c r="C46" s="9">
        <v>3</v>
      </c>
      <c r="D46" s="9">
        <v>0</v>
      </c>
      <c r="E46" s="9">
        <v>3</v>
      </c>
      <c r="F46" s="9">
        <v>0</v>
      </c>
      <c r="G46" s="9">
        <v>0</v>
      </c>
      <c r="H46" s="9">
        <v>1</v>
      </c>
      <c r="I46" s="9">
        <v>0</v>
      </c>
      <c r="J46" s="9">
        <v>0</v>
      </c>
      <c r="K46" s="9">
        <v>0</v>
      </c>
      <c r="L46" s="9">
        <v>0</v>
      </c>
      <c r="M46" s="9">
        <f>SUM(B46,C46,D46,E46,F46,G46,H46,I46,J46,K46,L46)</f>
        <v>9</v>
      </c>
      <c r="N46" s="7">
        <f>VLOOKUP(A46,'[1]2022 Review w Notes'!A:M, 13,FALSE)</f>
        <v>5</v>
      </c>
      <c r="O46" s="27">
        <f>Table13[[#This Row],[2023 Total Score]]-Table13[[#This Row],[2022]]</f>
        <v>4</v>
      </c>
      <c r="P46" s="46">
        <v>43</v>
      </c>
      <c r="Q46" s="38"/>
      <c r="R46" s="38"/>
      <c r="S46" s="38"/>
      <c r="T46" s="38"/>
      <c r="U46" s="38"/>
      <c r="V46" s="38"/>
      <c r="W46" s="38"/>
    </row>
    <row r="47" spans="1:23" ht="17" thickBot="1" x14ac:dyDescent="0.25">
      <c r="A47" s="33" t="s">
        <v>60</v>
      </c>
      <c r="B47" s="9">
        <v>3</v>
      </c>
      <c r="C47" s="9">
        <v>0</v>
      </c>
      <c r="D47" s="9">
        <v>3</v>
      </c>
      <c r="E47" s="9">
        <v>2</v>
      </c>
      <c r="F47" s="9">
        <v>1</v>
      </c>
      <c r="G47" s="9">
        <v>0</v>
      </c>
      <c r="H47" s="9">
        <v>0</v>
      </c>
      <c r="I47" s="9">
        <v>0</v>
      </c>
      <c r="J47" s="9">
        <v>0</v>
      </c>
      <c r="K47" s="9">
        <v>0</v>
      </c>
      <c r="L47" s="9">
        <v>0</v>
      </c>
      <c r="M47" s="9">
        <f>SUM(B47,C47,D47,E47,F47,G47,H47,I47,J47,K47,L47)</f>
        <v>9</v>
      </c>
      <c r="N47" s="7">
        <f>VLOOKUP(A47,'[1]2022 Review w Notes'!A:M, 13,FALSE)</f>
        <v>11</v>
      </c>
      <c r="O47" s="27">
        <f>Table13[[#This Row],[2023 Total Score]]-Table13[[#This Row],[2022]]</f>
        <v>-2</v>
      </c>
      <c r="P47" s="46">
        <v>43</v>
      </c>
      <c r="Q47" s="38"/>
      <c r="R47" s="38"/>
      <c r="S47" s="38"/>
      <c r="T47" s="38"/>
      <c r="U47" s="38"/>
      <c r="V47" s="38"/>
      <c r="W47" s="38"/>
    </row>
    <row r="48" spans="1:23" ht="17" thickBot="1" x14ac:dyDescent="0.25">
      <c r="A48" s="40" t="s">
        <v>61</v>
      </c>
      <c r="B48" s="9">
        <v>3</v>
      </c>
      <c r="C48" s="9">
        <v>3</v>
      </c>
      <c r="D48" s="9">
        <v>0</v>
      </c>
      <c r="E48" s="9">
        <v>2</v>
      </c>
      <c r="F48" s="9">
        <v>0</v>
      </c>
      <c r="G48" s="9">
        <v>0</v>
      </c>
      <c r="H48" s="9">
        <v>1</v>
      </c>
      <c r="I48" s="9">
        <v>0</v>
      </c>
      <c r="J48" s="9">
        <v>0</v>
      </c>
      <c r="K48" s="9">
        <v>0</v>
      </c>
      <c r="L48" s="9">
        <v>0</v>
      </c>
      <c r="M48" s="9">
        <f>SUM(B48,C48,D48,E48,F48,G48,H48,I48,J48,K48,L48)</f>
        <v>9</v>
      </c>
      <c r="N48" s="7">
        <f>VLOOKUP(A48,'[1]2022 Review w Notes'!A:M, 13,FALSE)</f>
        <v>11</v>
      </c>
      <c r="O48" s="27">
        <f>Table13[[#This Row],[2023 Total Score]]-Table13[[#This Row],[2022]]</f>
        <v>-2</v>
      </c>
      <c r="P48" s="46">
        <v>43</v>
      </c>
      <c r="Q48" s="19"/>
      <c r="R48" s="19"/>
      <c r="S48" s="19"/>
      <c r="T48" s="19"/>
      <c r="U48" s="19"/>
      <c r="V48" s="19"/>
      <c r="W48" s="19"/>
    </row>
    <row r="49" spans="1:23" ht="17" thickBot="1" x14ac:dyDescent="0.25">
      <c r="A49" s="12" t="s">
        <v>62</v>
      </c>
      <c r="B49" s="9">
        <v>3</v>
      </c>
      <c r="C49" s="9">
        <v>0</v>
      </c>
      <c r="D49" s="9">
        <v>2</v>
      </c>
      <c r="E49" s="9">
        <v>2</v>
      </c>
      <c r="F49" s="9">
        <v>0</v>
      </c>
      <c r="G49" s="9">
        <v>0</v>
      </c>
      <c r="H49" s="9">
        <v>1</v>
      </c>
      <c r="I49" s="9">
        <v>0</v>
      </c>
      <c r="J49" s="9">
        <v>0</v>
      </c>
      <c r="K49" s="9">
        <v>0</v>
      </c>
      <c r="L49" s="9">
        <v>0</v>
      </c>
      <c r="M49" s="9">
        <f>SUM(B49,C49,D49,E49,F49,G49,H49,I49,J49,K49,L49)</f>
        <v>8</v>
      </c>
      <c r="N49" s="7">
        <f>VLOOKUP(A49,'[1]2022 Review w Notes'!A:M, 13,FALSE)</f>
        <v>6</v>
      </c>
      <c r="O49" s="27">
        <f>Table13[[#This Row],[2023 Total Score]]-Table13[[#This Row],[2022]]</f>
        <v>2</v>
      </c>
      <c r="P49" s="46">
        <v>48</v>
      </c>
      <c r="Q49" s="19"/>
      <c r="R49" s="19"/>
      <c r="S49" s="19"/>
      <c r="T49" s="19"/>
      <c r="U49" s="19"/>
      <c r="V49" s="19"/>
      <c r="W49" s="19"/>
    </row>
    <row r="50" spans="1:23" ht="17" thickBot="1" x14ac:dyDescent="0.25">
      <c r="A50" s="40" t="s">
        <v>63</v>
      </c>
      <c r="B50" s="9">
        <v>3</v>
      </c>
      <c r="C50" s="9">
        <v>2</v>
      </c>
      <c r="D50" s="9">
        <v>2</v>
      </c>
      <c r="E50" s="9">
        <v>1</v>
      </c>
      <c r="F50" s="9">
        <v>0</v>
      </c>
      <c r="G50" s="9">
        <v>0</v>
      </c>
      <c r="H50" s="9">
        <v>0</v>
      </c>
      <c r="I50" s="9">
        <v>0</v>
      </c>
      <c r="J50" s="9">
        <v>0</v>
      </c>
      <c r="K50" s="9">
        <v>0</v>
      </c>
      <c r="L50" s="9">
        <v>0</v>
      </c>
      <c r="M50" s="9">
        <f>SUM(B50,C50,D50,E50,F50,G50,H50,I50,J50,K50,L50)</f>
        <v>8</v>
      </c>
      <c r="N50" s="7">
        <f>VLOOKUP(A50,'[1]2022 Review w Notes'!A:M, 13,FALSE)</f>
        <v>6</v>
      </c>
      <c r="O50" s="27">
        <f>Table13[[#This Row],[2023 Total Score]]-Table13[[#This Row],[2022]]</f>
        <v>2</v>
      </c>
      <c r="P50" s="46">
        <v>48</v>
      </c>
      <c r="Q50" s="38"/>
      <c r="R50" s="38"/>
      <c r="S50" s="38"/>
      <c r="T50" s="38"/>
      <c r="U50" s="38"/>
      <c r="V50" s="38"/>
      <c r="W50" s="38"/>
    </row>
    <row r="51" spans="1:23" s="20" customFormat="1" ht="17" thickBot="1" x14ac:dyDescent="0.25">
      <c r="A51" s="33" t="s">
        <v>64</v>
      </c>
      <c r="B51" s="9">
        <v>3</v>
      </c>
      <c r="C51" s="9">
        <v>0</v>
      </c>
      <c r="D51" s="9">
        <v>1</v>
      </c>
      <c r="E51" s="9">
        <v>3</v>
      </c>
      <c r="F51" s="9">
        <v>0</v>
      </c>
      <c r="G51" s="9">
        <v>0</v>
      </c>
      <c r="H51" s="9">
        <v>0</v>
      </c>
      <c r="I51" s="9">
        <v>0</v>
      </c>
      <c r="J51" s="9">
        <v>0</v>
      </c>
      <c r="K51" s="9">
        <v>0</v>
      </c>
      <c r="L51" s="9">
        <v>0</v>
      </c>
      <c r="M51" s="9">
        <f>SUM(B51,C51,D51,E51,F51,G51,H51,I51,J51,K51,L51)</f>
        <v>7</v>
      </c>
      <c r="N51" s="7">
        <f>VLOOKUP(A51,'[1]2022 Review w Notes'!A:M, 13,FALSE)</f>
        <v>9</v>
      </c>
      <c r="O51" s="27">
        <f>Table13[[#This Row],[2023 Total Score]]-Table13[[#This Row],[2022]]</f>
        <v>-2</v>
      </c>
      <c r="P51" s="46">
        <v>50</v>
      </c>
      <c r="Q51" s="41"/>
      <c r="R51" s="41"/>
      <c r="S51" s="41"/>
      <c r="T51" s="41"/>
      <c r="U51" s="41"/>
      <c r="V51" s="41"/>
      <c r="W51" s="41"/>
    </row>
    <row r="52" spans="1:23" x14ac:dyDescent="0.2">
      <c r="A52" s="12" t="s">
        <v>65</v>
      </c>
      <c r="B52" s="9">
        <v>0</v>
      </c>
      <c r="C52" s="9">
        <v>0</v>
      </c>
      <c r="D52" s="9">
        <v>0</v>
      </c>
      <c r="E52" s="9">
        <v>0</v>
      </c>
      <c r="F52" s="9">
        <v>1</v>
      </c>
      <c r="G52" s="9">
        <v>1</v>
      </c>
      <c r="H52" s="9">
        <v>0</v>
      </c>
      <c r="I52" s="9">
        <v>0</v>
      </c>
      <c r="J52" s="9">
        <v>0</v>
      </c>
      <c r="K52" s="9">
        <v>0</v>
      </c>
      <c r="L52" s="9">
        <v>0</v>
      </c>
      <c r="M52" s="9">
        <f>SUM(B52,C52,D52,E52,F52,G52,H52,I52,J52,K52,L52)</f>
        <v>2</v>
      </c>
      <c r="N52" s="7">
        <f>VLOOKUP(A52,'[1]2022 Review w Notes'!A:M, 13,FALSE)</f>
        <v>3</v>
      </c>
      <c r="O52" s="27">
        <f>Table13[[#This Row],[2023 Total Score]]-Table13[[#This Row],[2022]]</f>
        <v>-1</v>
      </c>
      <c r="P52" s="46">
        <v>51</v>
      </c>
      <c r="Q52" s="38"/>
      <c r="R52" s="38"/>
      <c r="S52" s="38"/>
      <c r="T52" s="38"/>
      <c r="U52" s="38"/>
      <c r="V52" s="38"/>
      <c r="W52" s="38"/>
    </row>
    <row r="53" spans="1:23" x14ac:dyDescent="0.2">
      <c r="A53" s="42"/>
    </row>
    <row r="54" spans="1:23" x14ac:dyDescent="0.2">
      <c r="A54" s="42"/>
      <c r="M54" s="4">
        <f>AVERAGE(Table13[2023 Total Score])</f>
        <v>20.215686274509803</v>
      </c>
      <c r="N54" s="4">
        <f>AVERAGE(Table13[2022])</f>
        <v>19.431372549019606</v>
      </c>
      <c r="O54" s="4">
        <f>AVERAGE(Table13[Difference])</f>
        <v>0.78431372549019607</v>
      </c>
    </row>
    <row r="55" spans="1:23" x14ac:dyDescent="0.2">
      <c r="A55" s="44" t="s">
        <v>66</v>
      </c>
      <c r="B55" s="45"/>
      <c r="C55" s="45"/>
    </row>
    <row r="56" spans="1:23" x14ac:dyDescent="0.2">
      <c r="A56" s="42"/>
    </row>
    <row r="57" spans="1:23" x14ac:dyDescent="0.2">
      <c r="A57" s="42"/>
    </row>
    <row r="58" spans="1:23" x14ac:dyDescent="0.2">
      <c r="A58" s="42"/>
    </row>
    <row r="59" spans="1:23" x14ac:dyDescent="0.2">
      <c r="A59" s="42"/>
    </row>
    <row r="60" spans="1:23" x14ac:dyDescent="0.2">
      <c r="A60" s="42"/>
    </row>
    <row r="61" spans="1:23" x14ac:dyDescent="0.2">
      <c r="A61" s="42"/>
    </row>
    <row r="62" spans="1:23" x14ac:dyDescent="0.2">
      <c r="A62" s="42"/>
    </row>
    <row r="63" spans="1:23" x14ac:dyDescent="0.2">
      <c r="A63" s="42"/>
    </row>
    <row r="64" spans="1:23" x14ac:dyDescent="0.2">
      <c r="A64" s="42"/>
    </row>
    <row r="65" spans="1:1" x14ac:dyDescent="0.2">
      <c r="A65" s="42"/>
    </row>
    <row r="66" spans="1:1" x14ac:dyDescent="0.2">
      <c r="A66" s="42"/>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row>
    <row r="96" spans="1:1" x14ac:dyDescent="0.2">
      <c r="A96" s="42"/>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row>
    <row r="111" spans="1:1" x14ac:dyDescent="0.2">
      <c r="A111" s="42"/>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row>
    <row r="126" spans="1:1" x14ac:dyDescent="0.2">
      <c r="A126" s="42"/>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row>
    <row r="194" spans="1:1" x14ac:dyDescent="0.2">
      <c r="A194" s="42"/>
    </row>
    <row r="195" spans="1:1" x14ac:dyDescent="0.2">
      <c r="A195" s="42"/>
    </row>
    <row r="196" spans="1:1" x14ac:dyDescent="0.2">
      <c r="A196" s="42"/>
    </row>
    <row r="197" spans="1:1" x14ac:dyDescent="0.2">
      <c r="A197" s="42"/>
    </row>
    <row r="198" spans="1:1" x14ac:dyDescent="0.2">
      <c r="A198" s="42"/>
    </row>
  </sheetData>
  <conditionalFormatting sqref="A1:XFD1048576">
    <cfRule type="containsText" dxfId="9" priority="1" operator="containsText" text="~?">
      <formula>NOT(ISERROR(SEARCH("~?",A1)))</formula>
    </cfRule>
  </conditionalFormatting>
  <hyperlinks>
    <hyperlink ref="A44" r:id="rId1" xr:uid="{2B8BDE67-F76D-7647-9A50-316690FDB6A8}"/>
    <hyperlink ref="A27" r:id="rId2" xr:uid="{C63E62AC-EFA4-BC4E-B709-9D0190C5D69C}"/>
    <hyperlink ref="A7" r:id="rId3" xr:uid="{0C8E9EB8-3A34-734E-85D5-19150B60B0D1}"/>
    <hyperlink ref="A34" r:id="rId4" xr:uid="{6E586AB4-90DC-BC41-B59E-9399818E3C13}"/>
    <hyperlink ref="A6" r:id="rId5" xr:uid="{32D53818-1240-6345-BB42-6DC271BAA6F5}"/>
    <hyperlink ref="A17" r:id="rId6" xr:uid="{ED24C207-B7D7-BE48-B285-EE7F5BC31DD3}"/>
    <hyperlink ref="A45" r:id="rId7" xr:uid="{30426792-6265-8A44-84C4-217F75B244D4}"/>
    <hyperlink ref="A12" r:id="rId8" xr:uid="{EC553985-7457-EB47-A87C-BF1F1D0990E0}"/>
    <hyperlink ref="A49" r:id="rId9" xr:uid="{B21D2742-06C1-9947-B247-6EB6C124D77C}"/>
    <hyperlink ref="A38" r:id="rId10" xr:uid="{D78184F2-77DD-6E4C-98F1-8E92621862EA}"/>
    <hyperlink ref="A52" r:id="rId11" xr:uid="{380901AA-0672-2543-A010-D28B9F5905FB}"/>
    <hyperlink ref="A41" r:id="rId12" xr:uid="{D5290D3A-812F-3648-9440-76240B08BC48}"/>
    <hyperlink ref="A23" r:id="rId13" xr:uid="{CBBACD93-5545-FB4C-857F-4970507AFE59}"/>
    <hyperlink ref="A2" r:id="rId14" xr:uid="{A6ECBCFE-7114-E741-87BB-F2202330B0F9}"/>
    <hyperlink ref="A13" r:id="rId15" xr:uid="{77FB119C-2700-564F-838F-6EEFEF90EA44}"/>
    <hyperlink ref="A18" r:id="rId16" xr:uid="{8431D689-D25B-5442-8EB8-24B1F2595DC3}"/>
    <hyperlink ref="A42" r:id="rId17" xr:uid="{FF3FF55E-21C9-0C4B-98AA-08FA3667D7B2}"/>
    <hyperlink ref="A36" r:id="rId18" xr:uid="{BF7FECA2-DEA3-0943-B16A-95F2856AF29F}"/>
    <hyperlink ref="A8" r:id="rId19" xr:uid="{DC942CC6-F84A-6B4D-952A-1EECF831C27E}"/>
    <hyperlink ref="A19" r:id="rId20" xr:uid="{68E9F9F4-F90E-ED4C-8892-29CC8594F744}"/>
    <hyperlink ref="A46" r:id="rId21" xr:uid="{E5547811-49E1-FA44-B999-61F8AACDA80C}"/>
    <hyperlink ref="A11" r:id="rId22" xr:uid="{1AEB81BA-5519-A64F-976F-1D694A2BB3E9}"/>
    <hyperlink ref="A22" r:id="rId23" xr:uid="{08B52210-0147-3E47-B025-EF2F0ED6E436}"/>
    <hyperlink ref="A9" r:id="rId24" xr:uid="{C0342749-86D3-8942-8B07-6A87C22CF914}"/>
    <hyperlink ref="A28" r:id="rId25" xr:uid="{29FAF99C-1952-4A42-88F3-D4096039F58E}"/>
    <hyperlink ref="A29" r:id="rId26" xr:uid="{C9162866-86EB-DB46-AD2A-654BEDDB21ED}"/>
    <hyperlink ref="A14" r:id="rId27" xr:uid="{58B08A1A-AC0B-E743-B7DF-F6EA75CA30C0}"/>
    <hyperlink ref="A10" r:id="rId28" xr:uid="{8E6C5D0C-3920-154F-B3A8-FB9739145299}"/>
    <hyperlink ref="A3" r:id="rId29" xr:uid="{9984898F-7376-FD40-8C75-6E75F7753CE4}"/>
    <hyperlink ref="A21" r:id="rId30" xr:uid="{E0BBF08A-D0CB-F64C-A51A-F4A0A97798C1}"/>
    <hyperlink ref="A30" r:id="rId31" xr:uid="{64D917F4-DC68-D249-9DDD-ECC53976CA8A}"/>
    <hyperlink ref="A35" r:id="rId32" xr:uid="{0164F756-ACDA-9749-A0BA-55F22AC93BB5}"/>
    <hyperlink ref="A20" r:id="rId33" xr:uid="{B59F0AE7-68D9-D64C-89A3-B406C4A43C96}"/>
    <hyperlink ref="A37" r:id="rId34" xr:uid="{F81E164A-04DD-9948-98A6-B5D0D6530F7B}"/>
    <hyperlink ref="A31" r:id="rId35" xr:uid="{5A3C01CD-B3D7-6B40-B580-FE45A640DD0B}"/>
    <hyperlink ref="A43" r:id="rId36" xr:uid="{C1B47E53-386D-9945-81EE-92369ACEAED5}"/>
    <hyperlink ref="A47" r:id="rId37" xr:uid="{D7AD987A-8198-D248-A84F-35B440384388}"/>
    <hyperlink ref="A51" r:id="rId38" xr:uid="{80E78CB3-8493-9544-918A-CEAED6F96517}"/>
    <hyperlink ref="A24" r:id="rId39" xr:uid="{EB8A63AD-DA8C-DA49-9468-BD2BECD46B36}"/>
    <hyperlink ref="A39" r:id="rId40" xr:uid="{8EEE5732-B14D-5649-B5E7-FF2FAA7D1676}"/>
    <hyperlink ref="A32" r:id="rId41" xr:uid="{F9C8D006-50CC-7545-8C02-F662FEDC9306}"/>
    <hyperlink ref="A25" r:id="rId42" xr:uid="{A976193F-C19F-9B47-B723-F3FB29EADEB4}"/>
    <hyperlink ref="A48" r:id="rId43" xr:uid="{8385E6E4-E436-7F40-B45F-279A9F2EA7D3}"/>
    <hyperlink ref="A16" r:id="rId44" xr:uid="{079F8211-8696-8449-AAD7-16EEB33467E6}"/>
    <hyperlink ref="A33" r:id="rId45" xr:uid="{8161AC06-6F59-D441-B902-24D4ABE23E4D}"/>
    <hyperlink ref="A50" r:id="rId46" xr:uid="{E16D39B5-AE1C-D84B-A5EF-5C6F18565696}"/>
    <hyperlink ref="A26" r:id="rId47" xr:uid="{C29691E0-1BC1-7E4E-B37E-CC51B9A1DF9D}"/>
    <hyperlink ref="A4" r:id="rId48" xr:uid="{8D2476BE-0F21-0143-9955-0CB9FAEAC1D2}"/>
    <hyperlink ref="A15" r:id="rId49" xr:uid="{3BCCC93C-B379-A644-8EC4-F9E3FA4FE3BB}"/>
    <hyperlink ref="A5" r:id="rId50" xr:uid="{78C98D2E-8F9B-0047-9090-EF6DBC2C3968}"/>
    <hyperlink ref="A40" r:id="rId51" xr:uid="{85566756-D5E0-8341-BEAA-52B4BC3F73AF}"/>
  </hyperlinks>
  <pageMargins left="0.7" right="0.7" top="0.75" bottom="0.75" header="0.3" footer="0.3"/>
  <tableParts count="1">
    <tablePart r:id="rId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5C3F-32D7-904F-956B-AD85E4139BD4}">
  <sheetPr codeName="Sheet2"/>
  <dimension ref="A1:X206"/>
  <sheetViews>
    <sheetView zoomScaleNormal="100" workbookViewId="0">
      <pane ySplit="1" topLeftCell="A57" activePane="bottomLeft" state="frozen"/>
      <selection pane="bottomLeft" activeCell="R55" sqref="R55"/>
    </sheetView>
  </sheetViews>
  <sheetFormatPr baseColWidth="10" defaultColWidth="14.5" defaultRowHeight="16" x14ac:dyDescent="0.2"/>
  <cols>
    <col min="1" max="1" width="35.6640625" style="4" bestFit="1" customWidth="1"/>
    <col min="2" max="2" width="19.83203125" style="4" customWidth="1"/>
    <col min="3" max="3" width="16.1640625" style="4" customWidth="1"/>
    <col min="4" max="4" width="16.5" style="4" customWidth="1"/>
    <col min="5" max="5" width="20.5" style="4" customWidth="1"/>
    <col min="6" max="6" width="14.83203125" style="4" customWidth="1"/>
    <col min="7" max="7" width="19.1640625" style="4" customWidth="1"/>
    <col min="8" max="8" width="15.6640625" style="4" customWidth="1"/>
    <col min="9" max="9" width="12.6640625" style="4" customWidth="1"/>
    <col min="10" max="10" width="12.33203125" style="4" customWidth="1"/>
    <col min="11" max="11" width="14.33203125" style="4" customWidth="1"/>
    <col min="12" max="12" width="13.33203125" style="4" customWidth="1"/>
    <col min="13" max="13" width="10.83203125" style="4" customWidth="1"/>
    <col min="14" max="14" width="14.6640625" style="4" customWidth="1"/>
    <col min="15" max="15" width="10.83203125" style="4" customWidth="1"/>
    <col min="16" max="16" width="17.1640625" style="4" customWidth="1"/>
    <col min="17" max="17" width="14.33203125" style="4" customWidth="1"/>
    <col min="18" max="18" width="15.1640625" style="43" customWidth="1"/>
    <col min="19" max="19" width="9.5" style="4" customWidth="1"/>
    <col min="20" max="20" width="13.83203125" style="4" customWidth="1"/>
    <col min="21" max="21" width="55.33203125" style="4" customWidth="1"/>
    <col min="22" max="22" width="29.33203125" style="4" customWidth="1"/>
    <col min="23" max="23" width="57.33203125" style="4" customWidth="1"/>
    <col min="24" max="24" width="47.1640625" style="4" customWidth="1"/>
    <col min="25" max="25" width="60.33203125" style="4" customWidth="1"/>
    <col min="26" max="26" width="162.6640625" style="4" customWidth="1"/>
    <col min="27" max="16384" width="14.5" style="4"/>
  </cols>
  <sheetData>
    <row r="1" spans="1:20" ht="69" thickBot="1" x14ac:dyDescent="0.25">
      <c r="A1" s="1" t="s">
        <v>0</v>
      </c>
      <c r="B1" s="57" t="s">
        <v>1</v>
      </c>
      <c r="C1" s="57" t="s">
        <v>2</v>
      </c>
      <c r="D1" s="57" t="s">
        <v>6</v>
      </c>
      <c r="E1" s="59" t="s">
        <v>68</v>
      </c>
      <c r="F1" s="57" t="s">
        <v>3</v>
      </c>
      <c r="G1" s="57" t="s">
        <v>4</v>
      </c>
      <c r="H1" s="57" t="s">
        <v>11</v>
      </c>
      <c r="I1" s="59" t="s">
        <v>69</v>
      </c>
      <c r="J1" s="57" t="s">
        <v>5</v>
      </c>
      <c r="K1" s="57" t="s">
        <v>7</v>
      </c>
      <c r="L1" s="57" t="s">
        <v>8</v>
      </c>
      <c r="M1" s="57" t="s">
        <v>9</v>
      </c>
      <c r="N1" s="57" t="s">
        <v>10</v>
      </c>
      <c r="O1" s="59" t="s">
        <v>70</v>
      </c>
      <c r="P1" s="59" t="s">
        <v>12</v>
      </c>
      <c r="Q1" s="57" t="s">
        <v>13</v>
      </c>
      <c r="R1" s="58" t="s">
        <v>14</v>
      </c>
      <c r="S1" s="57" t="s">
        <v>67</v>
      </c>
      <c r="T1" s="2" t="s">
        <v>71</v>
      </c>
    </row>
    <row r="2" spans="1:20" ht="17" thickBot="1" x14ac:dyDescent="0.25">
      <c r="A2" s="34" t="s">
        <v>46</v>
      </c>
      <c r="B2" s="190">
        <v>3</v>
      </c>
      <c r="C2" s="190">
        <v>3</v>
      </c>
      <c r="D2" s="190">
        <v>3</v>
      </c>
      <c r="E2" s="190">
        <f>SUM(Table133[[#This Row],[1. Finding agency web site]:[6. Pipeline company contact info]])</f>
        <v>9</v>
      </c>
      <c r="F2" s="190">
        <v>3</v>
      </c>
      <c r="G2" s="190">
        <v>3</v>
      </c>
      <c r="H2" s="190">
        <v>3</v>
      </c>
      <c r="I2" s="190">
        <f>SUM(Table133[[#This Row],[3. Access to statutes, regulations]:[11. Siting &amp; routing info]])</f>
        <v>9</v>
      </c>
      <c r="J2" s="190">
        <v>3</v>
      </c>
      <c r="K2" s="190">
        <v>0</v>
      </c>
      <c r="L2" s="190">
        <v>0</v>
      </c>
      <c r="M2" s="190">
        <v>1</v>
      </c>
      <c r="N2" s="190">
        <v>2</v>
      </c>
      <c r="O2" s="52">
        <f>SUM(Table133[[#This Row],[5. Transmission pipeline maps]:[10. Excavation damage data]])</f>
        <v>6</v>
      </c>
      <c r="P2" s="190">
        <f>SUM(B2,C2,F2,G2,J2,D2,K2,L2,M2,N2,H2)</f>
        <v>24</v>
      </c>
      <c r="Q2" s="36">
        <f>VLOOKUP(A2,'[1]2022 Review w Notes'!A:M, 13,FALSE)</f>
        <v>11</v>
      </c>
      <c r="R2" s="192">
        <f>Table133[[#This Row],[2023 Total Score]]-Table133[[#This Row],[2022]]</f>
        <v>13</v>
      </c>
      <c r="S2" s="46">
        <v>20</v>
      </c>
      <c r="T2" s="46" t="str">
        <f>IF(Table133[[#This Row],[2023 Total Score]]=33,"1 Excellent",IF(AND(Table133[[#This Row],[2023 Total Score]]&lt;33,Table133[[#This Row],[2023 Total Score]]&gt;24),"2 Good", IF(AND(Table133[[#This Row],[2023 Total Score]]&lt;25,Table133[[#This Row],[2023 Total Score]]&gt;16),"3 Passing","4 Failing")))</f>
        <v>3 Passing</v>
      </c>
    </row>
    <row r="3" spans="1:20" ht="17" thickBot="1" x14ac:dyDescent="0.25">
      <c r="A3" s="29" t="s">
        <v>35</v>
      </c>
      <c r="B3" s="191">
        <v>3</v>
      </c>
      <c r="C3" s="191">
        <v>3</v>
      </c>
      <c r="D3" s="191">
        <v>2</v>
      </c>
      <c r="E3" s="191">
        <f>SUM(Table133[[#This Row],[1. Finding agency web site]:[6. Pipeline company contact info]])</f>
        <v>8</v>
      </c>
      <c r="F3" s="191">
        <v>3</v>
      </c>
      <c r="G3" s="191">
        <v>3</v>
      </c>
      <c r="H3" s="191">
        <v>0</v>
      </c>
      <c r="I3" s="191">
        <f>SUM(Table133[[#This Row],[3. Access to statutes, regulations]:[11. Siting &amp; routing info]])</f>
        <v>6</v>
      </c>
      <c r="J3" s="191">
        <v>3</v>
      </c>
      <c r="K3" s="191">
        <v>2</v>
      </c>
      <c r="L3" s="191">
        <v>2</v>
      </c>
      <c r="M3" s="191">
        <v>2</v>
      </c>
      <c r="N3" s="191">
        <v>3</v>
      </c>
      <c r="O3" s="9">
        <f>SUM(Table133[[#This Row],[5. Transmission pipeline maps]:[10. Excavation damage data]])</f>
        <v>12</v>
      </c>
      <c r="P3" s="106">
        <f>SUM(B3,C3,F3,G3,J3,D3,K3,L3,M3,N3,H3)</f>
        <v>26</v>
      </c>
      <c r="Q3" s="30">
        <f>VLOOKUP(A3,'[1]2022 Review w Notes'!A:M, 13,FALSE)</f>
        <v>17</v>
      </c>
      <c r="R3" s="147">
        <f>Table133[[#This Row],[2023 Total Score]]-Table133[[#This Row],[2022]]</f>
        <v>9</v>
      </c>
      <c r="S3" s="46">
        <v>12</v>
      </c>
      <c r="T3" s="46" t="str">
        <f>IF(Table133[[#This Row],[2023 Total Score]]=33,"1 Excellent",IF(AND(Table133[[#This Row],[2023 Total Score]]&lt;33,Table133[[#This Row],[2023 Total Score]]&gt;24),"2 Good", IF(AND(Table133[[#This Row],[2023 Total Score]]&lt;25,Table133[[#This Row],[2023 Total Score]]&gt;16),"3 Passing","4 Failing")))</f>
        <v>2 Good</v>
      </c>
    </row>
    <row r="4" spans="1:20" ht="17" thickBot="1" x14ac:dyDescent="0.25">
      <c r="A4" s="21" t="s">
        <v>34</v>
      </c>
      <c r="B4" s="14">
        <v>2</v>
      </c>
      <c r="C4" s="14">
        <v>2</v>
      </c>
      <c r="D4" s="14">
        <v>2</v>
      </c>
      <c r="E4" s="14">
        <f>SUM(Table133[[#This Row],[1. Finding agency web site]:[6. Pipeline company contact info]])</f>
        <v>6</v>
      </c>
      <c r="F4" s="14">
        <v>3</v>
      </c>
      <c r="G4" s="14">
        <v>3</v>
      </c>
      <c r="H4" s="14">
        <v>3</v>
      </c>
      <c r="I4" s="14">
        <f>SUM(Table133[[#This Row],[3. Access to statutes, regulations]:[11. Siting &amp; routing info]])</f>
        <v>9</v>
      </c>
      <c r="J4" s="14">
        <v>3</v>
      </c>
      <c r="K4" s="14">
        <v>3</v>
      </c>
      <c r="L4" s="14">
        <v>3</v>
      </c>
      <c r="M4" s="14">
        <v>0</v>
      </c>
      <c r="N4" s="14">
        <v>2</v>
      </c>
      <c r="O4" s="9">
        <f>SUM(Table133[[#This Row],[5. Transmission pipeline maps]:[10. Excavation damage data]])</f>
        <v>11</v>
      </c>
      <c r="P4" s="14">
        <f>SUM(B4,C4,F4,G4,J4,D4,K4,L4,M4,N4,H4)</f>
        <v>26</v>
      </c>
      <c r="Q4" s="16">
        <f>VLOOKUP(A4,'[1]2022 Review w Notes'!A:M, 13,FALSE)</f>
        <v>18</v>
      </c>
      <c r="R4" s="17">
        <f>Table133[[#This Row],[2023 Total Score]]-Table133[[#This Row],[2022]]</f>
        <v>8</v>
      </c>
      <c r="S4" s="46">
        <v>12</v>
      </c>
      <c r="T4" s="46" t="str">
        <f>IF(Table133[[#This Row],[2023 Total Score]]=33,"1 Excellent",IF(AND(Table133[[#This Row],[2023 Total Score]]&lt;33,Table133[[#This Row],[2023 Total Score]]&gt;24),"2 Good", IF(AND(Table133[[#This Row],[2023 Total Score]]&lt;25,Table133[[#This Row],[2023 Total Score]]&gt;16),"3 Passing","4 Failing")))</f>
        <v>2 Good</v>
      </c>
    </row>
    <row r="5" spans="1:20" ht="17" thickBot="1" x14ac:dyDescent="0.25">
      <c r="A5" s="12" t="s">
        <v>28</v>
      </c>
      <c r="B5" s="9">
        <v>3</v>
      </c>
      <c r="C5" s="18">
        <v>2</v>
      </c>
      <c r="D5" s="18">
        <v>0</v>
      </c>
      <c r="E5" s="18">
        <f>SUM(Table133[[#This Row],[1. Finding agency web site]:[6. Pipeline company contact info]])</f>
        <v>5</v>
      </c>
      <c r="F5" s="18">
        <v>1</v>
      </c>
      <c r="G5" s="18">
        <v>2</v>
      </c>
      <c r="H5" s="18">
        <v>3</v>
      </c>
      <c r="I5" s="18">
        <f>SUM(Table133[[#This Row],[3. Access to statutes, regulations]:[11. Siting &amp; routing info]])</f>
        <v>6</v>
      </c>
      <c r="J5" s="18">
        <v>3</v>
      </c>
      <c r="K5" s="18">
        <v>3</v>
      </c>
      <c r="L5" s="18">
        <v>3</v>
      </c>
      <c r="M5" s="18">
        <v>2</v>
      </c>
      <c r="N5" s="18">
        <v>3</v>
      </c>
      <c r="O5" s="9">
        <f>SUM(Table133[[#This Row],[5. Transmission pipeline maps]:[10. Excavation damage data]])</f>
        <v>14</v>
      </c>
      <c r="P5" s="18">
        <f>SUM(B5,C5,F5,G5,J5,D5,K5,L5,M5,N5,H5)</f>
        <v>25</v>
      </c>
      <c r="Q5" s="7">
        <f>VLOOKUP(A5,'[1]2022 Review w Notes'!A:M, 13,FALSE)</f>
        <v>17</v>
      </c>
      <c r="R5" s="11">
        <f>Table133[[#This Row],[2023 Total Score]]-Table133[[#This Row],[2022]]</f>
        <v>8</v>
      </c>
      <c r="S5" s="46">
        <v>17</v>
      </c>
      <c r="T5" s="46" t="str">
        <f>IF(Table133[[#This Row],[2023 Total Score]]=33,"1 Excellent",IF(AND(Table133[[#This Row],[2023 Total Score]]&lt;33,Table133[[#This Row],[2023 Total Score]]&gt;24),"2 Good", IF(AND(Table133[[#This Row],[2023 Total Score]]&lt;25,Table133[[#This Row],[2023 Total Score]]&gt;16),"3 Passing","4 Failing")))</f>
        <v>2 Good</v>
      </c>
    </row>
    <row r="6" spans="1:20" ht="17" thickBot="1" x14ac:dyDescent="0.25">
      <c r="A6" s="21" t="s">
        <v>33</v>
      </c>
      <c r="B6" s="15">
        <v>3</v>
      </c>
      <c r="C6" s="15">
        <v>2</v>
      </c>
      <c r="D6" s="15">
        <v>3</v>
      </c>
      <c r="E6" s="15">
        <f>SUM(Table133[[#This Row],[1. Finding agency web site]:[6. Pipeline company contact info]])</f>
        <v>8</v>
      </c>
      <c r="F6" s="15">
        <v>3</v>
      </c>
      <c r="G6" s="15">
        <v>3</v>
      </c>
      <c r="H6" s="15">
        <v>3</v>
      </c>
      <c r="I6" s="15">
        <f>SUM(Table133[[#This Row],[3. Access to statutes, regulations]:[11. Siting &amp; routing info]])</f>
        <v>9</v>
      </c>
      <c r="J6" s="15">
        <v>3</v>
      </c>
      <c r="K6" s="15">
        <v>1</v>
      </c>
      <c r="L6" s="15">
        <v>2</v>
      </c>
      <c r="M6" s="15">
        <v>3</v>
      </c>
      <c r="N6" s="15">
        <v>3</v>
      </c>
      <c r="O6" s="9">
        <f>SUM(Table133[[#This Row],[5. Transmission pipeline maps]:[10. Excavation damage data]])</f>
        <v>12</v>
      </c>
      <c r="P6" s="15">
        <f>SUM(B6,C6,F6,G6,J6,D6,K6,L6,M6,N6,H6)</f>
        <v>29</v>
      </c>
      <c r="Q6" s="16">
        <f>VLOOKUP(A6,'[1]2022 Review w Notes'!A:M, 13,FALSE)</f>
        <v>22</v>
      </c>
      <c r="R6" s="17">
        <f>Table133[[#This Row],[2023 Total Score]]-Table133[[#This Row],[2022]]</f>
        <v>7</v>
      </c>
      <c r="S6" s="46">
        <v>7</v>
      </c>
      <c r="T6" s="46" t="str">
        <f>IF(Table133[[#This Row],[2023 Total Score]]=33,"1 Excellent",IF(AND(Table133[[#This Row],[2023 Total Score]]&lt;33,Table133[[#This Row],[2023 Total Score]]&gt;24),"2 Good", IF(AND(Table133[[#This Row],[2023 Total Score]]&lt;25,Table133[[#This Row],[2023 Total Score]]&gt;16),"3 Passing","4 Failing")))</f>
        <v>2 Good</v>
      </c>
    </row>
    <row r="7" spans="1:20" s="24" customFormat="1" ht="17" thickBot="1" x14ac:dyDescent="0.25">
      <c r="A7" s="13" t="s">
        <v>18</v>
      </c>
      <c r="B7" s="15">
        <v>3</v>
      </c>
      <c r="C7" s="15">
        <v>3</v>
      </c>
      <c r="D7" s="15">
        <v>3</v>
      </c>
      <c r="E7" s="15">
        <f>SUM(Table133[[#This Row],[1. Finding agency web site]:[6. Pipeline company contact info]])</f>
        <v>9</v>
      </c>
      <c r="F7" s="15">
        <v>3</v>
      </c>
      <c r="G7" s="15">
        <v>3</v>
      </c>
      <c r="H7" s="15">
        <v>3</v>
      </c>
      <c r="I7" s="15">
        <f>SUM(Table133[[#This Row],[3. Access to statutes, regulations]:[11. Siting &amp; routing info]])</f>
        <v>9</v>
      </c>
      <c r="J7" s="15">
        <v>3</v>
      </c>
      <c r="K7" s="15">
        <v>3</v>
      </c>
      <c r="L7" s="15">
        <v>3</v>
      </c>
      <c r="M7" s="15">
        <v>3</v>
      </c>
      <c r="N7" s="15">
        <v>3</v>
      </c>
      <c r="O7" s="9">
        <f>SUM(Table133[[#This Row],[5. Transmission pipeline maps]:[10. Excavation damage data]])</f>
        <v>15</v>
      </c>
      <c r="P7" s="14">
        <f>SUM(B7,C7,F7,G7,J7,D7,K7,L7,M7,N7,H7)</f>
        <v>33</v>
      </c>
      <c r="Q7" s="16">
        <f>VLOOKUP(A7,'[1]2022 Review w Notes'!A:M, 13,FALSE)</f>
        <v>27</v>
      </c>
      <c r="R7" s="17">
        <f>Table133[[#This Row],[2023 Total Score]]-Table133[[#This Row],[2022]]</f>
        <v>6</v>
      </c>
      <c r="S7" s="46">
        <v>1</v>
      </c>
      <c r="T7" s="46" t="str">
        <f>IF(Table133[[#This Row],[2023 Total Score]]=33,"1 Excellent",IF(AND(Table133[[#This Row],[2023 Total Score]]&lt;33,Table133[[#This Row],[2023 Total Score]]&gt;24),"2 Good", IF(AND(Table133[[#This Row],[2023 Total Score]]&lt;25,Table133[[#This Row],[2023 Total Score]]&gt;16),"3 Passing","4 Failing")))</f>
        <v>1 Excellent</v>
      </c>
    </row>
    <row r="8" spans="1:20" ht="17" thickBot="1" x14ac:dyDescent="0.25">
      <c r="A8" s="12" t="s">
        <v>45</v>
      </c>
      <c r="B8" s="9">
        <v>2</v>
      </c>
      <c r="C8" s="10">
        <v>3</v>
      </c>
      <c r="D8" s="10">
        <v>2</v>
      </c>
      <c r="E8" s="10">
        <f>SUM(Table133[[#This Row],[1. Finding agency web site]:[6. Pipeline company contact info]])</f>
        <v>7</v>
      </c>
      <c r="F8" s="10">
        <v>3</v>
      </c>
      <c r="G8" s="10">
        <v>2</v>
      </c>
      <c r="H8" s="10">
        <v>0</v>
      </c>
      <c r="I8" s="10">
        <f>SUM(Table133[[#This Row],[3. Access to statutes, regulations]:[11. Siting &amp; routing info]])</f>
        <v>5</v>
      </c>
      <c r="J8" s="10">
        <v>3</v>
      </c>
      <c r="K8" s="10">
        <v>3</v>
      </c>
      <c r="L8" s="10">
        <v>0</v>
      </c>
      <c r="M8" s="10">
        <v>0</v>
      </c>
      <c r="N8" s="10">
        <v>0</v>
      </c>
      <c r="O8" s="9">
        <f>SUM(Table133[[#This Row],[5. Transmission pipeline maps]:[10. Excavation damage data]])</f>
        <v>6</v>
      </c>
      <c r="P8" s="10">
        <f>SUM(B8,C8,F8,G8,J8,D8,K8,L8,M8,N8,H8)</f>
        <v>18</v>
      </c>
      <c r="Q8" s="7">
        <f>VLOOKUP(A8,'[1]2022 Review w Notes'!A:M, 13,FALSE)</f>
        <v>12</v>
      </c>
      <c r="R8" s="11">
        <f>Table133[[#This Row],[2023 Total Score]]-Table133[[#This Row],[2022]]</f>
        <v>6</v>
      </c>
      <c r="S8" s="46">
        <v>33</v>
      </c>
      <c r="T8" s="46" t="str">
        <f>IF(Table133[[#This Row],[2023 Total Score]]=33,"1 Excellent",IF(AND(Table133[[#This Row],[2023 Total Score]]&lt;33,Table133[[#This Row],[2023 Total Score]]&gt;24),"2 Good", IF(AND(Table133[[#This Row],[2023 Total Score]]&lt;25,Table133[[#This Row],[2023 Total Score]]&gt;16),"3 Passing","4 Failing")))</f>
        <v>3 Passing</v>
      </c>
    </row>
    <row r="9" spans="1:20" ht="17" thickBot="1" x14ac:dyDescent="0.25">
      <c r="A9" s="12" t="s">
        <v>25</v>
      </c>
      <c r="B9" s="9">
        <v>3</v>
      </c>
      <c r="C9" s="9">
        <v>3</v>
      </c>
      <c r="D9" s="9">
        <v>2</v>
      </c>
      <c r="E9" s="9">
        <f>SUM(Table133[[#This Row],[1. Finding agency web site]:[6. Pipeline company contact info]])</f>
        <v>8</v>
      </c>
      <c r="F9" s="9">
        <v>3</v>
      </c>
      <c r="G9" s="9">
        <v>3</v>
      </c>
      <c r="H9" s="9">
        <v>1</v>
      </c>
      <c r="I9" s="9">
        <f>SUM(Table133[[#This Row],[3. Access to statutes, regulations]:[11. Siting &amp; routing info]])</f>
        <v>7</v>
      </c>
      <c r="J9" s="9">
        <v>3</v>
      </c>
      <c r="K9" s="9">
        <v>1</v>
      </c>
      <c r="L9" s="9">
        <v>2</v>
      </c>
      <c r="M9" s="9">
        <v>2</v>
      </c>
      <c r="N9" s="9">
        <v>3</v>
      </c>
      <c r="O9" s="9">
        <f>SUM(Table133[[#This Row],[5. Transmission pipeline maps]:[10. Excavation damage data]])</f>
        <v>11</v>
      </c>
      <c r="P9" s="9">
        <f>SUM(B9,C9,F9,G9,J9,D9,K9,L9,M9,N9,H9)</f>
        <v>26</v>
      </c>
      <c r="Q9" s="7">
        <f>VLOOKUP(A9,'[1]2022 Review w Notes'!A:M, 13,FALSE)</f>
        <v>21</v>
      </c>
      <c r="R9" s="11">
        <f>Table133[[#This Row],[2023 Total Score]]-Table133[[#This Row],[2022]]</f>
        <v>5</v>
      </c>
      <c r="S9" s="46">
        <v>12</v>
      </c>
      <c r="T9" s="46" t="str">
        <f>IF(Table133[[#This Row],[2023 Total Score]]=33,"1 Excellent",IF(AND(Table133[[#This Row],[2023 Total Score]]&lt;33,Table133[[#This Row],[2023 Total Score]]&gt;24),"2 Good", IF(AND(Table133[[#This Row],[2023 Total Score]]&lt;25,Table133[[#This Row],[2023 Total Score]]&gt;16),"3 Passing","4 Failing")))</f>
        <v>2 Good</v>
      </c>
    </row>
    <row r="10" spans="1:20" ht="17" thickBot="1" x14ac:dyDescent="0.25">
      <c r="A10" s="56" t="s">
        <v>59</v>
      </c>
      <c r="B10" s="9">
        <v>2</v>
      </c>
      <c r="C10" s="9">
        <v>3</v>
      </c>
      <c r="D10" s="9">
        <v>0</v>
      </c>
      <c r="E10" s="9">
        <f>SUM(Table133[[#This Row],[1. Finding agency web site]:[6. Pipeline company contact info]])</f>
        <v>5</v>
      </c>
      <c r="F10" s="9">
        <v>0</v>
      </c>
      <c r="G10" s="9">
        <v>3</v>
      </c>
      <c r="H10" s="9">
        <v>0</v>
      </c>
      <c r="I10" s="9">
        <f>SUM(Table133[[#This Row],[3. Access to statutes, regulations]:[11. Siting &amp; routing info]])</f>
        <v>3</v>
      </c>
      <c r="J10" s="9">
        <v>0</v>
      </c>
      <c r="K10" s="9">
        <v>1</v>
      </c>
      <c r="L10" s="9">
        <v>0</v>
      </c>
      <c r="M10" s="9">
        <v>0</v>
      </c>
      <c r="N10" s="9">
        <v>0</v>
      </c>
      <c r="O10" s="9">
        <f>SUM(Table133[[#This Row],[5. Transmission pipeline maps]:[10. Excavation damage data]])</f>
        <v>1</v>
      </c>
      <c r="P10" s="9">
        <f>SUM(B10,C10,F10,G10,J10,D10,K10,L10,M10,N10,H10)</f>
        <v>9</v>
      </c>
      <c r="Q10" s="7">
        <f>VLOOKUP(A10,'[1]2022 Review w Notes'!A:M, 13,FALSE)</f>
        <v>5</v>
      </c>
      <c r="R10" s="11">
        <f>Table133[[#This Row],[2023 Total Score]]-Table133[[#This Row],[2022]]</f>
        <v>4</v>
      </c>
      <c r="S10" s="46">
        <v>43</v>
      </c>
      <c r="T10" s="46" t="str">
        <f>IF(Table133[[#This Row],[2023 Total Score]]=33,"1 Excellent",IF(AND(Table133[[#This Row],[2023 Total Score]]&lt;33,Table133[[#This Row],[2023 Total Score]]&gt;24),"2 Good", IF(AND(Table133[[#This Row],[2023 Total Score]]&lt;25,Table133[[#This Row],[2023 Total Score]]&gt;16),"3 Passing","4 Failing")))</f>
        <v>4 Failing</v>
      </c>
    </row>
    <row r="11" spans="1:20" ht="17" thickBot="1" x14ac:dyDescent="0.25">
      <c r="A11" s="26" t="s">
        <v>32</v>
      </c>
      <c r="B11" s="9">
        <v>2</v>
      </c>
      <c r="C11" s="9">
        <v>3</v>
      </c>
      <c r="D11" s="9">
        <v>3</v>
      </c>
      <c r="E11" s="9">
        <f>SUM(Table133[[#This Row],[1. Finding agency web site]:[6. Pipeline company contact info]])</f>
        <v>8</v>
      </c>
      <c r="F11" s="9">
        <v>2</v>
      </c>
      <c r="G11" s="9">
        <v>3</v>
      </c>
      <c r="H11" s="9">
        <v>0</v>
      </c>
      <c r="I11" s="9">
        <f>SUM(Table133[[#This Row],[3. Access to statutes, regulations]:[11. Siting &amp; routing info]])</f>
        <v>5</v>
      </c>
      <c r="J11" s="9">
        <v>3</v>
      </c>
      <c r="K11" s="9">
        <v>0</v>
      </c>
      <c r="L11" s="9">
        <v>2</v>
      </c>
      <c r="M11" s="9">
        <v>2</v>
      </c>
      <c r="N11" s="9">
        <v>3</v>
      </c>
      <c r="O11" s="9">
        <f>SUM(Table133[[#This Row],[5. Transmission pipeline maps]:[10. Excavation damage data]])</f>
        <v>10</v>
      </c>
      <c r="P11" s="9">
        <f>SUM(B11,C11,F11,G11,J11,D11,K11,L11,M11,N11,H11)</f>
        <v>23</v>
      </c>
      <c r="Q11" s="7">
        <f>VLOOKUP(A11,'[1]2022 Review w Notes'!A:M, 13,FALSE)</f>
        <v>20</v>
      </c>
      <c r="R11" s="11">
        <f>Table133[[#This Row],[2023 Total Score]]-Table133[[#This Row],[2022]]</f>
        <v>3</v>
      </c>
      <c r="S11" s="46">
        <v>22</v>
      </c>
      <c r="T11" s="46" t="str">
        <f>IF(Table133[[#This Row],[2023 Total Score]]=33,"1 Excellent",IF(AND(Table133[[#This Row],[2023 Total Score]]&lt;33,Table133[[#This Row],[2023 Total Score]]&gt;24),"2 Good", IF(AND(Table133[[#This Row],[2023 Total Score]]&lt;25,Table133[[#This Row],[2023 Total Score]]&gt;16),"3 Passing","4 Failing")))</f>
        <v>3 Passing</v>
      </c>
    </row>
    <row r="12" spans="1:20" ht="17" thickBot="1" x14ac:dyDescent="0.25">
      <c r="A12" s="21" t="s">
        <v>26</v>
      </c>
      <c r="B12" s="14">
        <v>3</v>
      </c>
      <c r="C12" s="14">
        <v>3</v>
      </c>
      <c r="D12" s="14">
        <v>2</v>
      </c>
      <c r="E12" s="14">
        <f>SUM(Table133[[#This Row],[1. Finding agency web site]:[6. Pipeline company contact info]])</f>
        <v>8</v>
      </c>
      <c r="F12" s="14">
        <v>3</v>
      </c>
      <c r="G12" s="14">
        <v>3</v>
      </c>
      <c r="H12" s="14">
        <v>1</v>
      </c>
      <c r="I12" s="14">
        <f>SUM(Table133[[#This Row],[3. Access to statutes, regulations]:[11. Siting &amp; routing info]])</f>
        <v>7</v>
      </c>
      <c r="J12" s="14">
        <v>3</v>
      </c>
      <c r="K12" s="14">
        <v>1</v>
      </c>
      <c r="L12" s="14">
        <v>2</v>
      </c>
      <c r="M12" s="23">
        <v>2</v>
      </c>
      <c r="N12" s="14">
        <v>3</v>
      </c>
      <c r="O12" s="9">
        <f>SUM(Table133[[#This Row],[5. Transmission pipeline maps]:[10. Excavation damage data]])</f>
        <v>11</v>
      </c>
      <c r="P12" s="14">
        <f>SUM(B12,C12,F12,G12,J12,D12,K12,L12,M12,N12,H12)</f>
        <v>26</v>
      </c>
      <c r="Q12" s="16">
        <f>VLOOKUP(A12,'[1]2022 Review w Notes'!A:M, 13,FALSE)</f>
        <v>24</v>
      </c>
      <c r="R12" s="17">
        <f>Table133[[#This Row],[2023 Total Score]]-Table133[[#This Row],[2022]]</f>
        <v>2</v>
      </c>
      <c r="S12" s="46">
        <v>12</v>
      </c>
      <c r="T12" s="46" t="str">
        <f>IF(Table133[[#This Row],[2023 Total Score]]=33,"1 Excellent",IF(AND(Table133[[#This Row],[2023 Total Score]]&lt;33,Table133[[#This Row],[2023 Total Score]]&gt;24),"2 Good", IF(AND(Table133[[#This Row],[2023 Total Score]]&lt;25,Table133[[#This Row],[2023 Total Score]]&gt;16),"3 Passing","4 Failing")))</f>
        <v>2 Good</v>
      </c>
    </row>
    <row r="13" spans="1:20" ht="17" thickBot="1" x14ac:dyDescent="0.25">
      <c r="A13" s="26" t="s">
        <v>43</v>
      </c>
      <c r="B13" s="9">
        <v>3</v>
      </c>
      <c r="C13" s="9">
        <v>3</v>
      </c>
      <c r="D13" s="9">
        <v>0</v>
      </c>
      <c r="E13" s="9">
        <f>SUM(Table133[[#This Row],[1. Finding agency web site]:[6. Pipeline company contact info]])</f>
        <v>6</v>
      </c>
      <c r="F13" s="9">
        <v>1</v>
      </c>
      <c r="G13" s="9">
        <v>1</v>
      </c>
      <c r="H13" s="9">
        <v>0</v>
      </c>
      <c r="I13" s="9">
        <f>SUM(Table133[[#This Row],[3. Access to statutes, regulations]:[11. Siting &amp; routing info]])</f>
        <v>2</v>
      </c>
      <c r="J13" s="9">
        <v>3</v>
      </c>
      <c r="K13" s="9">
        <v>1</v>
      </c>
      <c r="L13" s="9">
        <v>2</v>
      </c>
      <c r="M13" s="9">
        <v>2</v>
      </c>
      <c r="N13" s="9">
        <v>3</v>
      </c>
      <c r="O13" s="9">
        <f>SUM(Table133[[#This Row],[5. Transmission pipeline maps]:[10. Excavation damage data]])</f>
        <v>11</v>
      </c>
      <c r="P13" s="9">
        <f>SUM(B13,C13,F13,G13,J13,D13,K13,L13,M13,N13,H13)</f>
        <v>19</v>
      </c>
      <c r="Q13" s="7">
        <f>VLOOKUP(A13,'[1]2022 Review w Notes'!A:M, 13,FALSE)</f>
        <v>17</v>
      </c>
      <c r="R13" s="11">
        <f>Table133[[#This Row],[2023 Total Score]]-Table133[[#This Row],[2022]]</f>
        <v>2</v>
      </c>
      <c r="S13" s="46">
        <v>29</v>
      </c>
      <c r="T13" s="46" t="str">
        <f>IF(Table133[[#This Row],[2023 Total Score]]=33,"1 Excellent",IF(AND(Table133[[#This Row],[2023 Total Score]]&lt;33,Table133[[#This Row],[2023 Total Score]]&gt;24),"2 Good", IF(AND(Table133[[#This Row],[2023 Total Score]]&lt;25,Table133[[#This Row],[2023 Total Score]]&gt;16),"3 Passing","4 Failing")))</f>
        <v>3 Passing</v>
      </c>
    </row>
    <row r="14" spans="1:20" ht="17" thickBot="1" x14ac:dyDescent="0.25">
      <c r="A14" s="12" t="s">
        <v>50</v>
      </c>
      <c r="B14" s="9">
        <v>3</v>
      </c>
      <c r="C14" s="9">
        <v>3</v>
      </c>
      <c r="D14" s="9">
        <v>0</v>
      </c>
      <c r="E14" s="9">
        <f>SUM(Table133[[#This Row],[1. Finding agency web site]:[6. Pipeline company contact info]])</f>
        <v>6</v>
      </c>
      <c r="F14" s="9">
        <v>0</v>
      </c>
      <c r="G14" s="9">
        <v>2</v>
      </c>
      <c r="H14" s="9">
        <v>0</v>
      </c>
      <c r="I14" s="9">
        <f>SUM(Table133[[#This Row],[3. Access to statutes, regulations]:[11. Siting &amp; routing info]])</f>
        <v>2</v>
      </c>
      <c r="J14" s="9">
        <v>0</v>
      </c>
      <c r="K14" s="9">
        <v>1</v>
      </c>
      <c r="L14" s="9">
        <v>2</v>
      </c>
      <c r="M14" s="9">
        <v>2</v>
      </c>
      <c r="N14" s="9">
        <v>2</v>
      </c>
      <c r="O14" s="9">
        <f>SUM(Table133[[#This Row],[5. Transmission pipeline maps]:[10. Excavation damage data]])</f>
        <v>7</v>
      </c>
      <c r="P14" s="9">
        <f>SUM(B14,C14,F14,G14,J14,D14,K14,L14,M14,N14,H14)</f>
        <v>15</v>
      </c>
      <c r="Q14" s="7">
        <f>VLOOKUP(A14,'[1]2022 Review w Notes'!A:M, 13,FALSE)</f>
        <v>13</v>
      </c>
      <c r="R14" s="11">
        <f>Table133[[#This Row],[2023 Total Score]]-Table133[[#This Row],[2022]]</f>
        <v>2</v>
      </c>
      <c r="S14" s="46">
        <v>37</v>
      </c>
      <c r="T14" s="46" t="str">
        <f>IF(Table133[[#This Row],[2023 Total Score]]=33,"1 Excellent",IF(AND(Table133[[#This Row],[2023 Total Score]]&lt;33,Table133[[#This Row],[2023 Total Score]]&gt;24),"2 Good", IF(AND(Table133[[#This Row],[2023 Total Score]]&lt;25,Table133[[#This Row],[2023 Total Score]]&gt;16),"3 Passing","4 Failing")))</f>
        <v>4 Failing</v>
      </c>
    </row>
    <row r="15" spans="1:20" ht="17" thickBot="1" x14ac:dyDescent="0.25">
      <c r="A15" s="5" t="s">
        <v>52</v>
      </c>
      <c r="B15" s="9">
        <v>3</v>
      </c>
      <c r="C15" s="9">
        <v>3</v>
      </c>
      <c r="D15" s="9">
        <v>1</v>
      </c>
      <c r="E15" s="9">
        <f>SUM(Table133[[#This Row],[1. Finding agency web site]:[6. Pipeline company contact info]])</f>
        <v>7</v>
      </c>
      <c r="F15" s="9">
        <v>1</v>
      </c>
      <c r="G15" s="9">
        <v>0</v>
      </c>
      <c r="H15" s="9">
        <v>0</v>
      </c>
      <c r="I15" s="9">
        <f>SUM(Table133[[#This Row],[3. Access to statutes, regulations]:[11. Siting &amp; routing info]])</f>
        <v>1</v>
      </c>
      <c r="J15" s="9">
        <v>3</v>
      </c>
      <c r="K15" s="9">
        <v>0</v>
      </c>
      <c r="L15" s="9">
        <v>0</v>
      </c>
      <c r="M15" s="9">
        <v>2</v>
      </c>
      <c r="N15" s="9">
        <v>0</v>
      </c>
      <c r="O15" s="9">
        <f>SUM(Table133[[#This Row],[5. Transmission pipeline maps]:[10. Excavation damage data]])</f>
        <v>5</v>
      </c>
      <c r="P15" s="9">
        <f>SUM(B15,C15,F15,G15,J15,D15,K15,L15,M15,N15,H15)</f>
        <v>13</v>
      </c>
      <c r="Q15" s="7">
        <f>VLOOKUP(A15,'[1]2022 Review w Notes'!A:M, 13,FALSE)</f>
        <v>11</v>
      </c>
      <c r="R15" s="11">
        <f>Table133[[#This Row],[2023 Total Score]]-Table133[[#This Row],[2022]]</f>
        <v>2</v>
      </c>
      <c r="S15" s="46">
        <v>38</v>
      </c>
      <c r="T15" s="46" t="str">
        <f>IF(Table133[[#This Row],[2023 Total Score]]=33,"1 Excellent",IF(AND(Table133[[#This Row],[2023 Total Score]]&lt;33,Table133[[#This Row],[2023 Total Score]]&gt;24),"2 Good", IF(AND(Table133[[#This Row],[2023 Total Score]]&lt;25,Table133[[#This Row],[2023 Total Score]]&gt;16),"3 Passing","4 Failing")))</f>
        <v>4 Failing</v>
      </c>
    </row>
    <row r="16" spans="1:20" ht="17" thickBot="1" x14ac:dyDescent="0.25">
      <c r="A16" s="12" t="s">
        <v>53</v>
      </c>
      <c r="B16" s="78">
        <v>2</v>
      </c>
      <c r="C16" s="78">
        <v>0</v>
      </c>
      <c r="D16" s="78">
        <v>0</v>
      </c>
      <c r="E16" s="78">
        <f>SUM(Table133[[#This Row],[1. Finding agency web site]:[6. Pipeline company contact info]])</f>
        <v>2</v>
      </c>
      <c r="F16" s="78">
        <v>1</v>
      </c>
      <c r="G16" s="78">
        <v>3</v>
      </c>
      <c r="H16" s="78">
        <v>1</v>
      </c>
      <c r="I16" s="78">
        <f>SUM(Table133[[#This Row],[3. Access to statutes, regulations]:[11. Siting &amp; routing info]])</f>
        <v>5</v>
      </c>
      <c r="J16" s="78">
        <v>3</v>
      </c>
      <c r="K16" s="78">
        <v>1</v>
      </c>
      <c r="L16" s="78">
        <v>1</v>
      </c>
      <c r="M16" s="78">
        <v>1</v>
      </c>
      <c r="N16" s="78">
        <v>0</v>
      </c>
      <c r="O16" s="9">
        <f>SUM(Table133[[#This Row],[5. Transmission pipeline maps]:[10. Excavation damage data]])</f>
        <v>6</v>
      </c>
      <c r="P16" s="78">
        <f>SUM(B16,C16,F16,G16,J16,D16,K16,L16,M16,N16,H16)</f>
        <v>13</v>
      </c>
      <c r="Q16" s="7">
        <f>VLOOKUP(A16,'[1]2022 Review w Notes'!A:M, 13,FALSE)</f>
        <v>11</v>
      </c>
      <c r="R16" s="148">
        <f>Table133[[#This Row],[2023 Total Score]]-Table133[[#This Row],[2022]]</f>
        <v>2</v>
      </c>
      <c r="S16" s="46">
        <v>38</v>
      </c>
      <c r="T16" s="46" t="str">
        <f>IF(Table133[[#This Row],[2023 Total Score]]=33,"1 Excellent",IF(AND(Table133[[#This Row],[2023 Total Score]]&lt;33,Table133[[#This Row],[2023 Total Score]]&gt;24),"2 Good", IF(AND(Table133[[#This Row],[2023 Total Score]]&lt;25,Table133[[#This Row],[2023 Total Score]]&gt;16),"3 Passing","4 Failing")))</f>
        <v>4 Failing</v>
      </c>
    </row>
    <row r="17" spans="1:20" ht="17" thickBot="1" x14ac:dyDescent="0.25">
      <c r="A17" s="26" t="s">
        <v>62</v>
      </c>
      <c r="B17" s="52">
        <v>3</v>
      </c>
      <c r="C17" s="52">
        <v>0</v>
      </c>
      <c r="D17" s="52">
        <v>0</v>
      </c>
      <c r="E17" s="52">
        <f>SUM(Table133[[#This Row],[1. Finding agency web site]:[6. Pipeline company contact info]])</f>
        <v>3</v>
      </c>
      <c r="F17" s="52">
        <v>2</v>
      </c>
      <c r="G17" s="52">
        <v>2</v>
      </c>
      <c r="H17" s="52">
        <v>0</v>
      </c>
      <c r="I17" s="52">
        <f>SUM(Table133[[#This Row],[3. Access to statutes, regulations]:[11. Siting &amp; routing info]])</f>
        <v>4</v>
      </c>
      <c r="J17" s="52">
        <v>0</v>
      </c>
      <c r="K17" s="52">
        <v>1</v>
      </c>
      <c r="L17" s="52">
        <v>0</v>
      </c>
      <c r="M17" s="52">
        <v>0</v>
      </c>
      <c r="N17" s="52">
        <v>0</v>
      </c>
      <c r="O17" s="9">
        <f>SUM(Table133[[#This Row],[5. Transmission pipeline maps]:[10. Excavation damage data]])</f>
        <v>1</v>
      </c>
      <c r="P17" s="52">
        <f>SUM(B17,C17,F17,G17,J17,D17,K17,L17,M17,N17,H17)</f>
        <v>8</v>
      </c>
      <c r="Q17" s="7">
        <f>VLOOKUP(A17,'[1]2022 Review w Notes'!A:M, 13,FALSE)</f>
        <v>6</v>
      </c>
      <c r="R17" s="149">
        <f>Table133[[#This Row],[2023 Total Score]]-Table133[[#This Row],[2022]]</f>
        <v>2</v>
      </c>
      <c r="S17" s="46">
        <v>48</v>
      </c>
      <c r="T17" s="46" t="str">
        <f>IF(Table133[[#This Row],[2023 Total Score]]=33,"1 Excellent",IF(AND(Table133[[#This Row],[2023 Total Score]]&lt;33,Table133[[#This Row],[2023 Total Score]]&gt;24),"2 Good", IF(AND(Table133[[#This Row],[2023 Total Score]]&lt;25,Table133[[#This Row],[2023 Total Score]]&gt;16),"3 Passing","4 Failing")))</f>
        <v>4 Failing</v>
      </c>
    </row>
    <row r="18" spans="1:20" ht="17" thickBot="1" x14ac:dyDescent="0.25">
      <c r="A18" s="56" t="s">
        <v>63</v>
      </c>
      <c r="B18" s="9">
        <v>3</v>
      </c>
      <c r="C18" s="9">
        <v>2</v>
      </c>
      <c r="D18" s="9">
        <v>0</v>
      </c>
      <c r="E18" s="9">
        <f>SUM(Table133[[#This Row],[1. Finding agency web site]:[6. Pipeline company contact info]])</f>
        <v>5</v>
      </c>
      <c r="F18" s="9">
        <v>2</v>
      </c>
      <c r="G18" s="9">
        <v>1</v>
      </c>
      <c r="H18" s="9">
        <v>0</v>
      </c>
      <c r="I18" s="9">
        <f>SUM(Table133[[#This Row],[3. Access to statutes, regulations]:[11. Siting &amp; routing info]])</f>
        <v>3</v>
      </c>
      <c r="J18" s="9">
        <v>0</v>
      </c>
      <c r="K18" s="9">
        <v>0</v>
      </c>
      <c r="L18" s="9">
        <v>0</v>
      </c>
      <c r="M18" s="9">
        <v>0</v>
      </c>
      <c r="N18" s="9">
        <v>0</v>
      </c>
      <c r="O18" s="9">
        <f>SUM(Table133[[#This Row],[5. Transmission pipeline maps]:[10. Excavation damage data]])</f>
        <v>0</v>
      </c>
      <c r="P18" s="9">
        <f>SUM(B18,C18,F18,G18,J18,D18,K18,L18,M18,N18,H18)</f>
        <v>8</v>
      </c>
      <c r="Q18" s="7">
        <f>VLOOKUP(A18,'[1]2022 Review w Notes'!A:M, 13,FALSE)</f>
        <v>6</v>
      </c>
      <c r="R18" s="27">
        <f>Table133[[#This Row],[2023 Total Score]]-Table133[[#This Row],[2022]]</f>
        <v>2</v>
      </c>
      <c r="S18" s="46">
        <v>48</v>
      </c>
      <c r="T18" s="46" t="str">
        <f>IF(Table133[[#This Row],[2023 Total Score]]=33,"1 Excellent",IF(AND(Table133[[#This Row],[2023 Total Score]]&lt;33,Table133[[#This Row],[2023 Total Score]]&gt;24),"2 Good", IF(AND(Table133[[#This Row],[2023 Total Score]]&lt;25,Table133[[#This Row],[2023 Total Score]]&gt;16),"3 Passing","4 Failing")))</f>
        <v>4 Failing</v>
      </c>
    </row>
    <row r="19" spans="1:20" ht="17" thickBot="1" x14ac:dyDescent="0.25">
      <c r="A19" s="26" t="s">
        <v>51</v>
      </c>
      <c r="B19" s="9">
        <v>2</v>
      </c>
      <c r="C19" s="9">
        <v>0</v>
      </c>
      <c r="D19" s="9">
        <v>2</v>
      </c>
      <c r="E19" s="9">
        <f>SUM(Table133[[#This Row],[1. Finding agency web site]:[6. Pipeline company contact info]])</f>
        <v>4</v>
      </c>
      <c r="F19" s="9">
        <v>3</v>
      </c>
      <c r="G19" s="9">
        <v>3</v>
      </c>
      <c r="H19" s="9">
        <v>0</v>
      </c>
      <c r="I19" s="9">
        <f>SUM(Table133[[#This Row],[3. Access to statutes, regulations]:[11. Siting &amp; routing info]])</f>
        <v>6</v>
      </c>
      <c r="J19" s="9">
        <v>3</v>
      </c>
      <c r="K19" s="9">
        <v>1</v>
      </c>
      <c r="L19" s="9">
        <v>2</v>
      </c>
      <c r="M19" s="9">
        <v>2</v>
      </c>
      <c r="N19" s="9">
        <v>3</v>
      </c>
      <c r="O19" s="9">
        <f>SUM(Table133[[#This Row],[5. Transmission pipeline maps]:[10. Excavation damage data]])</f>
        <v>11</v>
      </c>
      <c r="P19" s="9">
        <f>SUM(B19,C19,F19,G19,J19,D19,K19,L19,M19,N19,H19)</f>
        <v>21</v>
      </c>
      <c r="Q19" s="7">
        <f>VLOOKUP(A19,'[1]2022 Review w Notes'!A:M, 13,FALSE)</f>
        <v>20</v>
      </c>
      <c r="R19" s="27">
        <f>Table133[[#This Row],[2023 Total Score]]-Table133[[#This Row],[2022]]</f>
        <v>1</v>
      </c>
      <c r="S19" s="46">
        <v>24</v>
      </c>
      <c r="T19" s="46" t="str">
        <f>IF(Table133[[#This Row],[2023 Total Score]]=33,"1 Excellent",IF(AND(Table133[[#This Row],[2023 Total Score]]&lt;33,Table133[[#This Row],[2023 Total Score]]&gt;24),"2 Good", IF(AND(Table133[[#This Row],[2023 Total Score]]&lt;25,Table133[[#This Row],[2023 Total Score]]&gt;16),"3 Passing","4 Failing")))</f>
        <v>3 Passing</v>
      </c>
    </row>
    <row r="20" spans="1:20" ht="17" thickBot="1" x14ac:dyDescent="0.25">
      <c r="A20" s="26" t="s">
        <v>44</v>
      </c>
      <c r="B20" s="9">
        <v>3</v>
      </c>
      <c r="C20" s="9">
        <v>3</v>
      </c>
      <c r="D20" s="9">
        <v>1</v>
      </c>
      <c r="E20" s="9">
        <f>SUM(Table133[[#This Row],[1. Finding agency web site]:[6. Pipeline company contact info]])</f>
        <v>7</v>
      </c>
      <c r="F20" s="9">
        <v>2</v>
      </c>
      <c r="G20" s="9">
        <v>3</v>
      </c>
      <c r="H20" s="9">
        <v>0</v>
      </c>
      <c r="I20" s="9">
        <f>SUM(Table133[[#This Row],[3. Access to statutes, regulations]:[11. Siting &amp; routing info]])</f>
        <v>5</v>
      </c>
      <c r="J20" s="9">
        <v>0</v>
      </c>
      <c r="K20" s="9">
        <v>0</v>
      </c>
      <c r="L20" s="9">
        <v>2</v>
      </c>
      <c r="M20" s="9">
        <v>2</v>
      </c>
      <c r="N20" s="9">
        <v>3</v>
      </c>
      <c r="O20" s="9">
        <f>SUM(Table133[[#This Row],[5. Transmission pipeline maps]:[10. Excavation damage data]])</f>
        <v>7</v>
      </c>
      <c r="P20" s="9">
        <f>SUM(B20,C20,F20,G20,J20,D20,K20,L20,M20,N20,H20)</f>
        <v>19</v>
      </c>
      <c r="Q20" s="7">
        <f>VLOOKUP(A20,'[1]2022 Review w Notes'!A:M, 13,FALSE)</f>
        <v>18</v>
      </c>
      <c r="R20" s="27">
        <f>Table133[[#This Row],[2023 Total Score]]-Table133[[#This Row],[2022]]</f>
        <v>1</v>
      </c>
      <c r="S20" s="46">
        <v>29</v>
      </c>
      <c r="T20" s="46" t="str">
        <f>IF(Table133[[#This Row],[2023 Total Score]]=33,"1 Excellent",IF(AND(Table133[[#This Row],[2023 Total Score]]&lt;33,Table133[[#This Row],[2023 Total Score]]&gt;24),"2 Good", IF(AND(Table133[[#This Row],[2023 Total Score]]&lt;25,Table133[[#This Row],[2023 Total Score]]&gt;16),"3 Passing","4 Failing")))</f>
        <v>3 Passing</v>
      </c>
    </row>
    <row r="21" spans="1:20" ht="17" thickBot="1" x14ac:dyDescent="0.25">
      <c r="A21" s="5" t="s">
        <v>15</v>
      </c>
      <c r="B21" s="9">
        <v>3</v>
      </c>
      <c r="C21" s="9">
        <v>3</v>
      </c>
      <c r="D21" s="9">
        <v>3</v>
      </c>
      <c r="E21" s="9">
        <f>SUM(Table133[[#This Row],[1. Finding agency web site]:[6. Pipeline company contact info]])</f>
        <v>9</v>
      </c>
      <c r="F21" s="9">
        <v>3</v>
      </c>
      <c r="G21" s="9">
        <v>3</v>
      </c>
      <c r="H21" s="9">
        <v>3</v>
      </c>
      <c r="I21" s="9">
        <f>SUM(Table133[[#This Row],[3. Access to statutes, regulations]:[11. Siting &amp; routing info]])</f>
        <v>9</v>
      </c>
      <c r="J21" s="9">
        <v>3</v>
      </c>
      <c r="K21" s="9">
        <v>3</v>
      </c>
      <c r="L21" s="9">
        <v>3</v>
      </c>
      <c r="M21" s="9">
        <v>3</v>
      </c>
      <c r="N21" s="9">
        <v>3</v>
      </c>
      <c r="O21" s="9">
        <f>SUM(Table133[[#This Row],[5. Transmission pipeline maps]:[10. Excavation damage data]])</f>
        <v>15</v>
      </c>
      <c r="P21" s="9">
        <f>SUM(B21,C21,F21,G21,J21,D21,K21,L21,M21,N21,H21)</f>
        <v>33</v>
      </c>
      <c r="Q21" s="7">
        <f>VLOOKUP(A21,'[1]2022 Review w Notes'!A:M, 13,FALSE)</f>
        <v>33</v>
      </c>
      <c r="R21" s="27">
        <f>Table133[[#This Row],[2023 Total Score]]-Table133[[#This Row],[2022]]</f>
        <v>0</v>
      </c>
      <c r="S21" s="46">
        <v>1</v>
      </c>
      <c r="T21" s="46" t="str">
        <f>IF(Table133[[#This Row],[2023 Total Score]]=33,"1 Excellent",IF(AND(Table133[[#This Row],[2023 Total Score]]&lt;33,Table133[[#This Row],[2023 Total Score]]&gt;24),"2 Good", IF(AND(Table133[[#This Row],[2023 Total Score]]&lt;25,Table133[[#This Row],[2023 Total Score]]&gt;16),"3 Passing","4 Failing")))</f>
        <v>1 Excellent</v>
      </c>
    </row>
    <row r="22" spans="1:20" ht="17" thickBot="1" x14ac:dyDescent="0.25">
      <c r="A22" s="5" t="s">
        <v>16</v>
      </c>
      <c r="B22" s="9">
        <v>3</v>
      </c>
      <c r="C22" s="9">
        <v>3</v>
      </c>
      <c r="D22" s="9">
        <v>3</v>
      </c>
      <c r="E22" s="9">
        <f>SUM(Table133[[#This Row],[1. Finding agency web site]:[6. Pipeline company contact info]])</f>
        <v>9</v>
      </c>
      <c r="F22" s="9">
        <v>3</v>
      </c>
      <c r="G22" s="9">
        <v>3</v>
      </c>
      <c r="H22" s="9">
        <v>3</v>
      </c>
      <c r="I22" s="9">
        <f>SUM(Table133[[#This Row],[3. Access to statutes, regulations]:[11. Siting &amp; routing info]])</f>
        <v>9</v>
      </c>
      <c r="J22" s="9">
        <v>3</v>
      </c>
      <c r="K22" s="9">
        <v>3</v>
      </c>
      <c r="L22" s="9">
        <v>3</v>
      </c>
      <c r="M22" s="9">
        <v>3</v>
      </c>
      <c r="N22" s="9">
        <v>3</v>
      </c>
      <c r="O22" s="9">
        <f>SUM(Table133[[#This Row],[5. Transmission pipeline maps]:[10. Excavation damage data]])</f>
        <v>15</v>
      </c>
      <c r="P22" s="9">
        <f>SUM(B22,C22,F22,G22,J22,D22,K22,L22,M22,N22,H22)</f>
        <v>33</v>
      </c>
      <c r="Q22" s="7">
        <f>VLOOKUP(A22,'[1]2022 Review w Notes'!A:M, 13,FALSE)</f>
        <v>33</v>
      </c>
      <c r="R22" s="27">
        <f>Table133[[#This Row],[2023 Total Score]]-Table133[[#This Row],[2022]]</f>
        <v>0</v>
      </c>
      <c r="S22" s="46">
        <v>1</v>
      </c>
      <c r="T22" s="46" t="str">
        <f>IF(Table133[[#This Row],[2023 Total Score]]=33,"1 Excellent",IF(AND(Table133[[#This Row],[2023 Total Score]]&lt;33,Table133[[#This Row],[2023 Total Score]]&gt;24),"2 Good", IF(AND(Table133[[#This Row],[2023 Total Score]]&lt;25,Table133[[#This Row],[2023 Total Score]]&gt;16),"3 Passing","4 Failing")))</f>
        <v>1 Excellent</v>
      </c>
    </row>
    <row r="23" spans="1:20" ht="17" thickBot="1" x14ac:dyDescent="0.25">
      <c r="A23" s="12" t="s">
        <v>17</v>
      </c>
      <c r="B23" s="9">
        <v>3</v>
      </c>
      <c r="C23" s="9">
        <v>3</v>
      </c>
      <c r="D23" s="9">
        <v>3</v>
      </c>
      <c r="E23" s="9">
        <f>SUM(Table133[[#This Row],[1. Finding agency web site]:[6. Pipeline company contact info]])</f>
        <v>9</v>
      </c>
      <c r="F23" s="9">
        <v>3</v>
      </c>
      <c r="G23" s="9">
        <v>3</v>
      </c>
      <c r="H23" s="9">
        <v>3</v>
      </c>
      <c r="I23" s="9">
        <f>SUM(Table133[[#This Row],[3. Access to statutes, regulations]:[11. Siting &amp; routing info]])</f>
        <v>9</v>
      </c>
      <c r="J23" s="9">
        <v>3</v>
      </c>
      <c r="K23" s="9">
        <v>3</v>
      </c>
      <c r="L23" s="9">
        <v>3</v>
      </c>
      <c r="M23" s="9">
        <v>3</v>
      </c>
      <c r="N23" s="9">
        <v>3</v>
      </c>
      <c r="O23" s="9">
        <f>SUM(Table133[[#This Row],[5. Transmission pipeline maps]:[10. Excavation damage data]])</f>
        <v>15</v>
      </c>
      <c r="P23" s="9">
        <f>SUM(B23,C23,F23,G23,J23,D23,K23,L23,M23,N23,H23)</f>
        <v>33</v>
      </c>
      <c r="Q23" s="7">
        <f>VLOOKUP(A23,'[1]2022 Review w Notes'!A:M, 13,FALSE)</f>
        <v>33</v>
      </c>
      <c r="R23" s="27">
        <f>Table133[[#This Row],[2023 Total Score]]-Table133[[#This Row],[2022]]</f>
        <v>0</v>
      </c>
      <c r="S23" s="46">
        <v>1</v>
      </c>
      <c r="T23" s="46" t="str">
        <f>IF(Table133[[#This Row],[2023 Total Score]]=33,"1 Excellent",IF(AND(Table133[[#This Row],[2023 Total Score]]&lt;33,Table133[[#This Row],[2023 Total Score]]&gt;24),"2 Good", IF(AND(Table133[[#This Row],[2023 Total Score]]&lt;25,Table133[[#This Row],[2023 Total Score]]&gt;16),"3 Passing","4 Failing")))</f>
        <v>1 Excellent</v>
      </c>
    </row>
    <row r="24" spans="1:20" ht="17" thickBot="1" x14ac:dyDescent="0.25">
      <c r="A24" s="26" t="s">
        <v>19</v>
      </c>
      <c r="B24" s="9">
        <v>2</v>
      </c>
      <c r="C24" s="9">
        <v>3</v>
      </c>
      <c r="D24" s="9">
        <v>3</v>
      </c>
      <c r="E24" s="9">
        <f>SUM(Table133[[#This Row],[1. Finding agency web site]:[6. Pipeline company contact info]])</f>
        <v>8</v>
      </c>
      <c r="F24" s="9">
        <v>3</v>
      </c>
      <c r="G24" s="9">
        <v>3</v>
      </c>
      <c r="H24" s="9">
        <v>3</v>
      </c>
      <c r="I24" s="9">
        <f>SUM(Table133[[#This Row],[3. Access to statutes, regulations]:[11. Siting &amp; routing info]])</f>
        <v>9</v>
      </c>
      <c r="J24" s="9">
        <v>3</v>
      </c>
      <c r="K24" s="9">
        <v>3</v>
      </c>
      <c r="L24" s="9">
        <v>3</v>
      </c>
      <c r="M24" s="9">
        <v>3</v>
      </c>
      <c r="N24" s="9">
        <v>3</v>
      </c>
      <c r="O24" s="9">
        <f>SUM(Table133[[#This Row],[5. Transmission pipeline maps]:[10. Excavation damage data]])</f>
        <v>15</v>
      </c>
      <c r="P24" s="9">
        <f>SUM(B24,C24,F24,G24,J24,D24,K24,L24,M24,N24,H24)</f>
        <v>32</v>
      </c>
      <c r="Q24" s="7">
        <f>VLOOKUP(A24,'[1]2022 Review w Notes'!A:M, 13,FALSE)</f>
        <v>32</v>
      </c>
      <c r="R24" s="27">
        <f>Table133[[#This Row],[2023 Total Score]]-Table133[[#This Row],[2022]]</f>
        <v>0</v>
      </c>
      <c r="S24" s="46">
        <v>5</v>
      </c>
      <c r="T24" s="46" t="str">
        <f>IF(Table133[[#This Row],[2023 Total Score]]=33,"1 Excellent",IF(AND(Table133[[#This Row],[2023 Total Score]]&lt;33,Table133[[#This Row],[2023 Total Score]]&gt;24),"2 Good", IF(AND(Table133[[#This Row],[2023 Total Score]]&lt;25,Table133[[#This Row],[2023 Total Score]]&gt;16),"3 Passing","4 Failing")))</f>
        <v>2 Good</v>
      </c>
    </row>
    <row r="25" spans="1:20" ht="17" thickBot="1" x14ac:dyDescent="0.25">
      <c r="A25" s="21" t="s">
        <v>20</v>
      </c>
      <c r="B25" s="23">
        <v>3</v>
      </c>
      <c r="C25" s="23">
        <v>3</v>
      </c>
      <c r="D25" s="23">
        <v>3</v>
      </c>
      <c r="E25" s="23">
        <f>SUM(Table133[[#This Row],[1. Finding agency web site]:[6. Pipeline company contact info]])</f>
        <v>9</v>
      </c>
      <c r="F25" s="23">
        <v>3</v>
      </c>
      <c r="G25" s="23">
        <v>3</v>
      </c>
      <c r="H25" s="23">
        <v>3</v>
      </c>
      <c r="I25" s="23">
        <f>SUM(Table133[[#This Row],[3. Access to statutes, regulations]:[11. Siting &amp; routing info]])</f>
        <v>9</v>
      </c>
      <c r="J25" s="23">
        <v>3</v>
      </c>
      <c r="K25" s="23">
        <v>3</v>
      </c>
      <c r="L25" s="23">
        <v>3</v>
      </c>
      <c r="M25" s="23">
        <v>3</v>
      </c>
      <c r="N25" s="23">
        <v>3</v>
      </c>
      <c r="O25" s="9">
        <f>SUM(Table133[[#This Row],[5. Transmission pipeline maps]:[10. Excavation damage data]])</f>
        <v>15</v>
      </c>
      <c r="P25" s="23">
        <f>SUM(B25,C25,F25,G25,J25,D25,K25,L25,M25,N25,H25)</f>
        <v>33</v>
      </c>
      <c r="Q25" s="16">
        <f>VLOOKUP(A25,'[1]2022 Review w Notes'!A:M, 13,FALSE)</f>
        <v>32</v>
      </c>
      <c r="R25" s="28">
        <f>Table133[[#This Row],[2023 Total Score]]-Table133[[#This Row],[2022]]</f>
        <v>1</v>
      </c>
      <c r="S25" s="46">
        <v>5</v>
      </c>
      <c r="T25" s="46" t="str">
        <f>IF(Table133[[#This Row],[2023 Total Score]]=33,"1 Excellent",IF(AND(Table133[[#This Row],[2023 Total Score]]&lt;33,Table133[[#This Row],[2023 Total Score]]&gt;24),"2 Good", IF(AND(Table133[[#This Row],[2023 Total Score]]&lt;25,Table133[[#This Row],[2023 Total Score]]&gt;16),"3 Passing","4 Failing")))</f>
        <v>1 Excellent</v>
      </c>
    </row>
    <row r="26" spans="1:20" ht="17" thickBot="1" x14ac:dyDescent="0.25">
      <c r="A26" s="5" t="s">
        <v>21</v>
      </c>
      <c r="B26" s="9">
        <v>3</v>
      </c>
      <c r="C26" s="9">
        <v>3</v>
      </c>
      <c r="D26" s="9">
        <v>2</v>
      </c>
      <c r="E26" s="9">
        <f>SUM(Table133[[#This Row],[1. Finding agency web site]:[6. Pipeline company contact info]])</f>
        <v>8</v>
      </c>
      <c r="F26" s="9">
        <v>2</v>
      </c>
      <c r="G26" s="9">
        <v>3</v>
      </c>
      <c r="H26" s="9">
        <v>3</v>
      </c>
      <c r="I26" s="9">
        <f>SUM(Table133[[#This Row],[3. Access to statutes, regulations]:[11. Siting &amp; routing info]])</f>
        <v>8</v>
      </c>
      <c r="J26" s="9">
        <v>3</v>
      </c>
      <c r="K26" s="9">
        <v>3</v>
      </c>
      <c r="L26" s="9">
        <v>2</v>
      </c>
      <c r="M26" s="9">
        <v>2</v>
      </c>
      <c r="N26" s="9">
        <v>3</v>
      </c>
      <c r="O26" s="9">
        <f>SUM(Table133[[#This Row],[5. Transmission pipeline maps]:[10. Excavation damage data]])</f>
        <v>13</v>
      </c>
      <c r="P26" s="9">
        <f>SUM(B26,C26,F26,G26,J26,D26,K26,L26,M26,N26,H26)</f>
        <v>29</v>
      </c>
      <c r="Q26" s="7">
        <f>VLOOKUP(A26,'[1]2022 Review w Notes'!A:M, 13,FALSE)</f>
        <v>29</v>
      </c>
      <c r="R26" s="27">
        <f>Table133[[#This Row],[2023 Total Score]]-Table133[[#This Row],[2022]]</f>
        <v>0</v>
      </c>
      <c r="S26" s="46">
        <v>7</v>
      </c>
      <c r="T26" s="46" t="str">
        <f>IF(Table133[[#This Row],[2023 Total Score]]=33,"1 Excellent",IF(AND(Table133[[#This Row],[2023 Total Score]]&lt;33,Table133[[#This Row],[2023 Total Score]]&gt;24),"2 Good", IF(AND(Table133[[#This Row],[2023 Total Score]]&lt;25,Table133[[#This Row],[2023 Total Score]]&gt;16),"3 Passing","4 Failing")))</f>
        <v>2 Good</v>
      </c>
    </row>
    <row r="27" spans="1:20" ht="17" thickBot="1" x14ac:dyDescent="0.25">
      <c r="A27" s="12" t="s">
        <v>22</v>
      </c>
      <c r="B27" s="9">
        <v>3</v>
      </c>
      <c r="C27" s="9">
        <v>3</v>
      </c>
      <c r="D27" s="9">
        <v>3</v>
      </c>
      <c r="E27" s="9">
        <f>SUM(Table133[[#This Row],[1. Finding agency web site]:[6. Pipeline company contact info]])</f>
        <v>9</v>
      </c>
      <c r="F27" s="9">
        <v>3</v>
      </c>
      <c r="G27" s="9">
        <v>3</v>
      </c>
      <c r="H27" s="9">
        <v>3</v>
      </c>
      <c r="I27" s="9">
        <f>SUM(Table133[[#This Row],[3. Access to statutes, regulations]:[11. Siting &amp; routing info]])</f>
        <v>9</v>
      </c>
      <c r="J27" s="9">
        <v>3</v>
      </c>
      <c r="K27" s="9">
        <v>1</v>
      </c>
      <c r="L27" s="9">
        <v>2</v>
      </c>
      <c r="M27" s="9">
        <v>2</v>
      </c>
      <c r="N27" s="9">
        <v>3</v>
      </c>
      <c r="O27" s="9">
        <f>SUM(Table133[[#This Row],[5. Transmission pipeline maps]:[10. Excavation damage data]])</f>
        <v>11</v>
      </c>
      <c r="P27" s="9">
        <f>SUM(B27,C27,F27,G27,J27,D27,K27,L27,M27,N27,H27)</f>
        <v>29</v>
      </c>
      <c r="Q27" s="7">
        <f>VLOOKUP(A27,'[1]2022 Review w Notes'!A:M, 13,FALSE)</f>
        <v>29</v>
      </c>
      <c r="R27" s="27">
        <f>Table133[[#This Row],[2023 Total Score]]-Table133[[#This Row],[2022]]</f>
        <v>0</v>
      </c>
      <c r="S27" s="46">
        <v>7</v>
      </c>
      <c r="T27" s="46" t="str">
        <f>IF(Table133[[#This Row],[2023 Total Score]]=33,"1 Excellent",IF(AND(Table133[[#This Row],[2023 Total Score]]&lt;33,Table133[[#This Row],[2023 Total Score]]&gt;24),"2 Good", IF(AND(Table133[[#This Row],[2023 Total Score]]&lt;25,Table133[[#This Row],[2023 Total Score]]&gt;16),"3 Passing","4 Failing")))</f>
        <v>2 Good</v>
      </c>
    </row>
    <row r="28" spans="1:20" ht="17" thickBot="1" x14ac:dyDescent="0.25">
      <c r="A28" s="25" t="s">
        <v>23</v>
      </c>
      <c r="B28" s="14">
        <v>3</v>
      </c>
      <c r="C28" s="14">
        <v>3</v>
      </c>
      <c r="D28" s="14">
        <v>3</v>
      </c>
      <c r="E28" s="14">
        <f>SUM(Table133[[#This Row],[1. Finding agency web site]:[6. Pipeline company contact info]])</f>
        <v>9</v>
      </c>
      <c r="F28" s="14">
        <v>3</v>
      </c>
      <c r="G28" s="14">
        <v>3</v>
      </c>
      <c r="H28" s="14">
        <v>3</v>
      </c>
      <c r="I28" s="14">
        <f>SUM(Table133[[#This Row],[3. Access to statutes, regulations]:[11. Siting &amp; routing info]])</f>
        <v>9</v>
      </c>
      <c r="J28" s="14">
        <v>3</v>
      </c>
      <c r="K28" s="14">
        <v>1</v>
      </c>
      <c r="L28" s="14">
        <v>2</v>
      </c>
      <c r="M28" s="15">
        <v>2</v>
      </c>
      <c r="N28" s="14">
        <v>3</v>
      </c>
      <c r="O28" s="9">
        <f>SUM(Table133[[#This Row],[5. Transmission pipeline maps]:[10. Excavation damage data]])</f>
        <v>11</v>
      </c>
      <c r="P28" s="14">
        <f>SUM(B28,C28,F28,G28,J28,D28,K28,L28,M28,N28,H28)</f>
        <v>29</v>
      </c>
      <c r="Q28" s="16">
        <f>VLOOKUP(A28,'[1]2022 Review w Notes'!A:M, 13,FALSE)</f>
        <v>29</v>
      </c>
      <c r="R28" s="28">
        <f>Table133[[#This Row],[2023 Total Score]]-Table133[[#This Row],[2022]]</f>
        <v>0</v>
      </c>
      <c r="S28" s="46">
        <v>7</v>
      </c>
      <c r="T28" s="46" t="str">
        <f>IF(Table133[[#This Row],[2023 Total Score]]=33,"1 Excellent",IF(AND(Table133[[#This Row],[2023 Total Score]]&lt;33,Table133[[#This Row],[2023 Total Score]]&gt;24),"2 Good", IF(AND(Table133[[#This Row],[2023 Total Score]]&lt;25,Table133[[#This Row],[2023 Total Score]]&gt;16),"3 Passing","4 Failing")))</f>
        <v>2 Good</v>
      </c>
    </row>
    <row r="29" spans="1:20" ht="17" thickBot="1" x14ac:dyDescent="0.25">
      <c r="A29" s="55" t="s">
        <v>36</v>
      </c>
      <c r="B29" s="9">
        <v>3</v>
      </c>
      <c r="C29" s="9">
        <v>2</v>
      </c>
      <c r="D29" s="9">
        <v>0</v>
      </c>
      <c r="E29" s="9">
        <f>SUM(Table133[[#This Row],[1. Finding agency web site]:[6. Pipeline company contact info]])</f>
        <v>5</v>
      </c>
      <c r="F29" s="9">
        <v>3</v>
      </c>
      <c r="G29" s="9">
        <v>2</v>
      </c>
      <c r="H29" s="9">
        <v>0</v>
      </c>
      <c r="I29" s="9">
        <f>SUM(Table133[[#This Row],[3. Access to statutes, regulations]:[11. Siting &amp; routing info]])</f>
        <v>5</v>
      </c>
      <c r="J29" s="9">
        <v>3</v>
      </c>
      <c r="K29" s="9">
        <v>1</v>
      </c>
      <c r="L29" s="9">
        <v>2</v>
      </c>
      <c r="M29" s="9">
        <v>3</v>
      </c>
      <c r="N29" s="9">
        <v>3</v>
      </c>
      <c r="O29" s="9">
        <f>SUM(Table133[[#This Row],[5. Transmission pipeline maps]:[10. Excavation damage data]])</f>
        <v>12</v>
      </c>
      <c r="P29" s="9">
        <f>SUM(B29,C29,F29,G29,J29,D29,K29,L29,M29,N29,H29)</f>
        <v>22</v>
      </c>
      <c r="Q29" s="7">
        <f>VLOOKUP(A29,'[1]2022 Review w Notes'!A:M, 13,FALSE)</f>
        <v>22</v>
      </c>
      <c r="R29" s="27">
        <f>Table133[[#This Row],[2023 Total Score]]-Table133[[#This Row],[2022]]</f>
        <v>0</v>
      </c>
      <c r="S29" s="46">
        <v>23</v>
      </c>
      <c r="T29" s="46" t="str">
        <f>IF(Table133[[#This Row],[2023 Total Score]]=33,"1 Excellent",IF(AND(Table133[[#This Row],[2023 Total Score]]&lt;33,Table133[[#This Row],[2023 Total Score]]&gt;24),"2 Good", IF(AND(Table133[[#This Row],[2023 Total Score]]&lt;25,Table133[[#This Row],[2023 Total Score]]&gt;16),"3 Passing","4 Failing")))</f>
        <v>3 Passing</v>
      </c>
    </row>
    <row r="30" spans="1:20" ht="17" thickBot="1" x14ac:dyDescent="0.25">
      <c r="A30" s="26" t="s">
        <v>37</v>
      </c>
      <c r="B30" s="9">
        <v>2</v>
      </c>
      <c r="C30" s="9">
        <v>3</v>
      </c>
      <c r="D30" s="9">
        <v>2</v>
      </c>
      <c r="E30" s="9">
        <f>SUM(Table133[[#This Row],[1. Finding agency web site]:[6. Pipeline company contact info]])</f>
        <v>7</v>
      </c>
      <c r="F30" s="9">
        <v>3</v>
      </c>
      <c r="G30" s="9">
        <v>3</v>
      </c>
      <c r="H30" s="9">
        <v>2</v>
      </c>
      <c r="I30" s="9">
        <f>SUM(Table133[[#This Row],[3. Access to statutes, regulations]:[11. Siting &amp; routing info]])</f>
        <v>8</v>
      </c>
      <c r="J30" s="9">
        <v>3</v>
      </c>
      <c r="K30" s="9">
        <v>1</v>
      </c>
      <c r="L30" s="9">
        <v>1</v>
      </c>
      <c r="M30" s="9">
        <v>1</v>
      </c>
      <c r="N30" s="9">
        <v>0</v>
      </c>
      <c r="O30" s="9">
        <f>SUM(Table133[[#This Row],[5. Transmission pipeline maps]:[10. Excavation damage data]])</f>
        <v>6</v>
      </c>
      <c r="P30" s="9">
        <f>SUM(B30,C30,F30,G30,J30,D30,K30,L30,M30,N30,H30)</f>
        <v>21</v>
      </c>
      <c r="Q30" s="7">
        <f>VLOOKUP(A30,'[1]2022 Review w Notes'!A:M, 13,FALSE)</f>
        <v>21</v>
      </c>
      <c r="R30" s="27">
        <f>Table133[[#This Row],[2023 Total Score]]-Table133[[#This Row],[2022]]</f>
        <v>0</v>
      </c>
      <c r="S30" s="46">
        <v>24</v>
      </c>
      <c r="T30" s="46" t="str">
        <f>IF(Table133[[#This Row],[2023 Total Score]]=33,"1 Excellent",IF(AND(Table133[[#This Row],[2023 Total Score]]&lt;33,Table133[[#This Row],[2023 Total Score]]&gt;24),"2 Good", IF(AND(Table133[[#This Row],[2023 Total Score]]&lt;25,Table133[[#This Row],[2023 Total Score]]&gt;16),"3 Passing","4 Failing")))</f>
        <v>3 Passing</v>
      </c>
    </row>
    <row r="31" spans="1:20" ht="17" thickBot="1" x14ac:dyDescent="0.25">
      <c r="A31" s="56" t="s">
        <v>42</v>
      </c>
      <c r="B31" s="9">
        <v>3</v>
      </c>
      <c r="C31" s="9">
        <v>0</v>
      </c>
      <c r="D31" s="9">
        <v>0</v>
      </c>
      <c r="E31" s="9">
        <f>SUM(Table133[[#This Row],[1. Finding agency web site]:[6. Pipeline company contact info]])</f>
        <v>3</v>
      </c>
      <c r="F31" s="9">
        <v>1</v>
      </c>
      <c r="G31" s="9">
        <v>3</v>
      </c>
      <c r="H31" s="9">
        <v>2</v>
      </c>
      <c r="I31" s="9">
        <f>SUM(Table133[[#This Row],[3. Access to statutes, regulations]:[11. Siting &amp; routing info]])</f>
        <v>6</v>
      </c>
      <c r="J31" s="9">
        <v>3</v>
      </c>
      <c r="K31" s="9">
        <v>0</v>
      </c>
      <c r="L31" s="9">
        <v>2</v>
      </c>
      <c r="M31" s="9">
        <v>2</v>
      </c>
      <c r="N31" s="9">
        <v>3</v>
      </c>
      <c r="O31" s="9">
        <f>SUM(Table133[[#This Row],[5. Transmission pipeline maps]:[10. Excavation damage data]])</f>
        <v>10</v>
      </c>
      <c r="P31" s="9">
        <f>SUM(B31,C31,F31,G31,J31,D31,K31,L31,M31,N31,H31)</f>
        <v>19</v>
      </c>
      <c r="Q31" s="7">
        <f>VLOOKUP(A31,'[1]2022 Review w Notes'!A:M, 13,FALSE)</f>
        <v>19</v>
      </c>
      <c r="R31" s="27">
        <f>Table133[[#This Row],[2023 Total Score]]-Table133[[#This Row],[2022]]</f>
        <v>0</v>
      </c>
      <c r="S31" s="46">
        <v>29</v>
      </c>
      <c r="T31" s="46" t="str">
        <f>IF(Table133[[#This Row],[2023 Total Score]]=33,"1 Excellent",IF(AND(Table133[[#This Row],[2023 Total Score]]&lt;33,Table133[[#This Row],[2023 Total Score]]&gt;24),"2 Good", IF(AND(Table133[[#This Row],[2023 Total Score]]&lt;25,Table133[[#This Row],[2023 Total Score]]&gt;16),"3 Passing","4 Failing")))</f>
        <v>3 Passing</v>
      </c>
    </row>
    <row r="32" spans="1:20" ht="17" thickBot="1" x14ac:dyDescent="0.25">
      <c r="A32" s="25" t="s">
        <v>47</v>
      </c>
      <c r="B32" s="14">
        <v>2</v>
      </c>
      <c r="C32" s="14">
        <v>3</v>
      </c>
      <c r="D32" s="14">
        <v>0</v>
      </c>
      <c r="E32" s="14">
        <f>SUM(Table133[[#This Row],[1. Finding agency web site]:[6. Pipeline company contact info]])</f>
        <v>5</v>
      </c>
      <c r="F32" s="14">
        <v>1</v>
      </c>
      <c r="G32" s="14">
        <v>2</v>
      </c>
      <c r="H32" s="14">
        <v>0</v>
      </c>
      <c r="I32" s="14">
        <f>SUM(Table133[[#This Row],[3. Access to statutes, regulations]:[11. Siting &amp; routing info]])</f>
        <v>3</v>
      </c>
      <c r="J32" s="14">
        <v>3</v>
      </c>
      <c r="K32" s="14">
        <v>0</v>
      </c>
      <c r="L32" s="14">
        <v>2</v>
      </c>
      <c r="M32" s="14">
        <v>2</v>
      </c>
      <c r="N32" s="14">
        <v>3</v>
      </c>
      <c r="O32" s="9">
        <f>SUM(Table133[[#This Row],[5. Transmission pipeline maps]:[10. Excavation damage data]])</f>
        <v>10</v>
      </c>
      <c r="P32" s="14">
        <f>SUM(B32,C32,F32,G32,J32,D32,K32,L32,M32,N32,H32)</f>
        <v>18</v>
      </c>
      <c r="Q32" s="16">
        <f>VLOOKUP(A32,'[1]2022 Review w Notes'!A:M, 13,FALSE)</f>
        <v>18</v>
      </c>
      <c r="R32" s="28">
        <f>Table133[[#This Row],[2023 Total Score]]-Table133[[#This Row],[2022]]</f>
        <v>0</v>
      </c>
      <c r="S32" s="46">
        <v>33</v>
      </c>
      <c r="T32" s="46" t="str">
        <f>IF(Table133[[#This Row],[2023 Total Score]]=33,"1 Excellent",IF(AND(Table133[[#This Row],[2023 Total Score]]&lt;33,Table133[[#This Row],[2023 Total Score]]&gt;24),"2 Good", IF(AND(Table133[[#This Row],[2023 Total Score]]&lt;25,Table133[[#This Row],[2023 Total Score]]&gt;16),"3 Passing","4 Failing")))</f>
        <v>3 Passing</v>
      </c>
    </row>
    <row r="33" spans="1:24" ht="17" thickBot="1" x14ac:dyDescent="0.25">
      <c r="A33" s="12" t="s">
        <v>48</v>
      </c>
      <c r="B33" s="9">
        <v>3</v>
      </c>
      <c r="C33" s="9">
        <v>0</v>
      </c>
      <c r="D33" s="9">
        <v>2</v>
      </c>
      <c r="E33" s="9">
        <f>SUM(Table133[[#This Row],[1. Finding agency web site]:[6. Pipeline company contact info]])</f>
        <v>5</v>
      </c>
      <c r="F33" s="9">
        <v>2</v>
      </c>
      <c r="G33" s="9">
        <v>2</v>
      </c>
      <c r="H33" s="9">
        <v>0</v>
      </c>
      <c r="I33" s="9">
        <f>SUM(Table133[[#This Row],[3. Access to statutes, regulations]:[11. Siting &amp; routing info]])</f>
        <v>4</v>
      </c>
      <c r="J33" s="9">
        <v>3</v>
      </c>
      <c r="K33" s="9">
        <v>0</v>
      </c>
      <c r="L33" s="9">
        <v>2</v>
      </c>
      <c r="M33" s="9">
        <v>1</v>
      </c>
      <c r="N33" s="9">
        <v>2</v>
      </c>
      <c r="O33" s="9">
        <f>SUM(Table133[[#This Row],[5. Transmission pipeline maps]:[10. Excavation damage data]])</f>
        <v>8</v>
      </c>
      <c r="P33" s="9">
        <f>SUM(B33,C33,F33,G33,J33,D33,K33,L33,M33,N33,H33)</f>
        <v>17</v>
      </c>
      <c r="Q33" s="7">
        <f>VLOOKUP(A33,'[1]2022 Review w Notes'!A:M, 13,FALSE)</f>
        <v>17</v>
      </c>
      <c r="R33" s="27">
        <f>Table133[[#This Row],[2023 Total Score]]-Table133[[#This Row],[2022]]</f>
        <v>0</v>
      </c>
      <c r="S33" s="46">
        <v>35</v>
      </c>
      <c r="T33" s="46" t="str">
        <f>IF(Table133[[#This Row],[2023 Total Score]]=33,"1 Excellent",IF(AND(Table133[[#This Row],[2023 Total Score]]&lt;33,Table133[[#This Row],[2023 Total Score]]&gt;24),"2 Good", IF(AND(Table133[[#This Row],[2023 Total Score]]&lt;25,Table133[[#This Row],[2023 Total Score]]&gt;16),"3 Passing","4 Failing")))</f>
        <v>3 Passing</v>
      </c>
    </row>
    <row r="34" spans="1:24" ht="17" thickBot="1" x14ac:dyDescent="0.25">
      <c r="A34" s="12" t="s">
        <v>49</v>
      </c>
      <c r="B34" s="9">
        <v>2</v>
      </c>
      <c r="C34" s="9">
        <v>2</v>
      </c>
      <c r="D34" s="9">
        <v>1</v>
      </c>
      <c r="E34" s="9">
        <f>SUM(Table133[[#This Row],[1. Finding agency web site]:[6. Pipeline company contact info]])</f>
        <v>5</v>
      </c>
      <c r="F34" s="9">
        <v>1</v>
      </c>
      <c r="G34" s="9">
        <v>1</v>
      </c>
      <c r="H34" s="9">
        <v>0</v>
      </c>
      <c r="I34" s="9">
        <f>SUM(Table133[[#This Row],[3. Access to statutes, regulations]:[11. Siting &amp; routing info]])</f>
        <v>2</v>
      </c>
      <c r="J34" s="9">
        <v>3</v>
      </c>
      <c r="K34" s="9">
        <v>0</v>
      </c>
      <c r="L34" s="9">
        <v>2</v>
      </c>
      <c r="M34" s="9">
        <v>2</v>
      </c>
      <c r="N34" s="9">
        <v>3</v>
      </c>
      <c r="O34" s="9">
        <f>SUM(Table133[[#This Row],[5. Transmission pipeline maps]:[10. Excavation damage data]])</f>
        <v>10</v>
      </c>
      <c r="P34" s="9">
        <f>SUM(B34,C34,F34,G34,J34,D34,K34,L34,M34,N34,H34)</f>
        <v>17</v>
      </c>
      <c r="Q34" s="7">
        <f>VLOOKUP(A34,'[1]2022 Review w Notes'!A:M, 13,FALSE)</f>
        <v>17</v>
      </c>
      <c r="R34" s="27">
        <f>Table133[[#This Row],[2023 Total Score]]-Table133[[#This Row],[2022]]</f>
        <v>0</v>
      </c>
      <c r="S34" s="46">
        <v>35</v>
      </c>
      <c r="T34" s="46" t="str">
        <f>IF(Table133[[#This Row],[2023 Total Score]]=33,"1 Excellent",IF(AND(Table133[[#This Row],[2023 Total Score]]&lt;33,Table133[[#This Row],[2023 Total Score]]&gt;24),"2 Good", IF(AND(Table133[[#This Row],[2023 Total Score]]&lt;25,Table133[[#This Row],[2023 Total Score]]&gt;16),"3 Passing","4 Failing")))</f>
        <v>3 Passing</v>
      </c>
    </row>
    <row r="35" spans="1:24" ht="17" thickBot="1" x14ac:dyDescent="0.25">
      <c r="A35" s="12" t="s">
        <v>55</v>
      </c>
      <c r="B35" s="9">
        <v>2</v>
      </c>
      <c r="C35" s="9">
        <v>2</v>
      </c>
      <c r="D35" s="9">
        <v>1</v>
      </c>
      <c r="E35" s="9">
        <f>SUM(Table133[[#This Row],[1. Finding agency web site]:[6. Pipeline company contact info]])</f>
        <v>5</v>
      </c>
      <c r="F35" s="9">
        <v>2</v>
      </c>
      <c r="G35" s="9">
        <v>1</v>
      </c>
      <c r="H35" s="9">
        <v>0</v>
      </c>
      <c r="I35" s="9">
        <f>SUM(Table133[[#This Row],[3. Access to statutes, regulations]:[11. Siting &amp; routing info]])</f>
        <v>3</v>
      </c>
      <c r="J35" s="9">
        <v>3</v>
      </c>
      <c r="K35" s="9">
        <v>0</v>
      </c>
      <c r="L35" s="9">
        <v>0</v>
      </c>
      <c r="M35" s="9">
        <v>0</v>
      </c>
      <c r="N35" s="9">
        <v>0</v>
      </c>
      <c r="O35" s="9">
        <f>SUM(Table133[[#This Row],[5. Transmission pipeline maps]:[10. Excavation damage data]])</f>
        <v>3</v>
      </c>
      <c r="P35" s="9">
        <f>SUM(B35,C35,F35,G35,J35,D35,K35,L35,M35,N35,H35)</f>
        <v>11</v>
      </c>
      <c r="Q35" s="7">
        <f>VLOOKUP(A35,'[1]2022 Review w Notes'!A:M, 13,FALSE)</f>
        <v>11</v>
      </c>
      <c r="R35" s="27">
        <f>Table133[[#This Row],[2023 Total Score]]-Table133[[#This Row],[2022]]</f>
        <v>0</v>
      </c>
      <c r="S35" s="46">
        <v>40</v>
      </c>
      <c r="T35" s="46" t="str">
        <f>IF(Table133[[#This Row],[2023 Total Score]]=33,"1 Excellent",IF(AND(Table133[[#This Row],[2023 Total Score]]&lt;33,Table133[[#This Row],[2023 Total Score]]&gt;24),"2 Good", IF(AND(Table133[[#This Row],[2023 Total Score]]&lt;25,Table133[[#This Row],[2023 Total Score]]&gt;16),"3 Passing","4 Failing")))</f>
        <v>4 Failing</v>
      </c>
      <c r="U35" s="19"/>
      <c r="V35" s="19"/>
      <c r="W35" s="19"/>
      <c r="X35" s="19"/>
    </row>
    <row r="36" spans="1:24" ht="17" thickBot="1" x14ac:dyDescent="0.25">
      <c r="A36" s="26" t="s">
        <v>24</v>
      </c>
      <c r="B36" s="9">
        <v>3</v>
      </c>
      <c r="C36" s="9">
        <v>3</v>
      </c>
      <c r="D36" s="9">
        <v>1</v>
      </c>
      <c r="E36" s="9">
        <f>SUM(Table133[[#This Row],[1. Finding agency web site]:[6. Pipeline company contact info]])</f>
        <v>7</v>
      </c>
      <c r="F36" s="9">
        <v>3</v>
      </c>
      <c r="G36" s="9">
        <v>2</v>
      </c>
      <c r="H36" s="9">
        <v>3</v>
      </c>
      <c r="I36" s="9">
        <f>SUM(Table133[[#This Row],[3. Access to statutes, regulations]:[11. Siting &amp; routing info]])</f>
        <v>8</v>
      </c>
      <c r="J36" s="9">
        <v>3</v>
      </c>
      <c r="K36" s="9">
        <v>2</v>
      </c>
      <c r="L36" s="9">
        <v>2</v>
      </c>
      <c r="M36" s="9">
        <v>2</v>
      </c>
      <c r="N36" s="9">
        <v>3</v>
      </c>
      <c r="O36" s="9">
        <f>SUM(Table133[[#This Row],[5. Transmission pipeline maps]:[10. Excavation damage data]])</f>
        <v>12</v>
      </c>
      <c r="P36" s="9">
        <f>SUM(B36,C36,F36,G36,J36,D36,K36,L36,M36,N36,H36)</f>
        <v>27</v>
      </c>
      <c r="Q36" s="7">
        <f>VLOOKUP(A36,'[1]2022 Review w Notes'!A:M, 13,FALSE)</f>
        <v>28</v>
      </c>
      <c r="R36" s="27">
        <f>Table133[[#This Row],[2023 Total Score]]-Table133[[#This Row],[2022]]</f>
        <v>-1</v>
      </c>
      <c r="S36" s="46">
        <v>11</v>
      </c>
      <c r="T36" s="46" t="str">
        <f>IF(Table133[[#This Row],[2023 Total Score]]=33,"1 Excellent",IF(AND(Table133[[#This Row],[2023 Total Score]]&lt;33,Table133[[#This Row],[2023 Total Score]]&gt;24),"2 Good", IF(AND(Table133[[#This Row],[2023 Total Score]]&lt;25,Table133[[#This Row],[2023 Total Score]]&gt;16),"3 Passing","4 Failing")))</f>
        <v>2 Good</v>
      </c>
      <c r="U36" s="19"/>
      <c r="V36" s="19"/>
      <c r="W36" s="19"/>
      <c r="X36" s="19"/>
    </row>
    <row r="37" spans="1:24" ht="17" thickBot="1" x14ac:dyDescent="0.25">
      <c r="A37" s="12" t="s">
        <v>27</v>
      </c>
      <c r="B37" s="9">
        <v>3</v>
      </c>
      <c r="C37" s="9">
        <v>3</v>
      </c>
      <c r="D37" s="9">
        <v>3</v>
      </c>
      <c r="E37" s="9">
        <f>SUM(Table133[[#This Row],[1. Finding agency web site]:[6. Pipeline company contact info]])</f>
        <v>9</v>
      </c>
      <c r="F37" s="9">
        <v>3</v>
      </c>
      <c r="G37" s="9">
        <v>3</v>
      </c>
      <c r="H37" s="9">
        <v>1</v>
      </c>
      <c r="I37" s="9">
        <f>SUM(Table133[[#This Row],[3. Access to statutes, regulations]:[11. Siting &amp; routing info]])</f>
        <v>7</v>
      </c>
      <c r="J37" s="9">
        <v>3</v>
      </c>
      <c r="K37" s="9">
        <v>0</v>
      </c>
      <c r="L37" s="9">
        <v>2</v>
      </c>
      <c r="M37" s="9">
        <v>2</v>
      </c>
      <c r="N37" s="9">
        <v>3</v>
      </c>
      <c r="O37" s="9">
        <f>SUM(Table133[[#This Row],[5. Transmission pipeline maps]:[10. Excavation damage data]])</f>
        <v>10</v>
      </c>
      <c r="P37" s="9">
        <f>SUM(B37,C37,F37,G37,J37,D37,K37,L37,M37,N37,H37)</f>
        <v>26</v>
      </c>
      <c r="Q37" s="7">
        <f>VLOOKUP(A37,'[1]2022 Review w Notes'!A:M, 13,FALSE)</f>
        <v>27</v>
      </c>
      <c r="R37" s="27">
        <f>Table133[[#This Row],[2023 Total Score]]-Table133[[#This Row],[2022]]</f>
        <v>-1</v>
      </c>
      <c r="S37" s="46">
        <v>12</v>
      </c>
      <c r="T37" s="46" t="str">
        <f>IF(Table133[[#This Row],[2023 Total Score]]=33,"1 Excellent",IF(AND(Table133[[#This Row],[2023 Total Score]]&lt;33,Table133[[#This Row],[2023 Total Score]]&gt;24),"2 Good", IF(AND(Table133[[#This Row],[2023 Total Score]]&lt;25,Table133[[#This Row],[2023 Total Score]]&gt;16),"3 Passing","4 Failing")))</f>
        <v>2 Good</v>
      </c>
      <c r="U37" s="19"/>
      <c r="V37" s="19"/>
      <c r="W37" s="19"/>
      <c r="X37" s="19"/>
    </row>
    <row r="38" spans="1:24" ht="17" thickBot="1" x14ac:dyDescent="0.25">
      <c r="A38" s="26" t="s">
        <v>38</v>
      </c>
      <c r="B38" s="9">
        <v>2</v>
      </c>
      <c r="C38" s="9">
        <v>0</v>
      </c>
      <c r="D38" s="9">
        <v>2</v>
      </c>
      <c r="E38" s="9">
        <f>SUM(Table133[[#This Row],[1. Finding agency web site]:[6. Pipeline company contact info]])</f>
        <v>4</v>
      </c>
      <c r="F38" s="9">
        <v>2</v>
      </c>
      <c r="G38" s="9">
        <v>3</v>
      </c>
      <c r="H38" s="9">
        <v>1</v>
      </c>
      <c r="I38" s="9">
        <f>SUM(Table133[[#This Row],[3. Access to statutes, regulations]:[11. Siting &amp; routing info]])</f>
        <v>6</v>
      </c>
      <c r="J38" s="9">
        <v>3</v>
      </c>
      <c r="K38" s="9">
        <v>1</v>
      </c>
      <c r="L38" s="9">
        <v>2</v>
      </c>
      <c r="M38" s="9">
        <v>2</v>
      </c>
      <c r="N38" s="9">
        <v>3</v>
      </c>
      <c r="O38" s="9">
        <f>SUM(Table133[[#This Row],[5. Transmission pipeline maps]:[10. Excavation damage data]])</f>
        <v>11</v>
      </c>
      <c r="P38" s="9">
        <f>SUM(B38,C38,F38,G38,J38,D38,K38,L38,M38,N38,H38)</f>
        <v>21</v>
      </c>
      <c r="Q38" s="7">
        <f>VLOOKUP(A38,'[1]2022 Review w Notes'!A:M, 13,FALSE)</f>
        <v>22</v>
      </c>
      <c r="R38" s="27">
        <f>Table133[[#This Row],[2023 Total Score]]-Table133[[#This Row],[2022]]</f>
        <v>-1</v>
      </c>
      <c r="S38" s="46">
        <v>24</v>
      </c>
      <c r="T38" s="46" t="str">
        <f>IF(Table133[[#This Row],[2023 Total Score]]=33,"1 Excellent",IF(AND(Table133[[#This Row],[2023 Total Score]]&lt;33,Table133[[#This Row],[2023 Total Score]]&gt;24),"2 Good", IF(AND(Table133[[#This Row],[2023 Total Score]]&lt;25,Table133[[#This Row],[2023 Total Score]]&gt;16),"3 Passing","4 Failing")))</f>
        <v>3 Passing</v>
      </c>
      <c r="U38" s="38"/>
      <c r="V38" s="38"/>
      <c r="W38" s="38"/>
      <c r="X38" s="38"/>
    </row>
    <row r="39" spans="1:24" ht="17" thickBot="1" x14ac:dyDescent="0.25">
      <c r="A39" s="56" t="s">
        <v>40</v>
      </c>
      <c r="B39" s="9">
        <v>2</v>
      </c>
      <c r="C39" s="9">
        <v>1</v>
      </c>
      <c r="D39" s="9">
        <v>0</v>
      </c>
      <c r="E39" s="9">
        <f>SUM(Table133[[#This Row],[1. Finding agency web site]:[6. Pipeline company contact info]])</f>
        <v>3</v>
      </c>
      <c r="F39" s="9">
        <v>3</v>
      </c>
      <c r="G39" s="9">
        <v>3</v>
      </c>
      <c r="H39" s="9">
        <v>0</v>
      </c>
      <c r="I39" s="9">
        <f>SUM(Table133[[#This Row],[3. Access to statutes, regulations]:[11. Siting &amp; routing info]])</f>
        <v>6</v>
      </c>
      <c r="J39" s="9">
        <v>3</v>
      </c>
      <c r="K39" s="9">
        <v>1</v>
      </c>
      <c r="L39" s="9">
        <v>2</v>
      </c>
      <c r="M39" s="9">
        <v>2</v>
      </c>
      <c r="N39" s="9">
        <v>3</v>
      </c>
      <c r="O39" s="9">
        <f>SUM(Table133[[#This Row],[5. Transmission pipeline maps]:[10. Excavation damage data]])</f>
        <v>11</v>
      </c>
      <c r="P39" s="9">
        <f>SUM(B39,C39,F39,G39,J39,D39,K39,L39,M39,N39,H39)</f>
        <v>20</v>
      </c>
      <c r="Q39" s="7">
        <f>VLOOKUP(A39,'[1]2022 Review w Notes'!A:M, 13,FALSE)</f>
        <v>21</v>
      </c>
      <c r="R39" s="27">
        <f>Table133[[#This Row],[2023 Total Score]]-Table133[[#This Row],[2022]]</f>
        <v>-1</v>
      </c>
      <c r="S39" s="46">
        <v>27</v>
      </c>
      <c r="T39" s="46" t="str">
        <f>IF(Table133[[#This Row],[2023 Total Score]]=33,"1 Excellent",IF(AND(Table133[[#This Row],[2023 Total Score]]&lt;33,Table133[[#This Row],[2023 Total Score]]&gt;24),"2 Good", IF(AND(Table133[[#This Row],[2023 Total Score]]&lt;25,Table133[[#This Row],[2023 Total Score]]&gt;16),"3 Passing","4 Failing")))</f>
        <v>3 Passing</v>
      </c>
      <c r="U39" s="38"/>
      <c r="V39" s="38"/>
      <c r="W39" s="38"/>
      <c r="X39" s="38"/>
    </row>
    <row r="40" spans="1:24" ht="17" thickBot="1" x14ac:dyDescent="0.25">
      <c r="A40" s="56" t="s">
        <v>41</v>
      </c>
      <c r="B40" s="9">
        <v>2</v>
      </c>
      <c r="C40" s="9">
        <v>3</v>
      </c>
      <c r="D40" s="9">
        <v>0</v>
      </c>
      <c r="E40" s="9">
        <f>SUM(Table133[[#This Row],[1. Finding agency web site]:[6. Pipeline company contact info]])</f>
        <v>5</v>
      </c>
      <c r="F40" s="9">
        <v>1</v>
      </c>
      <c r="G40" s="9">
        <v>2</v>
      </c>
      <c r="H40" s="9">
        <v>0</v>
      </c>
      <c r="I40" s="9">
        <f>SUM(Table133[[#This Row],[3. Access to statutes, regulations]:[11. Siting &amp; routing info]])</f>
        <v>3</v>
      </c>
      <c r="J40" s="9">
        <v>3</v>
      </c>
      <c r="K40" s="9">
        <v>1</v>
      </c>
      <c r="L40" s="9">
        <v>2</v>
      </c>
      <c r="M40" s="9">
        <v>2</v>
      </c>
      <c r="N40" s="9">
        <v>3</v>
      </c>
      <c r="O40" s="9">
        <f>SUM(Table133[[#This Row],[5. Transmission pipeline maps]:[10. Excavation damage data]])</f>
        <v>11</v>
      </c>
      <c r="P40" s="9">
        <f>SUM(B40,C40,F40,G40,J40,D40,K40,L40,M40,N40,H40)</f>
        <v>19</v>
      </c>
      <c r="Q40" s="7">
        <f>VLOOKUP(A40,'[1]2022 Review w Notes'!A:M, 13,FALSE)</f>
        <v>20</v>
      </c>
      <c r="R40" s="27">
        <f>Table133[[#This Row],[2023 Total Score]]-Table133[[#This Row],[2022]]</f>
        <v>-1</v>
      </c>
      <c r="S40" s="46">
        <v>29</v>
      </c>
      <c r="T40" s="46" t="str">
        <f>IF(Table133[[#This Row],[2023 Total Score]]=33,"1 Excellent",IF(AND(Table133[[#This Row],[2023 Total Score]]&lt;33,Table133[[#This Row],[2023 Total Score]]&gt;24),"2 Good", IF(AND(Table133[[#This Row],[2023 Total Score]]&lt;25,Table133[[#This Row],[2023 Total Score]]&gt;16),"3 Passing","4 Failing")))</f>
        <v>3 Passing</v>
      </c>
      <c r="U40" s="38"/>
      <c r="V40" s="38"/>
      <c r="W40" s="38"/>
      <c r="X40" s="38"/>
    </row>
    <row r="41" spans="1:24" ht="17" thickBot="1" x14ac:dyDescent="0.25">
      <c r="A41" s="56" t="s">
        <v>57</v>
      </c>
      <c r="B41" s="9">
        <v>3</v>
      </c>
      <c r="C41" s="9">
        <v>2</v>
      </c>
      <c r="D41" s="9">
        <v>0</v>
      </c>
      <c r="E41" s="9">
        <f>SUM(Table133[[#This Row],[1. Finding agency web site]:[6. Pipeline company contact info]])</f>
        <v>5</v>
      </c>
      <c r="F41" s="9">
        <v>1</v>
      </c>
      <c r="G41" s="9">
        <v>2</v>
      </c>
      <c r="H41" s="9">
        <v>0</v>
      </c>
      <c r="I41" s="9">
        <f>SUM(Table133[[#This Row],[3. Access to statutes, regulations]:[11. Siting &amp; routing info]])</f>
        <v>3</v>
      </c>
      <c r="J41" s="9">
        <v>0</v>
      </c>
      <c r="K41" s="9">
        <v>1</v>
      </c>
      <c r="L41" s="9">
        <v>0</v>
      </c>
      <c r="M41" s="9">
        <v>0</v>
      </c>
      <c r="N41" s="9">
        <v>0</v>
      </c>
      <c r="O41" s="9">
        <f>SUM(Table133[[#This Row],[5. Transmission pipeline maps]:[10. Excavation damage data]])</f>
        <v>1</v>
      </c>
      <c r="P41" s="9">
        <f>SUM(B41,C41,F41,G41,J41,D41,K41,L41,M41,N41,H41)</f>
        <v>9</v>
      </c>
      <c r="Q41" s="7">
        <f>VLOOKUP(A41,'[1]2022 Review w Notes'!A:M, 13,FALSE)</f>
        <v>10</v>
      </c>
      <c r="R41" s="27">
        <f>Table133[[#This Row],[2023 Total Score]]-Table133[[#This Row],[2022]]</f>
        <v>-1</v>
      </c>
      <c r="S41" s="46">
        <v>43</v>
      </c>
      <c r="T41" s="46" t="str">
        <f>IF(Table133[[#This Row],[2023 Total Score]]=33,"1 Excellent",IF(AND(Table133[[#This Row],[2023 Total Score]]&lt;33,Table133[[#This Row],[2023 Total Score]]&gt;24),"2 Good", IF(AND(Table133[[#This Row],[2023 Total Score]]&lt;25,Table133[[#This Row],[2023 Total Score]]&gt;16),"3 Passing","4 Failing")))</f>
        <v>4 Failing</v>
      </c>
    </row>
    <row r="42" spans="1:24" ht="17" thickBot="1" x14ac:dyDescent="0.25">
      <c r="A42" s="12" t="s">
        <v>65</v>
      </c>
      <c r="B42" s="9">
        <v>0</v>
      </c>
      <c r="C42" s="9">
        <v>0</v>
      </c>
      <c r="D42" s="9">
        <v>1</v>
      </c>
      <c r="E42" s="9">
        <f>SUM(Table133[[#This Row],[1. Finding agency web site]:[6. Pipeline company contact info]])</f>
        <v>1</v>
      </c>
      <c r="F42" s="9">
        <v>0</v>
      </c>
      <c r="G42" s="9">
        <v>0</v>
      </c>
      <c r="H42" s="9">
        <v>0</v>
      </c>
      <c r="I42" s="9">
        <f>SUM(Table133[[#This Row],[3. Access to statutes, regulations]:[11. Siting &amp; routing info]])</f>
        <v>0</v>
      </c>
      <c r="J42" s="9">
        <v>1</v>
      </c>
      <c r="K42" s="9">
        <v>0</v>
      </c>
      <c r="L42" s="9">
        <v>0</v>
      </c>
      <c r="M42" s="9">
        <v>0</v>
      </c>
      <c r="N42" s="9">
        <v>0</v>
      </c>
      <c r="O42" s="9">
        <f>SUM(Table133[[#This Row],[5. Transmission pipeline maps]:[10. Excavation damage data]])</f>
        <v>1</v>
      </c>
      <c r="P42" s="9">
        <f>SUM(B42,C42,F42,G42,J42,D42,K42,L42,M42,N42,H42)</f>
        <v>2</v>
      </c>
      <c r="Q42" s="7">
        <f>VLOOKUP(A42,'[1]2022 Review w Notes'!A:M, 13,FALSE)</f>
        <v>3</v>
      </c>
      <c r="R42" s="27">
        <f>Table133[[#This Row],[2023 Total Score]]-Table133[[#This Row],[2022]]</f>
        <v>-1</v>
      </c>
      <c r="S42" s="46">
        <v>51</v>
      </c>
      <c r="T42" s="46" t="str">
        <f>IF(Table133[[#This Row],[2023 Total Score]]=33,"1 Excellent",IF(AND(Table133[[#This Row],[2023 Total Score]]&lt;33,Table133[[#This Row],[2023 Total Score]]&gt;24),"2 Good", IF(AND(Table133[[#This Row],[2023 Total Score]]&lt;25,Table133[[#This Row],[2023 Total Score]]&gt;16),"3 Passing","4 Failing")))</f>
        <v>4 Failing</v>
      </c>
      <c r="U42" s="38"/>
      <c r="V42" s="38"/>
      <c r="W42" s="38"/>
      <c r="X42" s="38"/>
    </row>
    <row r="43" spans="1:24" ht="21" customHeight="1" thickBot="1" x14ac:dyDescent="0.25">
      <c r="A43" s="12" t="s">
        <v>30</v>
      </c>
      <c r="B43" s="9">
        <v>2</v>
      </c>
      <c r="C43" s="9">
        <v>3</v>
      </c>
      <c r="D43" s="9">
        <v>0</v>
      </c>
      <c r="E43" s="9">
        <f>SUM(Table133[[#This Row],[1. Finding agency web site]:[6. Pipeline company contact info]])</f>
        <v>5</v>
      </c>
      <c r="F43" s="9">
        <v>2</v>
      </c>
      <c r="G43" s="9">
        <v>3</v>
      </c>
      <c r="H43" s="9">
        <v>3</v>
      </c>
      <c r="I43" s="9">
        <f>SUM(Table133[[#This Row],[3. Access to statutes, regulations]:[11. Siting &amp; routing info]])</f>
        <v>8</v>
      </c>
      <c r="J43" s="9">
        <v>3</v>
      </c>
      <c r="K43" s="9">
        <v>1</v>
      </c>
      <c r="L43" s="9">
        <v>3</v>
      </c>
      <c r="M43" s="9">
        <v>2</v>
      </c>
      <c r="N43" s="9">
        <v>3</v>
      </c>
      <c r="O43" s="9">
        <f>SUM(Table133[[#This Row],[5. Transmission pipeline maps]:[10. Excavation damage data]])</f>
        <v>12</v>
      </c>
      <c r="P43" s="9">
        <f>SUM(B43,C43,F43,G43,J43,D43,K43,L43,M43,N43,H43)</f>
        <v>25</v>
      </c>
      <c r="Q43" s="7">
        <f>VLOOKUP(A43,'[1]2022 Review w Notes'!A:M, 13,FALSE)</f>
        <v>27</v>
      </c>
      <c r="R43" s="27">
        <f>Table133[[#This Row],[2023 Total Score]]-Table133[[#This Row],[2022]]</f>
        <v>-2</v>
      </c>
      <c r="S43" s="46">
        <v>17</v>
      </c>
      <c r="T43" s="46" t="str">
        <f>IF(Table133[[#This Row],[2023 Total Score]]=33,"1 Excellent",IF(AND(Table133[[#This Row],[2023 Total Score]]&lt;33,Table133[[#This Row],[2023 Total Score]]&gt;24),"2 Good", IF(AND(Table133[[#This Row],[2023 Total Score]]&lt;25,Table133[[#This Row],[2023 Total Score]]&gt;16),"3 Passing","4 Failing")))</f>
        <v>2 Good</v>
      </c>
      <c r="U43" s="19"/>
      <c r="V43" s="19"/>
      <c r="W43" s="19"/>
      <c r="X43" s="19"/>
    </row>
    <row r="44" spans="1:24" ht="17" thickBot="1" x14ac:dyDescent="0.25">
      <c r="A44" s="55" t="s">
        <v>39</v>
      </c>
      <c r="B44" s="9">
        <v>2</v>
      </c>
      <c r="C44" s="9">
        <v>3</v>
      </c>
      <c r="D44" s="9">
        <v>2</v>
      </c>
      <c r="E44" s="9">
        <f>SUM(Table133[[#This Row],[1. Finding agency web site]:[6. Pipeline company contact info]])</f>
        <v>7</v>
      </c>
      <c r="F44" s="9">
        <v>2</v>
      </c>
      <c r="G44" s="9">
        <v>2</v>
      </c>
      <c r="H44" s="9">
        <v>0</v>
      </c>
      <c r="I44" s="9">
        <f>SUM(Table133[[#This Row],[3. Access to statutes, regulations]:[11. Siting &amp; routing info]])</f>
        <v>4</v>
      </c>
      <c r="J44" s="9">
        <v>3</v>
      </c>
      <c r="K44" s="9">
        <v>1</v>
      </c>
      <c r="L44" s="9">
        <v>2</v>
      </c>
      <c r="M44" s="9">
        <v>0</v>
      </c>
      <c r="N44" s="9">
        <v>3</v>
      </c>
      <c r="O44" s="9">
        <f>SUM(Table133[[#This Row],[5. Transmission pipeline maps]:[10. Excavation damage data]])</f>
        <v>9</v>
      </c>
      <c r="P44" s="9">
        <f>SUM(B44,C44,F44,G44,J44,D44,K44,L44,M44,N44,H44)</f>
        <v>20</v>
      </c>
      <c r="Q44" s="7">
        <f>VLOOKUP(A44,'[1]2022 Review w Notes'!A:M, 13,FALSE)</f>
        <v>22</v>
      </c>
      <c r="R44" s="27">
        <f>Table133[[#This Row],[2023 Total Score]]-Table133[[#This Row],[2022]]</f>
        <v>-2</v>
      </c>
      <c r="S44" s="46">
        <v>27</v>
      </c>
      <c r="T44" s="46" t="str">
        <f>IF(Table133[[#This Row],[2023 Total Score]]=33,"1 Excellent",IF(AND(Table133[[#This Row],[2023 Total Score]]&lt;33,Table133[[#This Row],[2023 Total Score]]&gt;24),"2 Good", IF(AND(Table133[[#This Row],[2023 Total Score]]&lt;25,Table133[[#This Row],[2023 Total Score]]&gt;16),"3 Passing","4 Failing")))</f>
        <v>3 Passing</v>
      </c>
      <c r="U44" s="19"/>
      <c r="V44" s="19"/>
      <c r="W44" s="19"/>
      <c r="X44" s="19"/>
    </row>
    <row r="45" spans="1:24" ht="17" thickBot="1" x14ac:dyDescent="0.25">
      <c r="A45" s="56" t="s">
        <v>60</v>
      </c>
      <c r="B45" s="9">
        <v>3</v>
      </c>
      <c r="C45" s="9">
        <v>0</v>
      </c>
      <c r="D45" s="9">
        <v>0</v>
      </c>
      <c r="E45" s="9">
        <f>SUM(Table133[[#This Row],[1. Finding agency web site]:[6. Pipeline company contact info]])</f>
        <v>3</v>
      </c>
      <c r="F45" s="9">
        <v>3</v>
      </c>
      <c r="G45" s="9">
        <v>2</v>
      </c>
      <c r="H45" s="9">
        <v>0</v>
      </c>
      <c r="I45" s="9">
        <f>SUM(Table133[[#This Row],[3. Access to statutes, regulations]:[11. Siting &amp; routing info]])</f>
        <v>5</v>
      </c>
      <c r="J45" s="9">
        <v>1</v>
      </c>
      <c r="K45" s="9">
        <v>0</v>
      </c>
      <c r="L45" s="9">
        <v>0</v>
      </c>
      <c r="M45" s="9">
        <v>0</v>
      </c>
      <c r="N45" s="9">
        <v>0</v>
      </c>
      <c r="O45" s="9">
        <f>SUM(Table133[[#This Row],[5. Transmission pipeline maps]:[10. Excavation damage data]])</f>
        <v>1</v>
      </c>
      <c r="P45" s="9">
        <f>SUM(B45,C45,F45,G45,J45,D45,K45,L45,M45,N45,H45)</f>
        <v>9</v>
      </c>
      <c r="Q45" s="7">
        <f>VLOOKUP(A45,'[1]2022 Review w Notes'!A:M, 13,FALSE)</f>
        <v>11</v>
      </c>
      <c r="R45" s="27">
        <f>Table133[[#This Row],[2023 Total Score]]-Table133[[#This Row],[2022]]</f>
        <v>-2</v>
      </c>
      <c r="S45" s="46">
        <v>43</v>
      </c>
      <c r="T45" s="46" t="str">
        <f>IF(Table133[[#This Row],[2023 Total Score]]=33,"1 Excellent",IF(AND(Table133[[#This Row],[2023 Total Score]]&lt;33,Table133[[#This Row],[2023 Total Score]]&gt;24),"2 Good", IF(AND(Table133[[#This Row],[2023 Total Score]]&lt;25,Table133[[#This Row],[2023 Total Score]]&gt;16),"3 Passing","4 Failing")))</f>
        <v>4 Failing</v>
      </c>
      <c r="U45" s="19"/>
      <c r="V45" s="19"/>
      <c r="W45" s="19"/>
      <c r="X45" s="19"/>
    </row>
    <row r="46" spans="1:24" ht="17" thickBot="1" x14ac:dyDescent="0.25">
      <c r="A46" s="56" t="s">
        <v>61</v>
      </c>
      <c r="B46" s="9">
        <v>3</v>
      </c>
      <c r="C46" s="9">
        <v>3</v>
      </c>
      <c r="D46" s="9">
        <v>0</v>
      </c>
      <c r="E46" s="9">
        <f>SUM(Table133[[#This Row],[1. Finding agency web site]:[6. Pipeline company contact info]])</f>
        <v>6</v>
      </c>
      <c r="F46" s="9">
        <v>0</v>
      </c>
      <c r="G46" s="9">
        <v>2</v>
      </c>
      <c r="H46" s="9">
        <v>0</v>
      </c>
      <c r="I46" s="9">
        <f>SUM(Table133[[#This Row],[3. Access to statutes, regulations]:[11. Siting &amp; routing info]])</f>
        <v>2</v>
      </c>
      <c r="J46" s="9">
        <v>0</v>
      </c>
      <c r="K46" s="9">
        <v>1</v>
      </c>
      <c r="L46" s="9">
        <v>0</v>
      </c>
      <c r="M46" s="9">
        <v>0</v>
      </c>
      <c r="N46" s="9">
        <v>0</v>
      </c>
      <c r="O46" s="9">
        <f>SUM(Table133[[#This Row],[5. Transmission pipeline maps]:[10. Excavation damage data]])</f>
        <v>1</v>
      </c>
      <c r="P46" s="9">
        <f>SUM(B46,C46,F46,G46,J46,D46,K46,L46,M46,N46,H46)</f>
        <v>9</v>
      </c>
      <c r="Q46" s="7">
        <f>VLOOKUP(A46,'[1]2022 Review w Notes'!A:M, 13,FALSE)</f>
        <v>11</v>
      </c>
      <c r="R46" s="27">
        <f>Table133[[#This Row],[2023 Total Score]]-Table133[[#This Row],[2022]]</f>
        <v>-2</v>
      </c>
      <c r="S46" s="46">
        <v>43</v>
      </c>
      <c r="T46" s="46" t="str">
        <f>IF(Table133[[#This Row],[2023 Total Score]]=33,"1 Excellent",IF(AND(Table133[[#This Row],[2023 Total Score]]&lt;33,Table133[[#This Row],[2023 Total Score]]&gt;24),"2 Good", IF(AND(Table133[[#This Row],[2023 Total Score]]&lt;25,Table133[[#This Row],[2023 Total Score]]&gt;16),"3 Passing","4 Failing")))</f>
        <v>4 Failing</v>
      </c>
      <c r="U46" s="19"/>
      <c r="V46" s="19"/>
      <c r="W46" s="19"/>
      <c r="X46" s="19"/>
    </row>
    <row r="47" spans="1:24" ht="17" thickBot="1" x14ac:dyDescent="0.25">
      <c r="A47" s="55" t="s">
        <v>64</v>
      </c>
      <c r="B47" s="9">
        <v>3</v>
      </c>
      <c r="C47" s="9">
        <v>0</v>
      </c>
      <c r="D47" s="9">
        <v>0</v>
      </c>
      <c r="E47" s="9">
        <f>SUM(Table133[[#This Row],[1. Finding agency web site]:[6. Pipeline company contact info]])</f>
        <v>3</v>
      </c>
      <c r="F47" s="9">
        <v>1</v>
      </c>
      <c r="G47" s="9">
        <v>3</v>
      </c>
      <c r="H47" s="9">
        <v>0</v>
      </c>
      <c r="I47" s="9">
        <f>SUM(Table133[[#This Row],[3. Access to statutes, regulations]:[11. Siting &amp; routing info]])</f>
        <v>4</v>
      </c>
      <c r="J47" s="9">
        <v>0</v>
      </c>
      <c r="K47" s="9">
        <v>0</v>
      </c>
      <c r="L47" s="9">
        <v>0</v>
      </c>
      <c r="M47" s="9">
        <v>0</v>
      </c>
      <c r="N47" s="9">
        <v>0</v>
      </c>
      <c r="O47" s="9">
        <f>SUM(Table133[[#This Row],[5. Transmission pipeline maps]:[10. Excavation damage data]])</f>
        <v>0</v>
      </c>
      <c r="P47" s="9">
        <f>SUM(B47,C47,F47,G47,J47,D47,K47,L47,M47,N47,H47)</f>
        <v>7</v>
      </c>
      <c r="Q47" s="7">
        <f>VLOOKUP(A47,'[1]2022 Review w Notes'!A:M, 13,FALSE)</f>
        <v>9</v>
      </c>
      <c r="R47" s="27">
        <f>Table133[[#This Row],[2023 Total Score]]-Table133[[#This Row],[2022]]</f>
        <v>-2</v>
      </c>
      <c r="S47" s="46">
        <v>50</v>
      </c>
      <c r="T47" s="46" t="str">
        <f>IF(Table133[[#This Row],[2023 Total Score]]=33,"1 Excellent",IF(AND(Table133[[#This Row],[2023 Total Score]]&lt;33,Table133[[#This Row],[2023 Total Score]]&gt;24),"2 Good", IF(AND(Table133[[#This Row],[2023 Total Score]]&lt;25,Table133[[#This Row],[2023 Total Score]]&gt;16),"3 Passing","4 Failing")))</f>
        <v>4 Failing</v>
      </c>
      <c r="U47" s="19"/>
      <c r="V47" s="19"/>
      <c r="W47" s="19"/>
      <c r="X47" s="19"/>
    </row>
    <row r="48" spans="1:24" ht="17" thickBot="1" x14ac:dyDescent="0.25">
      <c r="A48" s="12" t="s">
        <v>54</v>
      </c>
      <c r="B48" s="9">
        <v>2</v>
      </c>
      <c r="C48" s="9">
        <v>3</v>
      </c>
      <c r="D48" s="9">
        <v>0</v>
      </c>
      <c r="E48" s="9">
        <f>SUM(Table133[[#This Row],[1. Finding agency web site]:[6. Pipeline company contact info]])</f>
        <v>5</v>
      </c>
      <c r="F48" s="9">
        <v>1</v>
      </c>
      <c r="G48" s="9">
        <v>3</v>
      </c>
      <c r="H48" s="9">
        <v>0</v>
      </c>
      <c r="I48" s="9">
        <f>SUM(Table133[[#This Row],[3. Access to statutes, regulations]:[11. Siting &amp; routing info]])</f>
        <v>4</v>
      </c>
      <c r="J48" s="9">
        <v>0</v>
      </c>
      <c r="K48" s="9">
        <v>1</v>
      </c>
      <c r="L48" s="9">
        <v>1</v>
      </c>
      <c r="M48" s="9">
        <v>0</v>
      </c>
      <c r="N48" s="39">
        <v>0</v>
      </c>
      <c r="O48" s="9">
        <f>SUM(Table133[[#This Row],[5. Transmission pipeline maps]:[10. Excavation damage data]])</f>
        <v>2</v>
      </c>
      <c r="P48" s="9">
        <f>SUM(B48,C48,F48,G48,J48,D48,K48,L48,M48,N48,H48)</f>
        <v>11</v>
      </c>
      <c r="Q48" s="7">
        <f>VLOOKUP(A48,'[1]2022 Review w Notes'!A:M, 13,FALSE)</f>
        <v>14</v>
      </c>
      <c r="R48" s="27">
        <f>Table133[[#This Row],[2023 Total Score]]-Table133[[#This Row],[2022]]</f>
        <v>-3</v>
      </c>
      <c r="S48" s="46">
        <v>40</v>
      </c>
      <c r="T48" s="46" t="str">
        <f>IF(Table133[[#This Row],[2023 Total Score]]=33,"1 Excellent",IF(AND(Table133[[#This Row],[2023 Total Score]]&lt;33,Table133[[#This Row],[2023 Total Score]]&gt;24),"2 Good", IF(AND(Table133[[#This Row],[2023 Total Score]]&lt;25,Table133[[#This Row],[2023 Total Score]]&gt;16),"3 Passing","4 Failing")))</f>
        <v>4 Failing</v>
      </c>
      <c r="U48" s="19"/>
      <c r="V48" s="19"/>
      <c r="W48" s="19"/>
      <c r="X48" s="19"/>
    </row>
    <row r="49" spans="1:24" ht="17" thickBot="1" x14ac:dyDescent="0.25">
      <c r="A49" s="26" t="s">
        <v>56</v>
      </c>
      <c r="B49" s="9">
        <v>2</v>
      </c>
      <c r="C49" s="9">
        <v>0</v>
      </c>
      <c r="D49" s="9">
        <v>1</v>
      </c>
      <c r="E49" s="9">
        <f>SUM(Table133[[#This Row],[1. Finding agency web site]:[6. Pipeline company contact info]])</f>
        <v>3</v>
      </c>
      <c r="F49" s="9">
        <v>0</v>
      </c>
      <c r="G49" s="9">
        <v>1</v>
      </c>
      <c r="H49" s="9">
        <v>0</v>
      </c>
      <c r="I49" s="9">
        <f>SUM(Table133[[#This Row],[3. Access to statutes, regulations]:[11. Siting &amp; routing info]])</f>
        <v>1</v>
      </c>
      <c r="J49" s="9">
        <v>0</v>
      </c>
      <c r="K49" s="9">
        <v>0</v>
      </c>
      <c r="L49" s="9">
        <v>2</v>
      </c>
      <c r="M49" s="9">
        <v>2</v>
      </c>
      <c r="N49" s="9">
        <v>3</v>
      </c>
      <c r="O49" s="9">
        <f>SUM(Table133[[#This Row],[5. Transmission pipeline maps]:[10. Excavation damage data]])</f>
        <v>7</v>
      </c>
      <c r="P49" s="9">
        <f>SUM(B49,C49,F49,G49,J49,D49,K49,L49,M49,N49,H49)</f>
        <v>11</v>
      </c>
      <c r="Q49" s="7">
        <f>VLOOKUP(A49,'[1]2022 Review w Notes'!A:M, 13,FALSE)</f>
        <v>14</v>
      </c>
      <c r="R49" s="27">
        <f>Table133[[#This Row],[2023 Total Score]]-Table133[[#This Row],[2022]]</f>
        <v>-3</v>
      </c>
      <c r="S49" s="46">
        <v>40</v>
      </c>
      <c r="T49" s="46" t="str">
        <f>IF(Table133[[#This Row],[2023 Total Score]]=33,"1 Excellent",IF(AND(Table133[[#This Row],[2023 Total Score]]&lt;33,Table133[[#This Row],[2023 Total Score]]&gt;24),"2 Good", IF(AND(Table133[[#This Row],[2023 Total Score]]&lt;25,Table133[[#This Row],[2023 Total Score]]&gt;16),"3 Passing","4 Failing")))</f>
        <v>4 Failing</v>
      </c>
      <c r="U49" s="19"/>
      <c r="V49" s="19"/>
      <c r="W49" s="19"/>
      <c r="X49" s="19"/>
    </row>
    <row r="50" spans="1:24" ht="17" thickBot="1" x14ac:dyDescent="0.25">
      <c r="A50" s="5" t="s">
        <v>29</v>
      </c>
      <c r="B50" s="9">
        <v>3</v>
      </c>
      <c r="C50" s="9">
        <v>3</v>
      </c>
      <c r="D50" s="9">
        <v>0</v>
      </c>
      <c r="E50" s="9">
        <f>SUM(Table133[[#This Row],[1. Finding agency web site]:[6. Pipeline company contact info]])</f>
        <v>6</v>
      </c>
      <c r="F50" s="9">
        <v>2</v>
      </c>
      <c r="G50" s="9">
        <v>2</v>
      </c>
      <c r="H50" s="9">
        <v>3</v>
      </c>
      <c r="I50" s="9">
        <f>SUM(Table133[[#This Row],[3. Access to statutes, regulations]:[11. Siting &amp; routing info]])</f>
        <v>7</v>
      </c>
      <c r="J50" s="9">
        <v>3</v>
      </c>
      <c r="K50" s="9">
        <v>2</v>
      </c>
      <c r="L50" s="9">
        <v>2</v>
      </c>
      <c r="M50" s="9">
        <v>2</v>
      </c>
      <c r="N50" s="9">
        <v>3</v>
      </c>
      <c r="O50" s="9">
        <f>SUM(Table133[[#This Row],[5. Transmission pipeline maps]:[10. Excavation damage data]])</f>
        <v>12</v>
      </c>
      <c r="P50" s="9">
        <f>SUM(B50,C50,F50,G50,J50,D50,K50,L50,M50,N50,H50)</f>
        <v>25</v>
      </c>
      <c r="Q50" s="7">
        <f>VLOOKUP(A50,'[1]2022 Review w Notes'!A:M, 13,FALSE)</f>
        <v>29</v>
      </c>
      <c r="R50" s="27">
        <f>Table133[[#This Row],[2023 Total Score]]-Table133[[#This Row],[2022]]</f>
        <v>-4</v>
      </c>
      <c r="S50" s="46">
        <v>17</v>
      </c>
      <c r="T50" s="46" t="str">
        <f>IF(Table133[[#This Row],[2023 Total Score]]=33,"1 Excellent",IF(AND(Table133[[#This Row],[2023 Total Score]]&lt;33,Table133[[#This Row],[2023 Total Score]]&gt;24),"2 Good", IF(AND(Table133[[#This Row],[2023 Total Score]]&lt;25,Table133[[#This Row],[2023 Total Score]]&gt;16),"3 Passing","4 Failing")))</f>
        <v>2 Good</v>
      </c>
      <c r="U50" s="19"/>
      <c r="V50" s="19"/>
      <c r="W50" s="19"/>
      <c r="X50" s="19"/>
    </row>
    <row r="51" spans="1:24" ht="17" thickBot="1" x14ac:dyDescent="0.25">
      <c r="A51" s="33" t="s">
        <v>31</v>
      </c>
      <c r="B51" s="9">
        <v>2</v>
      </c>
      <c r="C51" s="9">
        <v>2</v>
      </c>
      <c r="D51" s="9">
        <v>3</v>
      </c>
      <c r="E51" s="9">
        <f>SUM(Table133[[#This Row],[1. Finding agency web site]:[6. Pipeline company contact info]])</f>
        <v>7</v>
      </c>
      <c r="F51" s="9">
        <v>3</v>
      </c>
      <c r="G51" s="9">
        <v>3</v>
      </c>
      <c r="H51" s="9">
        <v>3</v>
      </c>
      <c r="I51" s="9">
        <f>SUM(Table133[[#This Row],[3. Access to statutes, regulations]:[11. Siting &amp; routing info]])</f>
        <v>9</v>
      </c>
      <c r="J51" s="9">
        <v>3</v>
      </c>
      <c r="K51" s="9">
        <v>2</v>
      </c>
      <c r="L51" s="9">
        <v>1</v>
      </c>
      <c r="M51" s="9">
        <v>2</v>
      </c>
      <c r="N51" s="9">
        <v>0</v>
      </c>
      <c r="O51" s="9">
        <f>SUM(Table133[[#This Row],[5. Transmission pipeline maps]:[10. Excavation damage data]])</f>
        <v>8</v>
      </c>
      <c r="P51" s="9">
        <f>SUM(B51,C51,F51,G51,J51,D51,K51,L51,M51,N51,H51)</f>
        <v>24</v>
      </c>
      <c r="Q51" s="7">
        <f>VLOOKUP(A51,'[1]2022 Review w Notes'!A:M, 13,FALSE)</f>
        <v>31</v>
      </c>
      <c r="R51" s="27">
        <f>Table133[[#This Row],[2023 Total Score]]-Table133[[#This Row],[2022]]</f>
        <v>-7</v>
      </c>
      <c r="S51" s="46">
        <v>20</v>
      </c>
      <c r="T51" s="46" t="str">
        <f>IF(Table133[[#This Row],[2023 Total Score]]=33,"1 Excellent",IF(AND(Table133[[#This Row],[2023 Total Score]]&lt;33,Table133[[#This Row],[2023 Total Score]]&gt;24),"2 Good", IF(AND(Table133[[#This Row],[2023 Total Score]]&lt;25,Table133[[#This Row],[2023 Total Score]]&gt;16),"3 Passing","4 Failing")))</f>
        <v>3 Passing</v>
      </c>
      <c r="U51" s="19"/>
      <c r="V51" s="19"/>
      <c r="W51" s="19"/>
      <c r="X51" s="19"/>
    </row>
    <row r="52" spans="1:24" x14ac:dyDescent="0.2">
      <c r="A52" s="26" t="s">
        <v>58</v>
      </c>
      <c r="B52" s="9">
        <v>3</v>
      </c>
      <c r="C52" s="9">
        <v>0</v>
      </c>
      <c r="D52" s="9">
        <v>0</v>
      </c>
      <c r="E52" s="9">
        <f>SUM(Table133[[#This Row],[1. Finding agency web site]:[6. Pipeline company contact info]])</f>
        <v>3</v>
      </c>
      <c r="F52" s="9">
        <v>2</v>
      </c>
      <c r="G52" s="9">
        <v>3</v>
      </c>
      <c r="H52" s="9">
        <v>0</v>
      </c>
      <c r="I52" s="9">
        <f>SUM(Table133[[#This Row],[3. Access to statutes, regulations]:[11. Siting &amp; routing info]])</f>
        <v>5</v>
      </c>
      <c r="J52" s="9">
        <v>0</v>
      </c>
      <c r="K52" s="9">
        <v>1</v>
      </c>
      <c r="L52" s="9">
        <v>0</v>
      </c>
      <c r="M52" s="9">
        <v>0</v>
      </c>
      <c r="N52" s="9">
        <v>0</v>
      </c>
      <c r="O52" s="53">
        <f>SUM(Table133[[#This Row],[5. Transmission pipeline maps]:[10. Excavation damage data]])</f>
        <v>1</v>
      </c>
      <c r="P52" s="9">
        <f>SUM(B52,C52,F52,G52,J52,D52,K52,L52,M52,N52,H52)</f>
        <v>9</v>
      </c>
      <c r="Q52" s="7">
        <f>VLOOKUP(A52,'[1]2022 Review w Notes'!A:M, 13,FALSE)</f>
        <v>21</v>
      </c>
      <c r="R52" s="27">
        <f>Table133[[#This Row],[2023 Total Score]]-Table133[[#This Row],[2022]]</f>
        <v>-12</v>
      </c>
      <c r="S52" s="46">
        <v>43</v>
      </c>
      <c r="T52" s="46" t="str">
        <f>IF(Table133[[#This Row],[2023 Total Score]]=33,"1 Excellent",IF(AND(Table133[[#This Row],[2023 Total Score]]&lt;33,Table133[[#This Row],[2023 Total Score]]&gt;24),"2 Good", IF(AND(Table133[[#This Row],[2023 Total Score]]&lt;25,Table133[[#This Row],[2023 Total Score]]&gt;16),"3 Passing","4 Failing")))</f>
        <v>4 Failing</v>
      </c>
      <c r="U52" s="38"/>
      <c r="V52" s="38"/>
      <c r="W52" s="38"/>
      <c r="X52" s="38"/>
    </row>
    <row r="53" spans="1:24" x14ac:dyDescent="0.2">
      <c r="A53" s="42"/>
    </row>
    <row r="54" spans="1:24" x14ac:dyDescent="0.2">
      <c r="A54" s="42" t="s">
        <v>217</v>
      </c>
      <c r="B54" s="4">
        <f>AVERAGE(Table133[[#All],[1. Finding agency web site]])</f>
        <v>2.5686274509803924</v>
      </c>
      <c r="C54" s="4">
        <f>AVERAGE(Table133[[#All],[2. Contacts for agency staff]])</f>
        <v>2.1372549019607843</v>
      </c>
      <c r="D54" s="4">
        <f>AVERAGE(Table133[[#All],[6. Pipeline company contact info]])</f>
        <v>1.3333333333333333</v>
      </c>
      <c r="E54" s="4">
        <f>AVERAGE(Table133[[#All],[Communications]])</f>
        <v>6.0392156862745097</v>
      </c>
      <c r="F54" s="4">
        <f>AVERAGE(Table133[[#All],[3. Access to statutes, regulations]])</f>
        <v>2.0392156862745097</v>
      </c>
      <c r="G54" s="4">
        <f>AVERAGE(Table133[[#All],[4. Describe what state regulates]])</f>
        <v>2.4117647058823528</v>
      </c>
      <c r="H54" s="4">
        <f>AVERAGE(Table133[[#All],[11. Siting &amp; routing info]])</f>
        <v>1.1764705882352942</v>
      </c>
      <c r="I54" s="4">
        <f>AVERAGE(Table133[[#All],[Agency Authority]])</f>
        <v>5.6274509803921573</v>
      </c>
      <c r="J54" s="4">
        <f>AVERAGE(Table133[[#All],[5. Transmission pipeline maps]])</f>
        <v>2.2745098039215685</v>
      </c>
      <c r="K54" s="4">
        <f>AVERAGE(Table133[[#All],[7. Inspection records]])</f>
        <v>1.1764705882352942</v>
      </c>
      <c r="L54" s="4">
        <f>AVERAGE(Table133[[#All],[8. Incident data]])</f>
        <v>1.588235294117647</v>
      </c>
      <c r="M54" s="4">
        <f>AVERAGE(Table133[[#All],[9. Enforcement data]])</f>
        <v>1.5294117647058822</v>
      </c>
      <c r="N54" s="4">
        <f>AVERAGE(Table133[[#All],[10. Excavation damage data]])</f>
        <v>1.9803921568627452</v>
      </c>
      <c r="O54" s="4">
        <f>AVERAGE(Table133[[#All],[Data + Maps]])</f>
        <v>8.5490196078431371</v>
      </c>
      <c r="P54" s="4">
        <f>AVERAGE(Table133[2023 Total Score])</f>
        <v>20.215686274509803</v>
      </c>
      <c r="Q54" s="4">
        <f>AVERAGE(Table133[2022])</f>
        <v>19.431372549019606</v>
      </c>
      <c r="R54" s="4">
        <f>AVERAGE(Table133[Difference])</f>
        <v>0.78431372549019607</v>
      </c>
    </row>
    <row r="55" spans="1:24" x14ac:dyDescent="0.2">
      <c r="A55" s="44" t="s">
        <v>66</v>
      </c>
      <c r="B55" s="54"/>
      <c r="C55" s="54"/>
      <c r="D55" s="54"/>
      <c r="E55" s="54">
        <f>E54/3</f>
        <v>2.0130718954248366</v>
      </c>
      <c r="I55" s="4">
        <f>I54/3</f>
        <v>1.8758169934640525</v>
      </c>
      <c r="O55" s="4">
        <f>O54/5</f>
        <v>1.7098039215686274</v>
      </c>
    </row>
    <row r="56" spans="1:24" x14ac:dyDescent="0.2">
      <c r="A56" s="42"/>
    </row>
    <row r="57" spans="1:24" x14ac:dyDescent="0.2">
      <c r="A57" s="42"/>
    </row>
    <row r="58" spans="1:24" x14ac:dyDescent="0.2">
      <c r="A58" s="42" t="s">
        <v>213</v>
      </c>
      <c r="B58" s="4">
        <f>COUNTIF(Table133[Difference],"&gt;0")</f>
        <v>20</v>
      </c>
      <c r="C58" s="4">
        <f>SUMIF(Table133[Difference],"&gt;0",Table133[Difference])</f>
        <v>86</v>
      </c>
      <c r="D58" s="193">
        <f>C58/B58</f>
        <v>4.3</v>
      </c>
    </row>
    <row r="59" spans="1:24" x14ac:dyDescent="0.2">
      <c r="A59" s="42" t="s">
        <v>212</v>
      </c>
      <c r="B59" s="4">
        <f>COUNTIF(Table133[Difference],"0")</f>
        <v>14</v>
      </c>
      <c r="C59" s="4">
        <f>SUMIF(Table133[Difference],"0",Table133[Difference])</f>
        <v>0</v>
      </c>
      <c r="D59" s="193">
        <f t="shared" ref="D59:D60" si="0">C59/B59</f>
        <v>0</v>
      </c>
    </row>
    <row r="60" spans="1:24" x14ac:dyDescent="0.2">
      <c r="A60" s="42" t="s">
        <v>214</v>
      </c>
      <c r="B60" s="4">
        <f>COUNTIF(Table133[Difference],"&lt;0")</f>
        <v>17</v>
      </c>
      <c r="C60" s="4">
        <f>SUMIF(Table133[Difference],"&lt;0",Table133[Difference])</f>
        <v>-46</v>
      </c>
      <c r="D60" s="193">
        <f t="shared" si="0"/>
        <v>-2.7058823529411766</v>
      </c>
    </row>
    <row r="61" spans="1:24" x14ac:dyDescent="0.2">
      <c r="A61" s="42"/>
    </row>
    <row r="62" spans="1:24" x14ac:dyDescent="0.2">
      <c r="A62" s="42"/>
    </row>
    <row r="63" spans="1:24" x14ac:dyDescent="0.2">
      <c r="A63" s="42"/>
    </row>
    <row r="64" spans="1:24" x14ac:dyDescent="0.2">
      <c r="A64" s="42"/>
    </row>
    <row r="65" spans="1:12" x14ac:dyDescent="0.2">
      <c r="A65" s="42"/>
    </row>
    <row r="66" spans="1:12" x14ac:dyDescent="0.2">
      <c r="A66" s="42"/>
    </row>
    <row r="67" spans="1:12" x14ac:dyDescent="0.2">
      <c r="A67" s="42"/>
    </row>
    <row r="68" spans="1:12" x14ac:dyDescent="0.2">
      <c r="A68" s="42"/>
    </row>
    <row r="69" spans="1:12" x14ac:dyDescent="0.2">
      <c r="A69" s="42"/>
    </row>
    <row r="70" spans="1:12" x14ac:dyDescent="0.2">
      <c r="A70" s="42"/>
    </row>
    <row r="71" spans="1:12" x14ac:dyDescent="0.2">
      <c r="A71" s="60" t="s">
        <v>72</v>
      </c>
      <c r="B71" t="s">
        <v>75</v>
      </c>
      <c r="C71" t="s">
        <v>76</v>
      </c>
      <c r="D71" t="s">
        <v>77</v>
      </c>
      <c r="E71" t="s">
        <v>78</v>
      </c>
      <c r="F71" t="s">
        <v>79</v>
      </c>
      <c r="L71" s="62" t="s">
        <v>72</v>
      </c>
    </row>
    <row r="72" spans="1:12" x14ac:dyDescent="0.2">
      <c r="A72" s="61" t="s">
        <v>73</v>
      </c>
      <c r="B72">
        <v>17.328594771241828</v>
      </c>
      <c r="C72">
        <v>3.751633986928105</v>
      </c>
      <c r="D72">
        <v>5.117647058823529</v>
      </c>
      <c r="E72">
        <v>20.196078431372548</v>
      </c>
      <c r="F72">
        <v>0.76470588235294112</v>
      </c>
      <c r="G72" s="4" t="s">
        <v>84</v>
      </c>
      <c r="H72" s="4" t="s">
        <v>69</v>
      </c>
      <c r="I72" s="4" t="s">
        <v>70</v>
      </c>
      <c r="J72" s="4" t="s">
        <v>85</v>
      </c>
    </row>
    <row r="73" spans="1:12" x14ac:dyDescent="0.2">
      <c r="A73" s="61" t="s">
        <v>80</v>
      </c>
      <c r="B73">
        <v>9</v>
      </c>
      <c r="C73">
        <v>9</v>
      </c>
      <c r="D73">
        <v>15</v>
      </c>
      <c r="E73">
        <v>33</v>
      </c>
      <c r="F73">
        <v>1.5</v>
      </c>
      <c r="G73" s="4">
        <f>GETPIVOTDATA("Average of Communications",$A$71,"Rating",A73)/3</f>
        <v>3</v>
      </c>
      <c r="H73" s="4">
        <f>GETPIVOTDATA("Average of Agency Authority",$A$71,"Rating",A73)/3</f>
        <v>3</v>
      </c>
      <c r="I73" s="4">
        <f>GETPIVOTDATA("Average of Data + Maps",$A$71,"Rating",A73)/5</f>
        <v>3</v>
      </c>
      <c r="J73" s="4">
        <f>GETPIVOTDATA("Average of 2023 Total Score",$A$71,"Rating",A73)/11</f>
        <v>3</v>
      </c>
    </row>
    <row r="74" spans="1:12" x14ac:dyDescent="0.2">
      <c r="A74" s="61" t="s">
        <v>81</v>
      </c>
      <c r="B74">
        <v>7.5333333333333332</v>
      </c>
      <c r="C74">
        <v>7.8666666666666663</v>
      </c>
      <c r="D74">
        <v>12.066666666666666</v>
      </c>
      <c r="E74">
        <v>27.466666666666665</v>
      </c>
      <c r="F74">
        <v>2.0666666666666669</v>
      </c>
      <c r="G74" s="4">
        <f t="shared" ref="G74:G76" si="1">GETPIVOTDATA("Average of Communications",$A$71,"Rating",A74)/3</f>
        <v>2.5111111111111111</v>
      </c>
      <c r="H74" s="4">
        <f t="shared" ref="H74:H76" si="2">GETPIVOTDATA("Average of Agency Authority",$A$71,"Rating",A74)/3</f>
        <v>2.6222222222222222</v>
      </c>
      <c r="I74" s="4">
        <f t="shared" ref="I74:I76" si="3">GETPIVOTDATA("Average of Data + Maps",$A$71,"Rating",A74)/5</f>
        <v>2.4133333333333331</v>
      </c>
      <c r="J74" s="4">
        <f t="shared" ref="J74:J76" si="4">GETPIVOTDATA("Average of 2023 Total Score",$A$71,"Rating",A74)/11</f>
        <v>2.4969696969696966</v>
      </c>
    </row>
    <row r="75" spans="1:12" x14ac:dyDescent="0.2">
      <c r="A75" s="61" t="s">
        <v>82</v>
      </c>
      <c r="B75">
        <v>5.7058823529411766</v>
      </c>
      <c r="C75">
        <v>5.1764705882352944</v>
      </c>
      <c r="D75">
        <v>9.235294117647058</v>
      </c>
      <c r="E75">
        <v>20.117647058823529</v>
      </c>
      <c r="F75">
        <v>0.82352941176470584</v>
      </c>
      <c r="G75" s="4">
        <f t="shared" si="1"/>
        <v>1.9019607843137256</v>
      </c>
      <c r="H75" s="4">
        <f t="shared" si="2"/>
        <v>1.7254901960784315</v>
      </c>
      <c r="I75" s="4">
        <f t="shared" si="3"/>
        <v>1.8470588235294116</v>
      </c>
      <c r="J75" s="4">
        <f t="shared" si="4"/>
        <v>1.8288770053475936</v>
      </c>
    </row>
    <row r="76" spans="1:12" x14ac:dyDescent="0.2">
      <c r="A76" s="61" t="s">
        <v>83</v>
      </c>
      <c r="B76">
        <v>4.1333333333333337</v>
      </c>
      <c r="C76">
        <v>3</v>
      </c>
      <c r="D76">
        <v>2.4666666666666668</v>
      </c>
      <c r="E76">
        <v>9.6</v>
      </c>
      <c r="F76">
        <v>-0.8</v>
      </c>
      <c r="G76" s="4">
        <f t="shared" si="1"/>
        <v>1.377777777777778</v>
      </c>
      <c r="H76" s="4">
        <f t="shared" si="2"/>
        <v>1</v>
      </c>
      <c r="I76" s="4">
        <f t="shared" si="3"/>
        <v>0.49333333333333335</v>
      </c>
      <c r="J76" s="4">
        <f t="shared" si="4"/>
        <v>0.87272727272727268</v>
      </c>
    </row>
    <row r="77" spans="1:12" x14ac:dyDescent="0.2">
      <c r="A77" s="61" t="s">
        <v>74</v>
      </c>
      <c r="B77">
        <v>7.5699789520327903</v>
      </c>
      <c r="C77">
        <v>5.5566654334689858</v>
      </c>
      <c r="D77">
        <v>8.4006659267480579</v>
      </c>
      <c r="E77">
        <v>20.196078431372548</v>
      </c>
      <c r="F77">
        <v>0.76470588235294124</v>
      </c>
    </row>
    <row r="78" spans="1:12" x14ac:dyDescent="0.2">
      <c r="A78"/>
      <c r="B78"/>
      <c r="C78"/>
      <c r="G78" s="4">
        <f>(3-G74)/3</f>
        <v>0.16296296296296298</v>
      </c>
      <c r="H78" s="4">
        <f t="shared" ref="H78:J78" si="5">(3-H74)/3</f>
        <v>0.12592592592592591</v>
      </c>
      <c r="I78" s="4">
        <f t="shared" si="5"/>
        <v>0.19555555555555562</v>
      </c>
      <c r="J78" s="4">
        <f t="shared" si="5"/>
        <v>0.16767676767676779</v>
      </c>
    </row>
    <row r="79" spans="1:12" x14ac:dyDescent="0.2">
      <c r="A79"/>
      <c r="B79"/>
      <c r="C79"/>
      <c r="G79" s="4">
        <f t="shared" ref="G79:J80" si="6">(3-G75)/3</f>
        <v>0.36601307189542481</v>
      </c>
      <c r="H79" s="4">
        <f t="shared" si="6"/>
        <v>0.42483660130718953</v>
      </c>
      <c r="I79" s="4">
        <f t="shared" si="6"/>
        <v>0.3843137254901961</v>
      </c>
      <c r="J79" s="4">
        <f t="shared" si="6"/>
        <v>0.39037433155080214</v>
      </c>
    </row>
    <row r="80" spans="1:12" x14ac:dyDescent="0.2">
      <c r="A80" s="61"/>
      <c r="B80"/>
      <c r="C80"/>
      <c r="D80"/>
      <c r="E80"/>
      <c r="F80"/>
      <c r="G80" s="4">
        <f t="shared" si="6"/>
        <v>0.54074074074074063</v>
      </c>
      <c r="H80" s="4">
        <f t="shared" si="6"/>
        <v>0.66666666666666663</v>
      </c>
      <c r="I80" s="4">
        <f t="shared" si="6"/>
        <v>0.83555555555555561</v>
      </c>
      <c r="J80" s="4">
        <f t="shared" si="6"/>
        <v>0.70909090909090911</v>
      </c>
    </row>
    <row r="81" spans="1:15" x14ac:dyDescent="0.2">
      <c r="A81" s="61"/>
      <c r="B81"/>
      <c r="C81"/>
      <c r="D81"/>
      <c r="E81"/>
      <c r="F81"/>
    </row>
    <row r="82" spans="1:15" x14ac:dyDescent="0.2">
      <c r="A82" s="61"/>
      <c r="B82"/>
      <c r="C82"/>
      <c r="D82"/>
      <c r="E82"/>
      <c r="F82"/>
    </row>
    <row r="83" spans="1:15" x14ac:dyDescent="0.2">
      <c r="A83" s="61"/>
      <c r="B83"/>
      <c r="C83"/>
      <c r="D83"/>
      <c r="E83"/>
      <c r="F83"/>
    </row>
    <row r="84" spans="1:15" ht="68" x14ac:dyDescent="0.2">
      <c r="A84" t="s">
        <v>86</v>
      </c>
      <c r="B84" s="63" t="s">
        <v>1</v>
      </c>
      <c r="C84" s="63" t="s">
        <v>2</v>
      </c>
      <c r="D84" s="63" t="s">
        <v>6</v>
      </c>
      <c r="F84" s="63" t="s">
        <v>3</v>
      </c>
      <c r="G84" s="63" t="s">
        <v>4</v>
      </c>
      <c r="H84" s="63" t="s">
        <v>11</v>
      </c>
      <c r="J84" s="63" t="s">
        <v>5</v>
      </c>
      <c r="K84" s="63" t="s">
        <v>7</v>
      </c>
      <c r="L84" s="63" t="s">
        <v>8</v>
      </c>
      <c r="M84" s="63" t="s">
        <v>9</v>
      </c>
      <c r="N84" s="63" t="s">
        <v>10</v>
      </c>
    </row>
    <row r="85" spans="1:15" x14ac:dyDescent="0.2">
      <c r="A85">
        <v>0</v>
      </c>
      <c r="B85">
        <f>COUNTIF(Table133[1. Finding agency web site],$A85)</f>
        <v>1</v>
      </c>
      <c r="C85">
        <f>COUNTIF(Table133[2. Contacts for agency staff],$A85)</f>
        <v>11</v>
      </c>
      <c r="D85">
        <f>COUNTIF(Table133[6. Pipeline company contact info],$A85)</f>
        <v>20</v>
      </c>
      <c r="E85"/>
      <c r="F85">
        <f>COUNTIF(Table133[3. Access to statutes, regulations],$A85)</f>
        <v>5</v>
      </c>
      <c r="G85">
        <f>COUNTIF(Table133[4. Describe what state regulates],$A85)</f>
        <v>2</v>
      </c>
      <c r="H85">
        <f>COUNTIF(Table133[11. Siting &amp; routing info],$A85)</f>
        <v>27</v>
      </c>
      <c r="I85"/>
      <c r="J85">
        <f>COUNTIF(Table133[5. Transmission pipeline maps],$A85)</f>
        <v>11</v>
      </c>
      <c r="K85">
        <f>COUNTIF(Table133[7. Inspection records],$A85)</f>
        <v>15</v>
      </c>
      <c r="L85">
        <f>COUNTIF(Table133[8. Incident data],$A85)</f>
        <v>13</v>
      </c>
      <c r="M85">
        <f>COUNTIF(Table133[9. Enforcement data],$A85)</f>
        <v>14</v>
      </c>
      <c r="N85">
        <f>COUNTIF(Table133[10. Excavation damage data],$A85)</f>
        <v>16</v>
      </c>
      <c r="O85"/>
    </row>
    <row r="86" spans="1:15" x14ac:dyDescent="0.2">
      <c r="A86">
        <v>1</v>
      </c>
      <c r="B86">
        <f>COUNTIF(Table133[1. Finding agency web site],$A86)</f>
        <v>0</v>
      </c>
      <c r="C86">
        <f>COUNTIF(Table133[2. Contacts for agency staff],$A86)</f>
        <v>1</v>
      </c>
      <c r="D86">
        <f>COUNTIF(Table133[6. Pipeline company contact info],$A86)</f>
        <v>7</v>
      </c>
      <c r="E86"/>
      <c r="F86">
        <f>COUNTIF(Table133[3. Access to statutes, regulations],$A86)</f>
        <v>11</v>
      </c>
      <c r="G86">
        <f>COUNTIF(Table133[4. Describe what state regulates],$A86)</f>
        <v>5</v>
      </c>
      <c r="H86">
        <f>COUNTIF(Table133[11. Siting &amp; routing info],$A86)</f>
        <v>5</v>
      </c>
      <c r="I86"/>
      <c r="J86">
        <f>COUNTIF(Table133[5. Transmission pipeline maps],$A86)</f>
        <v>2</v>
      </c>
      <c r="K86">
        <f>COUNTIF(Table133[7. Inspection records],$A86)</f>
        <v>22</v>
      </c>
      <c r="L86">
        <f>COUNTIF(Table133[8. Incident data],$A86)</f>
        <v>4</v>
      </c>
      <c r="M86">
        <f>COUNTIF(Table133[9. Enforcement data],$A86)</f>
        <v>4</v>
      </c>
      <c r="N86">
        <f>COUNTIF(Table133[10. Excavation damage data],$A86)</f>
        <v>0</v>
      </c>
      <c r="O86"/>
    </row>
    <row r="87" spans="1:15" x14ac:dyDescent="0.2">
      <c r="A87">
        <v>2</v>
      </c>
      <c r="B87">
        <f>COUNTIF(Table133[1. Finding agency web site],$A87)</f>
        <v>19</v>
      </c>
      <c r="C87">
        <f>COUNTIF(Table133[2. Contacts for agency staff],$A87)</f>
        <v>9</v>
      </c>
      <c r="D87">
        <f>COUNTIF(Table133[6. Pipeline company contact info],$A87)</f>
        <v>11</v>
      </c>
      <c r="E87"/>
      <c r="F87">
        <f>COUNTIF(Table133[3. Access to statutes, regulations],$A87)</f>
        <v>12</v>
      </c>
      <c r="G87">
        <f>COUNTIF(Table133[4. Describe what state regulates],$A87)</f>
        <v>14</v>
      </c>
      <c r="H87">
        <f>COUNTIF(Table133[11. Siting &amp; routing info],$A87)</f>
        <v>2</v>
      </c>
      <c r="I87"/>
      <c r="J87">
        <f>COUNTIF(Table133[5. Transmission pipeline maps],$A87)</f>
        <v>0</v>
      </c>
      <c r="K87">
        <f>COUNTIF(Table133[7. Inspection records],$A87)</f>
        <v>4</v>
      </c>
      <c r="L87">
        <f>COUNTIF(Table133[8. Incident data],$A87)</f>
        <v>25</v>
      </c>
      <c r="M87">
        <f>COUNTIF(Table133[9. Enforcement data],$A87)</f>
        <v>25</v>
      </c>
      <c r="N87">
        <f>COUNTIF(Table133[10. Excavation damage data],$A87)</f>
        <v>4</v>
      </c>
      <c r="O87"/>
    </row>
    <row r="88" spans="1:15" x14ac:dyDescent="0.2">
      <c r="A88">
        <v>3</v>
      </c>
      <c r="B88">
        <f>COUNTIF(Table133[1. Finding agency web site],$A88)</f>
        <v>31</v>
      </c>
      <c r="C88">
        <f>COUNTIF(Table133[2. Contacts for agency staff],$A88)</f>
        <v>30</v>
      </c>
      <c r="D88">
        <f>COUNTIF(Table133[6. Pipeline company contact info],$A88)</f>
        <v>13</v>
      </c>
      <c r="E88"/>
      <c r="F88">
        <f>COUNTIF(Table133[3. Access to statutes, regulations],$A88)</f>
        <v>23</v>
      </c>
      <c r="G88">
        <f>COUNTIF(Table133[4. Describe what state regulates],$A88)</f>
        <v>30</v>
      </c>
      <c r="H88">
        <f>COUNTIF(Table133[11. Siting &amp; routing info],$A88)</f>
        <v>17</v>
      </c>
      <c r="I88"/>
      <c r="J88">
        <f>COUNTIF(Table133[5. Transmission pipeline maps],$A88)</f>
        <v>38</v>
      </c>
      <c r="K88">
        <f>COUNTIF(Table133[7. Inspection records],$A88)</f>
        <v>10</v>
      </c>
      <c r="L88">
        <f>COUNTIF(Table133[8. Incident data],$A88)</f>
        <v>9</v>
      </c>
      <c r="M88">
        <f>COUNTIF(Table133[9. Enforcement data],$A88)</f>
        <v>8</v>
      </c>
      <c r="N88">
        <f>COUNTIF(Table133[10. Excavation damage data],$A88)</f>
        <v>31</v>
      </c>
      <c r="O88"/>
    </row>
    <row r="89" spans="1:15" x14ac:dyDescent="0.2">
      <c r="A89"/>
      <c r="B89"/>
      <c r="C89"/>
      <c r="D89"/>
      <c r="E89"/>
    </row>
    <row r="90" spans="1:15" x14ac:dyDescent="0.2">
      <c r="A90"/>
      <c r="B90"/>
      <c r="C90"/>
    </row>
    <row r="91" spans="1:15" ht="51" x14ac:dyDescent="0.2">
      <c r="A91" t="s">
        <v>86</v>
      </c>
      <c r="B91"/>
      <c r="C91"/>
      <c r="F91" s="63" t="s">
        <v>3</v>
      </c>
      <c r="G91" s="63" t="s">
        <v>4</v>
      </c>
      <c r="H91" s="63" t="s">
        <v>11</v>
      </c>
    </row>
    <row r="92" spans="1:15" x14ac:dyDescent="0.2">
      <c r="A92">
        <v>0</v>
      </c>
      <c r="B92"/>
      <c r="C92"/>
      <c r="F92">
        <f>COUNTIFS(Table133[3. Access to statutes, regulations],$A92,Table133[Rating],T$3)</f>
        <v>0</v>
      </c>
      <c r="G92">
        <f>COUNTIFS(Table133[4. Describe what state regulates],$A92,Table133[Rating],T$3)</f>
        <v>0</v>
      </c>
      <c r="H92">
        <f>COUNTIFS(Table133[11. Siting &amp; routing info],$A92,Table133[Rating],T$3)</f>
        <v>1</v>
      </c>
    </row>
    <row r="93" spans="1:15" x14ac:dyDescent="0.2">
      <c r="A93">
        <v>1</v>
      </c>
      <c r="B93"/>
      <c r="C93"/>
      <c r="F93">
        <f>COUNTIFS(Table133[3. Access to statutes, regulations],$A93,Table133[Rating],T$3)</f>
        <v>1</v>
      </c>
      <c r="G93">
        <f>COUNTIFS(Table133[4. Describe what state regulates],$A93,Table133[Rating],T$3)</f>
        <v>0</v>
      </c>
      <c r="H93">
        <f>COUNTIFS(Table133[11. Siting &amp; routing info],$A93,Table133[Rating],T$3)</f>
        <v>3</v>
      </c>
    </row>
    <row r="94" spans="1:15" x14ac:dyDescent="0.2">
      <c r="A94">
        <v>2</v>
      </c>
      <c r="B94"/>
      <c r="C94"/>
      <c r="F94">
        <f>COUNTIFS(Table133[3. Access to statutes, regulations],$A94,Table133[Rating],T$3)</f>
        <v>3</v>
      </c>
      <c r="G94">
        <f>COUNTIFS(Table133[4. Describe what state regulates],$A94,Table133[Rating],T$3)</f>
        <v>3</v>
      </c>
      <c r="H94">
        <f>COUNTIFS(Table133[11. Siting &amp; routing info],$A94,Table133[Rating],T$3)</f>
        <v>0</v>
      </c>
    </row>
    <row r="95" spans="1:15" x14ac:dyDescent="0.2">
      <c r="A95">
        <v>3</v>
      </c>
      <c r="B95"/>
      <c r="C95"/>
      <c r="F95">
        <f>COUNTIFS(Table133[3. Access to statutes, regulations],$A95,Table133[Rating],"1 Excellent")</f>
        <v>5</v>
      </c>
      <c r="G95">
        <f>COUNTIFS(Table133[4. Describe what state regulates],$A95,Table133[Rating],T$3)</f>
        <v>11</v>
      </c>
      <c r="H95">
        <f>COUNTIFS(Table133[11. Siting &amp; routing info],$A95,Table133[Rating],T$3)</f>
        <v>10</v>
      </c>
    </row>
    <row r="96" spans="1:15" x14ac:dyDescent="0.2">
      <c r="A96"/>
      <c r="B96"/>
      <c r="C96"/>
    </row>
    <row r="97" spans="1:8" ht="51" x14ac:dyDescent="0.2">
      <c r="A97" t="s">
        <v>86</v>
      </c>
      <c r="B97"/>
      <c r="C97"/>
      <c r="F97" s="63" t="s">
        <v>3</v>
      </c>
      <c r="G97" s="63" t="s">
        <v>4</v>
      </c>
      <c r="H97" s="63" t="s">
        <v>11</v>
      </c>
    </row>
    <row r="98" spans="1:8" x14ac:dyDescent="0.2">
      <c r="A98">
        <v>0</v>
      </c>
      <c r="B98"/>
      <c r="C98"/>
      <c r="F98">
        <f>COUNTIFS(Table133[3. Access to statutes, regulations],$A98,Table133[Rating],T$6)</f>
        <v>0</v>
      </c>
      <c r="G98">
        <f>COUNTIFS(Table133[4. Describe what state regulates],$A98,Table133[Rating],T$6)</f>
        <v>0</v>
      </c>
      <c r="H98">
        <f>COUNTIFS(Table133[11. Siting &amp; routing info],$A98,Table133[Rating],T$6)</f>
        <v>1</v>
      </c>
    </row>
    <row r="99" spans="1:8" x14ac:dyDescent="0.2">
      <c r="A99">
        <v>1</v>
      </c>
      <c r="B99"/>
      <c r="C99"/>
      <c r="F99">
        <f>COUNTIFS(Table133[3. Access to statutes, regulations],$A99,Table133[Rating],T$6)</f>
        <v>1</v>
      </c>
      <c r="G99">
        <f>COUNTIFS(Table133[4. Describe what state regulates],$A99,Table133[Rating],T$6)</f>
        <v>0</v>
      </c>
      <c r="H99">
        <f>COUNTIFS(Table133[11. Siting &amp; routing info],$A99,Table133[Rating],T$6)</f>
        <v>3</v>
      </c>
    </row>
    <row r="100" spans="1:8" x14ac:dyDescent="0.2">
      <c r="A100">
        <v>2</v>
      </c>
      <c r="B100"/>
      <c r="C100"/>
      <c r="F100">
        <f>COUNTIFS(Table133[3. Access to statutes, regulations],$A100,Table133[Rating],T$6)</f>
        <v>3</v>
      </c>
      <c r="G100">
        <f>COUNTIFS(Table133[4. Describe what state regulates],$A100,Table133[Rating],T$6)</f>
        <v>3</v>
      </c>
      <c r="H100">
        <f>COUNTIFS(Table133[11. Siting &amp; routing info],$A100,Table133[Rating],T$6)</f>
        <v>0</v>
      </c>
    </row>
    <row r="101" spans="1:8" x14ac:dyDescent="0.2">
      <c r="A101">
        <v>3</v>
      </c>
      <c r="B101"/>
      <c r="C101"/>
      <c r="F101">
        <f>COUNTIFS(Table133[3. Access to statutes, regulations],$A101,Table133[Rating],T$6)</f>
        <v>10</v>
      </c>
      <c r="G101">
        <f>COUNTIFS(Table133[4. Describe what state regulates],$A101,Table133[Rating],T$6)</f>
        <v>11</v>
      </c>
      <c r="H101">
        <f>COUNTIFS(Table133[11. Siting &amp; routing info],$A101,Table133[Rating],T$6)</f>
        <v>10</v>
      </c>
    </row>
    <row r="102" spans="1:8" x14ac:dyDescent="0.2">
      <c r="A102"/>
      <c r="B102"/>
      <c r="C102"/>
    </row>
    <row r="103" spans="1:8" x14ac:dyDescent="0.2">
      <c r="A103" s="42"/>
    </row>
    <row r="104" spans="1:8" ht="51" x14ac:dyDescent="0.2">
      <c r="A104" t="s">
        <v>86</v>
      </c>
      <c r="B104"/>
      <c r="C104"/>
      <c r="F104" s="63" t="s">
        <v>3</v>
      </c>
      <c r="G104" s="63" t="s">
        <v>4</v>
      </c>
      <c r="H104" s="63" t="s">
        <v>11</v>
      </c>
    </row>
    <row r="105" spans="1:8" x14ac:dyDescent="0.2">
      <c r="A105">
        <v>0</v>
      </c>
      <c r="B105"/>
      <c r="C105"/>
      <c r="F105">
        <f>COUNTIFS(Table133[3. Access to statutes, regulations],$A105,Table133[Rating],"3 Passing")</f>
        <v>0</v>
      </c>
      <c r="G105">
        <f>COUNTIFS(Table133[4. Describe what state regulates],$A105,Table133[Rating],"3 Passing")</f>
        <v>0</v>
      </c>
      <c r="H105">
        <f>COUNTIFS(Table133[11. Siting &amp; routing info],$A105,Table133[Rating],"3 Passing")</f>
        <v>12</v>
      </c>
    </row>
    <row r="106" spans="1:8" x14ac:dyDescent="0.2">
      <c r="A106">
        <v>1</v>
      </c>
      <c r="B106"/>
      <c r="C106"/>
      <c r="F106">
        <f>COUNTIFS(Table133[3. Access to statutes, regulations],$A106,Table133[Rating],"3 Passing")</f>
        <v>5</v>
      </c>
      <c r="G106">
        <f>COUNTIFS(Table133[4. Describe what state regulates],$A106,Table133[Rating],"3 Passing")</f>
        <v>2</v>
      </c>
      <c r="H106">
        <f>COUNTIFS(Table133[11. Siting &amp; routing info],$A106,Table133[Rating],"3 Passing")</f>
        <v>1</v>
      </c>
    </row>
    <row r="107" spans="1:8" x14ac:dyDescent="0.2">
      <c r="A107">
        <v>2</v>
      </c>
      <c r="B107"/>
      <c r="C107"/>
      <c r="F107">
        <f>COUNTIFS(Table133[3. Access to statutes, regulations],$A107,Table133[Rating],"3 Passing")</f>
        <v>5</v>
      </c>
      <c r="G107">
        <f>COUNTIFS(Table133[4. Describe what state regulates],$A107,Table133[Rating],"3 Passing")</f>
        <v>6</v>
      </c>
      <c r="H107">
        <f>COUNTIFS(Table133[11. Siting &amp; routing info],$A107,Table133[Rating],"3 Passing")</f>
        <v>2</v>
      </c>
    </row>
    <row r="108" spans="1:8" x14ac:dyDescent="0.2">
      <c r="A108">
        <v>3</v>
      </c>
      <c r="B108"/>
      <c r="C108"/>
      <c r="F108">
        <f>COUNTIFS(Table133[3. Access to statutes, regulations],$A108,Table133[Rating],"3 Passing")</f>
        <v>7</v>
      </c>
      <c r="G108">
        <f>COUNTIFS(Table133[4. Describe what state regulates],$A108,Table133[Rating],"3 Passing")</f>
        <v>9</v>
      </c>
      <c r="H108">
        <f>COUNTIFS(Table133[11. Siting &amp; routing info],$A108,Table133[Rating],"3 Passing")</f>
        <v>2</v>
      </c>
    </row>
    <row r="109" spans="1:8" x14ac:dyDescent="0.2">
      <c r="A109" s="42"/>
    </row>
    <row r="110" spans="1:8" ht="51" x14ac:dyDescent="0.2">
      <c r="A110" t="s">
        <v>86</v>
      </c>
      <c r="B110"/>
      <c r="C110"/>
      <c r="F110" s="63" t="s">
        <v>3</v>
      </c>
      <c r="G110" s="63" t="s">
        <v>4</v>
      </c>
      <c r="H110" s="63" t="s">
        <v>11</v>
      </c>
    </row>
    <row r="111" spans="1:8" x14ac:dyDescent="0.2">
      <c r="A111">
        <v>0</v>
      </c>
      <c r="B111"/>
      <c r="C111"/>
      <c r="F111">
        <f>COUNTIFS(Table133[3. Access to statutes, regulations],$A111,Table133[Rating],"4 Failing")</f>
        <v>5</v>
      </c>
      <c r="G111">
        <f>COUNTIFS(Table133[4. Describe what state regulates],$A111,Table133[Rating],"4 Failing")</f>
        <v>2</v>
      </c>
      <c r="H111">
        <f>COUNTIFS(Table133[11. Siting &amp; routing info],$A111,Table133[Rating],"4 Failing")</f>
        <v>14</v>
      </c>
    </row>
    <row r="112" spans="1:8" x14ac:dyDescent="0.2">
      <c r="A112">
        <v>1</v>
      </c>
      <c r="B112"/>
      <c r="C112"/>
      <c r="F112">
        <f>COUNTIFS(Table133[3. Access to statutes, regulations],$A112,Table133[Rating],"4 Failing")</f>
        <v>5</v>
      </c>
      <c r="G112">
        <f>COUNTIFS(Table133[4. Describe what state regulates],$A112,Table133[Rating],"4 Failing")</f>
        <v>3</v>
      </c>
      <c r="H112">
        <f>COUNTIFS(Table133[11. Siting &amp; routing info],$A112,Table133[Rating],"4 Failing")</f>
        <v>1</v>
      </c>
    </row>
    <row r="113" spans="1:8" x14ac:dyDescent="0.2">
      <c r="A113">
        <v>2</v>
      </c>
      <c r="B113"/>
      <c r="C113"/>
      <c r="F113">
        <f>COUNTIFS(Table133[3. Access to statutes, regulations],$A113,Table133[Rating],"4 Failing")</f>
        <v>4</v>
      </c>
      <c r="G113">
        <f>COUNTIFS(Table133[4. Describe what state regulates],$A113,Table133[Rating],"4 Failing")</f>
        <v>5</v>
      </c>
      <c r="H113">
        <f>COUNTIFS(Table133[11. Siting &amp; routing info],$A113,Table133[Rating],"4 Failing")</f>
        <v>0</v>
      </c>
    </row>
    <row r="114" spans="1:8" x14ac:dyDescent="0.2">
      <c r="A114">
        <v>3</v>
      </c>
      <c r="B114"/>
      <c r="C114"/>
      <c r="F114">
        <f>COUNTIFS(Table133[3. Access to statutes, regulations],$A114,Table133[Rating],"4 Failing")</f>
        <v>1</v>
      </c>
      <c r="G114">
        <f>COUNTIFS(Table133[4. Describe what state regulates],$A114,Table133[Rating],"4 Failing")</f>
        <v>5</v>
      </c>
      <c r="H114">
        <f>COUNTIFS(Table133[11. Siting &amp; routing info],$A114,Table133[Rating],"4 Failing")</f>
        <v>0</v>
      </c>
    </row>
    <row r="115" spans="1:8" x14ac:dyDescent="0.2">
      <c r="A115" s="42"/>
    </row>
    <row r="116" spans="1:8" x14ac:dyDescent="0.2">
      <c r="A116" s="42"/>
    </row>
    <row r="117" spans="1:8" x14ac:dyDescent="0.2">
      <c r="A117" s="42"/>
    </row>
    <row r="118" spans="1:8" x14ac:dyDescent="0.2">
      <c r="A118" s="42"/>
    </row>
    <row r="119" spans="1:8" x14ac:dyDescent="0.2">
      <c r="A119" s="42"/>
    </row>
    <row r="120" spans="1:8" x14ac:dyDescent="0.2">
      <c r="A120" s="42"/>
    </row>
    <row r="121" spans="1:8" x14ac:dyDescent="0.2">
      <c r="A121" s="42"/>
    </row>
    <row r="122" spans="1:8" x14ac:dyDescent="0.2">
      <c r="A122" s="42"/>
    </row>
    <row r="123" spans="1:8" x14ac:dyDescent="0.2">
      <c r="A123" s="42"/>
    </row>
    <row r="124" spans="1:8" x14ac:dyDescent="0.2">
      <c r="A124" s="42"/>
    </row>
    <row r="125" spans="1:8" x14ac:dyDescent="0.2">
      <c r="A125" s="42"/>
    </row>
    <row r="126" spans="1:8" x14ac:dyDescent="0.2">
      <c r="A126" s="42"/>
    </row>
    <row r="127" spans="1:8" x14ac:dyDescent="0.2">
      <c r="A127" s="42"/>
    </row>
    <row r="128" spans="1:8"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row>
    <row r="194" spans="1:1" x14ac:dyDescent="0.2">
      <c r="A194" s="42"/>
    </row>
    <row r="195" spans="1:1" x14ac:dyDescent="0.2">
      <c r="A195" s="42"/>
    </row>
    <row r="196" spans="1:1" x14ac:dyDescent="0.2">
      <c r="A196" s="42"/>
    </row>
    <row r="197" spans="1:1" x14ac:dyDescent="0.2">
      <c r="A197" s="42"/>
    </row>
    <row r="198" spans="1:1" x14ac:dyDescent="0.2">
      <c r="A198" s="42"/>
    </row>
    <row r="199" spans="1:1" x14ac:dyDescent="0.2">
      <c r="A199" s="42"/>
    </row>
    <row r="200" spans="1:1" x14ac:dyDescent="0.2">
      <c r="A200" s="42"/>
    </row>
    <row r="201" spans="1:1" x14ac:dyDescent="0.2">
      <c r="A201" s="42"/>
    </row>
    <row r="202" spans="1:1" x14ac:dyDescent="0.2">
      <c r="A202" s="42"/>
    </row>
    <row r="203" spans="1:1" x14ac:dyDescent="0.2">
      <c r="A203" s="42"/>
    </row>
    <row r="204" spans="1:1" x14ac:dyDescent="0.2">
      <c r="A204" s="42"/>
    </row>
    <row r="205" spans="1:1" x14ac:dyDescent="0.2">
      <c r="A205" s="42"/>
    </row>
    <row r="206" spans="1:1" x14ac:dyDescent="0.2">
      <c r="A206" s="42"/>
    </row>
  </sheetData>
  <conditionalFormatting sqref="A1:N52 P1:R52 G72:XFD77 D78:J78 K78:XFD80 D79:F79 G79:J80 G81:XFD83 B84:XFD84 P85:XFD88 F89:XFD89 D90:XFD90 F91:H91 D91:E95 I91:XFD95 D96:XFD96 F97:H97 D97:E101 I97:XFD101 D102:XFD102 A103:XFD103 F104:H104 D104:E108 I104:XFD108 A109:XFD109 F110:H110 D110:E114 I110:XFD114 A115:XFD1048576 T1:XFD52 A53:XFD71">
    <cfRule type="containsText" dxfId="8" priority="3" operator="containsText" text="~?">
      <formula>NOT(ISERROR(SEARCH("~?",A1)))</formula>
    </cfRule>
  </conditionalFormatting>
  <conditionalFormatting sqref="J54:N54 F54:H54 B54:D54">
    <cfRule type="colorScale" priority="1">
      <colorScale>
        <cfvo type="min"/>
        <cfvo type="percentile" val="50"/>
        <cfvo type="max"/>
        <color rgb="FFF8696B"/>
        <color rgb="FFFFEB84"/>
        <color rgb="FF63BE7B"/>
      </colorScale>
    </cfRule>
  </conditionalFormatting>
  <conditionalFormatting sqref="S1:S52">
    <cfRule type="containsText" dxfId="7" priority="2" operator="containsText" text="~?">
      <formula>NOT(ISERROR(SEARCH("~?",S1)))</formula>
    </cfRule>
  </conditionalFormatting>
  <hyperlinks>
    <hyperlink ref="A41" r:id="rId2" xr:uid="{E7924C4C-31A0-134C-AD37-24743A0DBC9D}"/>
    <hyperlink ref="A19" r:id="rId3" xr:uid="{055D5BA8-3CC1-6A49-BCDF-F4CA06C02884}"/>
    <hyperlink ref="A24" r:id="rId4" xr:uid="{66EAE78C-658D-DF4B-85DA-5D9210103FEC}"/>
    <hyperlink ref="A8" r:id="rId5" xr:uid="{5DD3685A-6883-A14C-90D6-44BBCDDB8624}"/>
    <hyperlink ref="A25" r:id="rId6" xr:uid="{297892C2-87A7-6D4C-BBBD-C7E36228CACF}"/>
    <hyperlink ref="A3" r:id="rId7" xr:uid="{FF8DDFA9-1623-C342-A5B9-79A602D9E414}"/>
    <hyperlink ref="A52" r:id="rId8" xr:uid="{2279748F-BDDA-FE44-B99C-C0D40448195D}"/>
    <hyperlink ref="A36" r:id="rId9" xr:uid="{78425F4E-BA12-F040-A593-D318AB4CBDA8}"/>
    <hyperlink ref="A17" r:id="rId10" xr:uid="{05494442-4FA8-DD4A-B128-DC9A87806493}"/>
    <hyperlink ref="A14" r:id="rId11" xr:uid="{33CBEC06-A81A-AF40-B6D5-2ECAA9F93062}"/>
    <hyperlink ref="A42" r:id="rId12" xr:uid="{758B6BD3-064B-4847-9F08-93E4416E75A0}"/>
    <hyperlink ref="A48" r:id="rId13" xr:uid="{888B01AF-5F45-664C-B0AC-33478592DAD0}"/>
    <hyperlink ref="A11" r:id="rId14" xr:uid="{BB4ABB76-3598-EE43-9DCA-2C9D1E447E2C}"/>
    <hyperlink ref="A21" r:id="rId15" xr:uid="{FD9A95F2-1711-EB4C-AB67-729F7AD48AEE}"/>
    <hyperlink ref="A9" r:id="rId16" xr:uid="{4C239205-8AA5-1444-8F0F-AFE07B1AF8E6}"/>
    <hyperlink ref="A5" r:id="rId17" xr:uid="{BFD8C506-8FB0-E142-A0BD-6E2EE3FDF732}"/>
    <hyperlink ref="A35" r:id="rId18" xr:uid="{F3E977A5-4725-5C4D-AAE1-90F08D38B874}"/>
    <hyperlink ref="A33" r:id="rId19" xr:uid="{7C078528-11FD-824B-93DF-127F3806D794}"/>
    <hyperlink ref="A26" r:id="rId20" xr:uid="{0B578C9C-2FE0-E740-A0E2-8942A9168FE4}"/>
    <hyperlink ref="A50" r:id="rId21" xr:uid="{23235BC6-9ADE-A848-A631-FC699895AD5E}"/>
    <hyperlink ref="A10" r:id="rId22" xr:uid="{A5A2F967-B338-4D41-9292-5589F9DC67C2}"/>
    <hyperlink ref="A6" r:id="rId23" xr:uid="{E086E157-AEDE-A04A-991A-774F1C4AD436}"/>
    <hyperlink ref="A2" r:id="rId24" xr:uid="{FA30841D-632B-9F47-B529-9BD72572DF66}"/>
    <hyperlink ref="A27" r:id="rId25" xr:uid="{D9D42021-4F8F-E84C-9130-5934B1DCBF4A}"/>
    <hyperlink ref="A44" r:id="rId26" xr:uid="{25D8BD48-5292-DA45-9F74-F91CA8CA2E88}"/>
    <hyperlink ref="A39" r:id="rId27" xr:uid="{EA44D4E5-B571-B446-8266-E4F4E9B459AC}"/>
    <hyperlink ref="A12" r:id="rId28" xr:uid="{56238C0E-A038-4E48-BE7E-87F0E13DD9AC}"/>
    <hyperlink ref="A28" r:id="rId29" xr:uid="{D1BD2572-3119-024F-881B-AAF51CC98F9B}"/>
    <hyperlink ref="A22" r:id="rId30" xr:uid="{9E149C36-A5AC-B149-9953-97BF4546D368}"/>
    <hyperlink ref="A51" r:id="rId31" xr:uid="{8B1BFA4F-5C01-074D-B461-062F526B8CC4}"/>
    <hyperlink ref="A40" r:id="rId32" xr:uid="{80BE1284-D4D7-9A42-A332-6BD5979D7CF4}"/>
    <hyperlink ref="A32" r:id="rId33" xr:uid="{DFC5AABE-F183-0944-9FEE-4FB51C0BF3EB}"/>
    <hyperlink ref="A43" r:id="rId34" xr:uid="{2D566CE6-4208-3343-9761-C643F20FC3A9}"/>
    <hyperlink ref="A34" r:id="rId35" xr:uid="{EA10066C-119D-8B40-B890-4A8BBA647781}"/>
    <hyperlink ref="A31" r:id="rId36" xr:uid="{81370A07-656F-F848-AF28-34D81F83C84D}"/>
    <hyperlink ref="A49" r:id="rId37" xr:uid="{05F93F62-EDB4-7D49-8DAC-4FE3D6D48243}"/>
    <hyperlink ref="A45" r:id="rId38" xr:uid="{64AE9D44-1206-824C-8824-339310945C05}"/>
    <hyperlink ref="A47" r:id="rId39" xr:uid="{5EB4F3D0-4A83-5C4C-8089-ED3EF76278AC}"/>
    <hyperlink ref="A29" r:id="rId40" xr:uid="{8ABC27A0-CCF3-544D-A302-FE88FF7ACD89}"/>
    <hyperlink ref="A15" r:id="rId41" xr:uid="{45F2548E-2E09-7042-A233-10404C4E59CB}"/>
    <hyperlink ref="A13" r:id="rId42" xr:uid="{E4A91540-5910-1C48-95D3-AB88D7AE5A3E}"/>
    <hyperlink ref="A30" r:id="rId43" xr:uid="{E0311CAD-B4B1-9F44-916C-F1FE614F572F}"/>
    <hyperlink ref="A46" r:id="rId44" xr:uid="{6466EBAA-C772-9E4D-9282-43058ED38395}"/>
    <hyperlink ref="A4" r:id="rId45" xr:uid="{77D835A3-D09B-6342-B2D3-794207551D84}"/>
    <hyperlink ref="A20" r:id="rId46" xr:uid="{FF5AD061-E162-1B4C-B692-03AE00FBC78F}"/>
    <hyperlink ref="A18" r:id="rId47" xr:uid="{652C3967-A51F-3C4B-9FA1-E43622EA6847}"/>
    <hyperlink ref="A38" r:id="rId48" xr:uid="{84BA0B03-D1CB-1746-9BEC-D2B79B8CDE09}"/>
    <hyperlink ref="A23" r:id="rId49" xr:uid="{76D5DF08-E221-7D40-91DF-8A020F0771FB}"/>
    <hyperlink ref="A37" r:id="rId50" xr:uid="{014FEBAF-DDB8-DB40-BA74-07414E37F307}"/>
    <hyperlink ref="A7" r:id="rId51" xr:uid="{6FA8A4CB-CE3E-FC41-8D8D-3AA71E446BCF}"/>
    <hyperlink ref="A16" r:id="rId52" xr:uid="{3E5E2DA6-C486-6041-9DE8-7444C25B02F9}"/>
  </hyperlinks>
  <pageMargins left="0.7" right="0.7" top="0.75" bottom="0.75" header="0.3" footer="0.3"/>
  <drawing r:id="rId53"/>
  <tableParts count="1">
    <tablePart r:id="rId5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6E75-0986-F147-BF6A-908B64419433}">
  <dimension ref="A1:AP999"/>
  <sheetViews>
    <sheetView workbookViewId="0">
      <selection activeCell="AB10" sqref="AB10"/>
    </sheetView>
  </sheetViews>
  <sheetFormatPr baseColWidth="10" defaultRowHeight="16" x14ac:dyDescent="0.2"/>
  <cols>
    <col min="1" max="1" width="19" style="4" customWidth="1"/>
    <col min="2" max="2" width="17.1640625" style="4" customWidth="1"/>
    <col min="3" max="3" width="14.33203125" style="4" customWidth="1"/>
    <col min="4" max="5" width="15.1640625" style="43" customWidth="1"/>
    <col min="6" max="6" width="19" style="4" customWidth="1"/>
    <col min="7" max="7" width="17.1640625" style="4" customWidth="1"/>
    <col min="8" max="8" width="14.33203125" style="4" customWidth="1"/>
    <col min="9" max="10" width="13.33203125" style="43" customWidth="1"/>
    <col min="11" max="11" width="19" style="4" customWidth="1"/>
    <col min="12" max="13" width="10.33203125" style="4" customWidth="1"/>
    <col min="14" max="15" width="10.33203125" style="43" customWidth="1"/>
    <col min="16" max="16" width="19" customWidth="1"/>
    <col min="17" max="23" width="10.83203125" customWidth="1"/>
    <col min="25" max="25" width="19" customWidth="1"/>
    <col min="33" max="33" width="19" customWidth="1"/>
    <col min="34" max="34" width="14.5"/>
    <col min="36" max="36" width="14.5" customWidth="1"/>
  </cols>
  <sheetData>
    <row r="1" spans="1:42" ht="35" thickBot="1" x14ac:dyDescent="0.25">
      <c r="A1" s="1" t="s">
        <v>134</v>
      </c>
      <c r="B1" s="2" t="s">
        <v>12</v>
      </c>
      <c r="C1" s="2" t="s">
        <v>13</v>
      </c>
      <c r="D1" s="3" t="s">
        <v>14</v>
      </c>
      <c r="E1" s="3" t="s">
        <v>206</v>
      </c>
      <c r="F1" s="1" t="s">
        <v>0</v>
      </c>
      <c r="G1" s="2" t="s">
        <v>135</v>
      </c>
      <c r="H1" s="2" t="s">
        <v>142</v>
      </c>
      <c r="I1" s="3" t="s">
        <v>14</v>
      </c>
      <c r="J1" s="3" t="s">
        <v>144</v>
      </c>
      <c r="K1" s="123"/>
      <c r="L1" s="129" t="s">
        <v>138</v>
      </c>
      <c r="M1" s="129">
        <v>2018</v>
      </c>
      <c r="N1" s="156" t="s">
        <v>14</v>
      </c>
      <c r="O1" s="165"/>
      <c r="P1" s="130"/>
      <c r="Q1" s="134" t="s">
        <v>140</v>
      </c>
      <c r="R1" s="134">
        <v>2017</v>
      </c>
      <c r="S1" s="139" t="s">
        <v>14</v>
      </c>
      <c r="T1" t="s">
        <v>143</v>
      </c>
      <c r="V1" t="s">
        <v>205</v>
      </c>
      <c r="W1" t="s">
        <v>145</v>
      </c>
      <c r="X1" t="s">
        <v>146</v>
      </c>
      <c r="Y1" t="s">
        <v>134</v>
      </c>
      <c r="Z1" t="s">
        <v>198</v>
      </c>
      <c r="AG1" s="134"/>
      <c r="AH1" s="134" t="s">
        <v>137</v>
      </c>
      <c r="AI1" s="134">
        <v>2016</v>
      </c>
      <c r="AJ1" s="180" t="s">
        <v>202</v>
      </c>
    </row>
    <row r="2" spans="1:42" ht="17" thickBot="1" x14ac:dyDescent="0.25">
      <c r="A2" s="5" t="s">
        <v>57</v>
      </c>
      <c r="B2" s="6">
        <v>9</v>
      </c>
      <c r="C2" s="7">
        <v>10</v>
      </c>
      <c r="D2" s="8">
        <v>-1</v>
      </c>
      <c r="E2" s="167">
        <v>0</v>
      </c>
      <c r="F2" s="107" t="s">
        <v>57</v>
      </c>
      <c r="G2" s="6">
        <v>10</v>
      </c>
      <c r="H2" s="7">
        <v>7</v>
      </c>
      <c r="I2" s="8">
        <v>3</v>
      </c>
      <c r="J2" s="167">
        <v>0</v>
      </c>
      <c r="K2" s="124" t="s">
        <v>57</v>
      </c>
      <c r="L2" s="6">
        <v>7</v>
      </c>
      <c r="M2" s="7">
        <v>7</v>
      </c>
      <c r="N2" s="8">
        <v>0</v>
      </c>
      <c r="P2" s="131" t="s">
        <v>57</v>
      </c>
      <c r="Q2" s="38">
        <v>7</v>
      </c>
      <c r="R2" s="140">
        <v>8</v>
      </c>
      <c r="S2" s="141">
        <v>-1</v>
      </c>
      <c r="T2">
        <v>0</v>
      </c>
      <c r="V2" s="175">
        <f>SUM(E2,J2,O2,T2)</f>
        <v>0</v>
      </c>
      <c r="W2" s="175">
        <f>MAX(E2,J2,O2,T2)</f>
        <v>0</v>
      </c>
      <c r="X2" t="s">
        <v>147</v>
      </c>
      <c r="Y2" t="s">
        <v>57</v>
      </c>
      <c r="Z2">
        <v>2</v>
      </c>
      <c r="AB2" t="s">
        <v>209</v>
      </c>
      <c r="AE2">
        <v>13</v>
      </c>
      <c r="AF2">
        <v>1</v>
      </c>
      <c r="AG2" s="131" t="s">
        <v>57</v>
      </c>
      <c r="AH2" s="38">
        <v>8</v>
      </c>
      <c r="AI2" s="140">
        <v>8</v>
      </c>
      <c r="AJ2" s="38">
        <f>AH2-AI2</f>
        <v>0</v>
      </c>
      <c r="AK2">
        <v>0</v>
      </c>
      <c r="AM2" t="s">
        <v>199</v>
      </c>
      <c r="AN2">
        <f>SUMIF(AK:AK,1,AH:AH)</f>
        <v>253</v>
      </c>
      <c r="AO2">
        <f>COUNTIF(AK:AK,1)</f>
        <v>12</v>
      </c>
      <c r="AP2">
        <f>AN2/AO2</f>
        <v>21.083333333333332</v>
      </c>
    </row>
    <row r="3" spans="1:42" ht="17" thickBot="1" x14ac:dyDescent="0.25">
      <c r="A3" s="12" t="s">
        <v>51</v>
      </c>
      <c r="B3" s="9">
        <v>21</v>
      </c>
      <c r="C3" s="7">
        <v>20</v>
      </c>
      <c r="D3" s="11">
        <v>1</v>
      </c>
      <c r="E3" s="167">
        <v>0</v>
      </c>
      <c r="F3" s="108" t="s">
        <v>51</v>
      </c>
      <c r="G3" s="9">
        <v>20</v>
      </c>
      <c r="H3" s="7">
        <v>21</v>
      </c>
      <c r="I3" s="11">
        <v>-1</v>
      </c>
      <c r="J3" s="168">
        <v>0</v>
      </c>
      <c r="K3" s="125" t="s">
        <v>51</v>
      </c>
      <c r="L3" s="9">
        <v>20</v>
      </c>
      <c r="M3" s="9">
        <v>15</v>
      </c>
      <c r="N3" s="11">
        <v>5</v>
      </c>
      <c r="P3" s="131" t="s">
        <v>51</v>
      </c>
      <c r="Q3" s="38">
        <v>15</v>
      </c>
      <c r="R3" s="140">
        <v>12</v>
      </c>
      <c r="S3" s="141">
        <v>3</v>
      </c>
      <c r="T3">
        <v>0</v>
      </c>
      <c r="V3" s="175">
        <f t="shared" ref="V3:V52" si="0">SUM(E3,J3,O3,T3)</f>
        <v>0</v>
      </c>
      <c r="W3" s="175">
        <f t="shared" ref="W3:W52" si="1">MAX(E3,J3,O3,T3)</f>
        <v>0</v>
      </c>
      <c r="X3" t="s">
        <v>148</v>
      </c>
      <c r="Y3" t="s">
        <v>51</v>
      </c>
      <c r="Z3">
        <v>6</v>
      </c>
      <c r="AB3" t="s">
        <v>211</v>
      </c>
      <c r="AC3">
        <f>SUMIF(E:E,1,D:D)</f>
        <v>37</v>
      </c>
      <c r="AD3">
        <f>COUNTIF(E:E,1)</f>
        <v>8</v>
      </c>
      <c r="AE3" s="189">
        <f>AC3/AD3</f>
        <v>4.625</v>
      </c>
      <c r="AF3">
        <v>1</v>
      </c>
      <c r="AG3" s="131" t="s">
        <v>139</v>
      </c>
      <c r="AH3" s="38">
        <v>2</v>
      </c>
      <c r="AI3" s="140">
        <v>10</v>
      </c>
      <c r="AJ3" s="38">
        <f t="shared" ref="AJ3:AJ52" si="2">AH3-AI3</f>
        <v>-8</v>
      </c>
      <c r="AK3">
        <v>0</v>
      </c>
      <c r="AM3" t="s">
        <v>200</v>
      </c>
      <c r="AN3">
        <f>SUMIF(AK:AK,0,AH:AH)</f>
        <v>519</v>
      </c>
      <c r="AO3">
        <f>COUNTIF(AK:AK,0)</f>
        <v>39</v>
      </c>
      <c r="AP3">
        <f>AN3/AO3</f>
        <v>13.307692307692308</v>
      </c>
    </row>
    <row r="4" spans="1:42" ht="17" thickBot="1" x14ac:dyDescent="0.25">
      <c r="A4" s="12" t="s">
        <v>19</v>
      </c>
      <c r="B4" s="9">
        <v>32</v>
      </c>
      <c r="C4" s="7">
        <v>32</v>
      </c>
      <c r="D4" s="11">
        <v>0</v>
      </c>
      <c r="E4" s="167">
        <v>0</v>
      </c>
      <c r="F4" s="108" t="s">
        <v>19</v>
      </c>
      <c r="G4" s="9">
        <v>32</v>
      </c>
      <c r="H4" s="7">
        <v>33</v>
      </c>
      <c r="I4" s="11">
        <v>-1</v>
      </c>
      <c r="J4" s="168">
        <v>0</v>
      </c>
      <c r="K4" s="125" t="s">
        <v>19</v>
      </c>
      <c r="L4" s="9">
        <v>33</v>
      </c>
      <c r="M4" s="9">
        <v>33</v>
      </c>
      <c r="N4" s="11">
        <v>0</v>
      </c>
      <c r="P4" s="131" t="s">
        <v>19</v>
      </c>
      <c r="Q4" s="38">
        <v>33</v>
      </c>
      <c r="R4" s="140">
        <v>33</v>
      </c>
      <c r="S4" s="142">
        <v>0</v>
      </c>
      <c r="T4">
        <v>0</v>
      </c>
      <c r="V4" s="175">
        <f t="shared" si="0"/>
        <v>0</v>
      </c>
      <c r="W4" s="175">
        <f t="shared" si="1"/>
        <v>0</v>
      </c>
      <c r="X4" t="s">
        <v>149</v>
      </c>
      <c r="Y4" t="s">
        <v>19</v>
      </c>
      <c r="Z4">
        <v>-1</v>
      </c>
      <c r="AB4" t="s">
        <v>210</v>
      </c>
      <c r="AC4">
        <f>SUM(SUMIF(E:E,0,D:D))</f>
        <v>3</v>
      </c>
      <c r="AD4">
        <f>COUNTIF(E:E,0)</f>
        <v>43</v>
      </c>
      <c r="AE4" s="189">
        <f>AC4/AD4</f>
        <v>6.9767441860465115E-2</v>
      </c>
      <c r="AF4">
        <v>1</v>
      </c>
      <c r="AG4" s="131" t="s">
        <v>51</v>
      </c>
      <c r="AH4" s="38">
        <v>12</v>
      </c>
      <c r="AI4" s="140">
        <v>14</v>
      </c>
      <c r="AJ4" s="38">
        <f t="shared" si="2"/>
        <v>-2</v>
      </c>
      <c r="AK4">
        <v>0</v>
      </c>
    </row>
    <row r="5" spans="1:42" ht="17" thickBot="1" x14ac:dyDescent="0.25">
      <c r="A5" s="12" t="s">
        <v>45</v>
      </c>
      <c r="B5" s="19">
        <v>18</v>
      </c>
      <c r="C5" s="7">
        <v>12</v>
      </c>
      <c r="D5" s="11">
        <v>6</v>
      </c>
      <c r="E5" s="167">
        <v>0</v>
      </c>
      <c r="F5" s="109" t="s">
        <v>45</v>
      </c>
      <c r="G5" s="120">
        <v>12</v>
      </c>
      <c r="H5" s="7">
        <v>9</v>
      </c>
      <c r="I5" s="153">
        <v>3</v>
      </c>
      <c r="J5" s="169">
        <v>0</v>
      </c>
      <c r="K5" s="126" t="s">
        <v>45</v>
      </c>
      <c r="L5" s="120">
        <v>9</v>
      </c>
      <c r="M5" s="121">
        <v>7</v>
      </c>
      <c r="N5" s="153">
        <v>2</v>
      </c>
      <c r="O5" s="166"/>
      <c r="P5" s="131" t="s">
        <v>45</v>
      </c>
      <c r="Q5" s="38">
        <v>7</v>
      </c>
      <c r="R5" s="140" t="s">
        <v>141</v>
      </c>
      <c r="S5" s="141">
        <v>0</v>
      </c>
      <c r="T5">
        <v>0</v>
      </c>
      <c r="V5" s="175">
        <f t="shared" si="0"/>
        <v>0</v>
      </c>
      <c r="W5" s="175">
        <f t="shared" si="1"/>
        <v>0</v>
      </c>
      <c r="X5" t="s">
        <v>150</v>
      </c>
      <c r="Y5" t="s">
        <v>19</v>
      </c>
      <c r="Z5">
        <v>11</v>
      </c>
      <c r="AG5" s="158" t="s">
        <v>19</v>
      </c>
      <c r="AH5" s="159">
        <v>33</v>
      </c>
      <c r="AI5" s="160">
        <v>33</v>
      </c>
      <c r="AJ5" s="159">
        <f t="shared" si="2"/>
        <v>0</v>
      </c>
      <c r="AK5">
        <v>1</v>
      </c>
    </row>
    <row r="6" spans="1:42" ht="17" thickBot="1" x14ac:dyDescent="0.25">
      <c r="A6" s="21" t="s">
        <v>20</v>
      </c>
      <c r="B6" s="22">
        <v>33</v>
      </c>
      <c r="C6" s="16">
        <v>32</v>
      </c>
      <c r="D6" s="17">
        <v>1</v>
      </c>
      <c r="E6" s="170">
        <v>1</v>
      </c>
      <c r="F6" s="110" t="s">
        <v>20</v>
      </c>
      <c r="G6" s="41">
        <v>32</v>
      </c>
      <c r="H6" s="16">
        <v>28</v>
      </c>
      <c r="I6" s="17">
        <v>4</v>
      </c>
      <c r="J6" s="170">
        <v>1</v>
      </c>
      <c r="K6" s="126" t="s">
        <v>136</v>
      </c>
      <c r="L6" s="120">
        <v>28</v>
      </c>
      <c r="M6" s="137">
        <v>27</v>
      </c>
      <c r="N6" s="157">
        <v>1</v>
      </c>
      <c r="O6" s="157"/>
      <c r="P6" s="131" t="s">
        <v>136</v>
      </c>
      <c r="Q6" s="38">
        <v>27</v>
      </c>
      <c r="R6" s="140">
        <v>25</v>
      </c>
      <c r="S6" s="141">
        <v>2</v>
      </c>
      <c r="T6">
        <v>0</v>
      </c>
      <c r="V6" s="175">
        <f t="shared" si="0"/>
        <v>2</v>
      </c>
      <c r="W6" s="175">
        <f t="shared" si="1"/>
        <v>1</v>
      </c>
      <c r="X6" t="s">
        <v>151</v>
      </c>
      <c r="Y6" t="s">
        <v>152</v>
      </c>
      <c r="Z6">
        <v>5</v>
      </c>
      <c r="AG6" s="183" t="s">
        <v>136</v>
      </c>
      <c r="AH6" s="184">
        <v>25</v>
      </c>
      <c r="AI6" s="185">
        <v>13</v>
      </c>
      <c r="AJ6" s="159">
        <f t="shared" si="2"/>
        <v>12</v>
      </c>
      <c r="AK6">
        <v>1</v>
      </c>
    </row>
    <row r="7" spans="1:42" ht="17" thickBot="1" x14ac:dyDescent="0.25">
      <c r="A7" s="29" t="s">
        <v>35</v>
      </c>
      <c r="B7" s="106">
        <v>26</v>
      </c>
      <c r="C7" s="30">
        <v>17</v>
      </c>
      <c r="D7" s="147">
        <v>9</v>
      </c>
      <c r="E7" s="174">
        <v>0</v>
      </c>
      <c r="F7" s="111" t="s">
        <v>35</v>
      </c>
      <c r="G7" s="121">
        <v>17</v>
      </c>
      <c r="H7" s="7">
        <v>13</v>
      </c>
      <c r="I7" s="153">
        <v>4</v>
      </c>
      <c r="J7" s="169">
        <v>0</v>
      </c>
      <c r="K7" s="111" t="s">
        <v>35</v>
      </c>
      <c r="L7" s="121">
        <v>13</v>
      </c>
      <c r="M7" s="121">
        <v>16</v>
      </c>
      <c r="N7" s="153">
        <v>-3</v>
      </c>
      <c r="O7" s="166"/>
      <c r="P7" s="131" t="s">
        <v>35</v>
      </c>
      <c r="Q7" s="38">
        <v>16</v>
      </c>
      <c r="R7" s="140">
        <v>15</v>
      </c>
      <c r="S7" s="141">
        <v>1</v>
      </c>
      <c r="T7">
        <v>0</v>
      </c>
      <c r="V7" s="175">
        <f t="shared" si="0"/>
        <v>0</v>
      </c>
      <c r="W7" s="175">
        <f t="shared" si="1"/>
        <v>0</v>
      </c>
      <c r="X7" t="s">
        <v>153</v>
      </c>
      <c r="Y7" t="s">
        <v>152</v>
      </c>
      <c r="Z7">
        <v>10</v>
      </c>
      <c r="AG7" s="131" t="s">
        <v>35</v>
      </c>
      <c r="AH7" s="38">
        <v>15</v>
      </c>
      <c r="AI7" s="140">
        <v>13</v>
      </c>
      <c r="AJ7" s="38">
        <f t="shared" si="2"/>
        <v>2</v>
      </c>
      <c r="AK7">
        <v>0</v>
      </c>
    </row>
    <row r="8" spans="1:42" ht="17" thickBot="1" x14ac:dyDescent="0.25">
      <c r="A8" s="12" t="s">
        <v>58</v>
      </c>
      <c r="B8" s="9">
        <v>9</v>
      </c>
      <c r="C8" s="7">
        <v>21</v>
      </c>
      <c r="D8" s="11">
        <v>-12</v>
      </c>
      <c r="E8" s="168">
        <v>0</v>
      </c>
      <c r="F8" s="110" t="s">
        <v>58</v>
      </c>
      <c r="G8" s="14">
        <v>21</v>
      </c>
      <c r="H8" s="16">
        <v>26</v>
      </c>
      <c r="I8" s="17">
        <v>-5</v>
      </c>
      <c r="J8" s="170">
        <v>1</v>
      </c>
      <c r="K8" s="125" t="s">
        <v>58</v>
      </c>
      <c r="L8" s="9">
        <v>22</v>
      </c>
      <c r="M8" s="9">
        <v>26</v>
      </c>
      <c r="N8" s="11">
        <v>-4</v>
      </c>
      <c r="P8" s="131" t="s">
        <v>58</v>
      </c>
      <c r="Q8" s="38">
        <v>26</v>
      </c>
      <c r="R8" s="140">
        <v>25</v>
      </c>
      <c r="S8" s="141">
        <v>1</v>
      </c>
      <c r="T8">
        <v>0</v>
      </c>
      <c r="V8" s="175">
        <f t="shared" si="0"/>
        <v>1</v>
      </c>
      <c r="W8" s="175">
        <v>1</v>
      </c>
      <c r="X8" t="s">
        <v>154</v>
      </c>
      <c r="Y8" t="s">
        <v>58</v>
      </c>
      <c r="Z8">
        <v>-17</v>
      </c>
      <c r="AB8" t="s">
        <v>207</v>
      </c>
      <c r="AC8">
        <f>SUMIF(W:W,1,Z:Z)</f>
        <v>51</v>
      </c>
      <c r="AD8">
        <f>COUNTIF(W:W,1)</f>
        <v>15</v>
      </c>
      <c r="AE8">
        <f>AC8/AD8</f>
        <v>3.4</v>
      </c>
      <c r="AF8" s="188">
        <f>(AE8-AE9)/AE8</f>
        <v>0.15849673202614376</v>
      </c>
      <c r="AG8" s="158" t="s">
        <v>58</v>
      </c>
      <c r="AH8" s="159">
        <v>25</v>
      </c>
      <c r="AI8" s="160">
        <v>20</v>
      </c>
      <c r="AJ8" s="159">
        <f t="shared" si="2"/>
        <v>5</v>
      </c>
      <c r="AK8">
        <v>1</v>
      </c>
    </row>
    <row r="9" spans="1:42" ht="17" thickBot="1" x14ac:dyDescent="0.25">
      <c r="A9" s="26" t="s">
        <v>24</v>
      </c>
      <c r="B9" s="9">
        <v>27</v>
      </c>
      <c r="C9" s="7">
        <v>28</v>
      </c>
      <c r="D9" s="11">
        <v>-1</v>
      </c>
      <c r="E9" s="168">
        <v>0</v>
      </c>
      <c r="F9" s="108" t="s">
        <v>24</v>
      </c>
      <c r="G9" s="9">
        <v>28</v>
      </c>
      <c r="H9" s="7">
        <v>26</v>
      </c>
      <c r="I9" s="11">
        <v>2</v>
      </c>
      <c r="J9" s="168">
        <v>0</v>
      </c>
      <c r="K9" s="125" t="s">
        <v>24</v>
      </c>
      <c r="L9" s="9">
        <v>26</v>
      </c>
      <c r="M9" s="9">
        <v>24</v>
      </c>
      <c r="N9" s="11">
        <v>2</v>
      </c>
      <c r="P9" s="158" t="s">
        <v>24</v>
      </c>
      <c r="Q9" s="159">
        <v>24</v>
      </c>
      <c r="R9" s="160">
        <v>23</v>
      </c>
      <c r="S9" s="161">
        <v>1</v>
      </c>
      <c r="T9">
        <v>1</v>
      </c>
      <c r="V9" s="175">
        <f t="shared" si="0"/>
        <v>1</v>
      </c>
      <c r="W9" s="175">
        <f t="shared" si="1"/>
        <v>1</v>
      </c>
      <c r="X9" t="s">
        <v>155</v>
      </c>
      <c r="Y9" t="s">
        <v>24</v>
      </c>
      <c r="Z9">
        <v>3</v>
      </c>
      <c r="AB9" t="s">
        <v>208</v>
      </c>
      <c r="AC9">
        <f>SUMIF(W:W,0,Z:Z)</f>
        <v>103</v>
      </c>
      <c r="AD9">
        <f>COUNTIF(W:W,0)</f>
        <v>36</v>
      </c>
      <c r="AE9">
        <f>AC9/AD9</f>
        <v>2.8611111111111112</v>
      </c>
      <c r="AG9" s="131" t="s">
        <v>24</v>
      </c>
      <c r="AH9" s="38">
        <v>23</v>
      </c>
      <c r="AI9" s="140">
        <v>22</v>
      </c>
      <c r="AJ9" s="38">
        <f t="shared" si="2"/>
        <v>1</v>
      </c>
      <c r="AK9">
        <v>0</v>
      </c>
    </row>
    <row r="10" spans="1:42" ht="17" thickBot="1" x14ac:dyDescent="0.25">
      <c r="A10" s="12" t="s">
        <v>62</v>
      </c>
      <c r="B10" s="9">
        <v>8</v>
      </c>
      <c r="C10" s="7">
        <v>6</v>
      </c>
      <c r="D10" s="11">
        <v>2</v>
      </c>
      <c r="E10" s="168">
        <v>0</v>
      </c>
      <c r="F10" s="108" t="s">
        <v>62</v>
      </c>
      <c r="G10" s="9">
        <v>6</v>
      </c>
      <c r="H10" s="7">
        <v>7</v>
      </c>
      <c r="I10" s="11">
        <v>-1</v>
      </c>
      <c r="J10" s="168">
        <v>0</v>
      </c>
      <c r="K10" s="125" t="s">
        <v>62</v>
      </c>
      <c r="L10" s="9">
        <v>7</v>
      </c>
      <c r="M10" s="9">
        <v>4</v>
      </c>
      <c r="N10" s="11">
        <v>3</v>
      </c>
      <c r="P10" s="131" t="s">
        <v>62</v>
      </c>
      <c r="Q10" s="38">
        <v>4</v>
      </c>
      <c r="R10" s="140">
        <v>4</v>
      </c>
      <c r="S10" s="141">
        <v>0</v>
      </c>
      <c r="T10">
        <v>0</v>
      </c>
      <c r="V10" s="175">
        <f t="shared" si="0"/>
        <v>0</v>
      </c>
      <c r="W10" s="175">
        <f t="shared" si="1"/>
        <v>0</v>
      </c>
      <c r="X10" t="s">
        <v>62</v>
      </c>
      <c r="Y10" t="s">
        <v>62</v>
      </c>
      <c r="Z10">
        <v>4</v>
      </c>
      <c r="AB10" t="s">
        <v>201</v>
      </c>
      <c r="AC10">
        <f>SUMIF(W:W,1,Z:Z)+17</f>
        <v>68</v>
      </c>
      <c r="AD10">
        <f>COUNTIF(W:W,1)-1</f>
        <v>14</v>
      </c>
      <c r="AE10">
        <f>(AC10)/AD10</f>
        <v>4.8571428571428568</v>
      </c>
      <c r="AG10" s="131" t="s">
        <v>62</v>
      </c>
      <c r="AH10" s="38">
        <v>4</v>
      </c>
      <c r="AI10" s="140">
        <v>7</v>
      </c>
      <c r="AJ10" s="38">
        <f t="shared" si="2"/>
        <v>-3</v>
      </c>
      <c r="AK10">
        <v>0</v>
      </c>
    </row>
    <row r="11" spans="1:42" ht="17" thickBot="1" x14ac:dyDescent="0.25">
      <c r="A11" s="12" t="s">
        <v>50</v>
      </c>
      <c r="B11" s="9">
        <v>15</v>
      </c>
      <c r="C11" s="7">
        <v>13</v>
      </c>
      <c r="D11" s="11">
        <v>2</v>
      </c>
      <c r="E11" s="168">
        <v>0</v>
      </c>
      <c r="F11" s="108" t="s">
        <v>50</v>
      </c>
      <c r="G11" s="9">
        <v>13</v>
      </c>
      <c r="H11" s="7">
        <v>3</v>
      </c>
      <c r="I11" s="11">
        <v>10</v>
      </c>
      <c r="J11" s="168">
        <v>0</v>
      </c>
      <c r="K11" s="125" t="s">
        <v>50</v>
      </c>
      <c r="L11" s="9">
        <v>3</v>
      </c>
      <c r="M11" s="9">
        <v>3</v>
      </c>
      <c r="N11" s="11">
        <v>0</v>
      </c>
      <c r="P11" s="131" t="s">
        <v>50</v>
      </c>
      <c r="Q11" s="38">
        <v>3</v>
      </c>
      <c r="R11" s="140">
        <v>3</v>
      </c>
      <c r="S11" s="141">
        <v>0</v>
      </c>
      <c r="T11">
        <v>0</v>
      </c>
      <c r="V11" s="175">
        <f t="shared" si="0"/>
        <v>0</v>
      </c>
      <c r="W11" s="175">
        <f t="shared" si="1"/>
        <v>0</v>
      </c>
      <c r="X11" t="s">
        <v>156</v>
      </c>
      <c r="Y11" t="s">
        <v>50</v>
      </c>
      <c r="Z11">
        <v>12</v>
      </c>
      <c r="AG11" s="131" t="s">
        <v>50</v>
      </c>
      <c r="AH11" s="38">
        <v>3</v>
      </c>
      <c r="AI11" s="140">
        <v>3</v>
      </c>
      <c r="AJ11" s="38">
        <f t="shared" si="2"/>
        <v>0</v>
      </c>
      <c r="AK11">
        <v>0</v>
      </c>
    </row>
    <row r="12" spans="1:42" ht="17" thickBot="1" x14ac:dyDescent="0.25">
      <c r="A12" s="12" t="s">
        <v>65</v>
      </c>
      <c r="B12" s="9">
        <v>2</v>
      </c>
      <c r="C12" s="7">
        <v>3</v>
      </c>
      <c r="D12" s="11">
        <v>-1</v>
      </c>
      <c r="E12" s="168">
        <v>0</v>
      </c>
      <c r="F12" s="108" t="s">
        <v>65</v>
      </c>
      <c r="G12" s="9">
        <v>3</v>
      </c>
      <c r="H12" s="7">
        <v>3</v>
      </c>
      <c r="I12" s="11">
        <v>0</v>
      </c>
      <c r="J12" s="168">
        <v>0</v>
      </c>
      <c r="K12" s="125" t="s">
        <v>65</v>
      </c>
      <c r="L12" s="9">
        <v>3</v>
      </c>
      <c r="M12" s="9">
        <v>1</v>
      </c>
      <c r="N12" s="11">
        <v>2</v>
      </c>
      <c r="P12" s="131" t="s">
        <v>65</v>
      </c>
      <c r="Q12" s="38">
        <v>1</v>
      </c>
      <c r="R12" s="140">
        <v>4</v>
      </c>
      <c r="S12" s="141">
        <v>-3</v>
      </c>
      <c r="T12">
        <v>0</v>
      </c>
      <c r="V12" s="175">
        <f t="shared" si="0"/>
        <v>0</v>
      </c>
      <c r="W12" s="175">
        <f t="shared" si="1"/>
        <v>0</v>
      </c>
      <c r="X12" t="s">
        <v>157</v>
      </c>
      <c r="Y12" t="s">
        <v>65</v>
      </c>
      <c r="Z12">
        <v>1</v>
      </c>
      <c r="AB12" t="s">
        <v>203</v>
      </c>
      <c r="AC12">
        <f>SUM(SUMIF(E:E,1,D:D),SUMIF(J:J,1,I:I),SUMIF(T:T,1,S:S))</f>
        <v>116</v>
      </c>
      <c r="AD12">
        <f>SUM(COUNTIF(E:E,1),COUNTIF(J:J,1),COUNTIF(T:T,1))</f>
        <v>21</v>
      </c>
      <c r="AE12" s="189">
        <f>AC12/AD12</f>
        <v>5.5238095238095237</v>
      </c>
      <c r="AF12">
        <v>1</v>
      </c>
      <c r="AG12" s="131" t="s">
        <v>65</v>
      </c>
      <c r="AH12" s="38">
        <v>4</v>
      </c>
      <c r="AI12" s="140">
        <v>9</v>
      </c>
      <c r="AJ12" s="38">
        <f t="shared" si="2"/>
        <v>-5</v>
      </c>
      <c r="AK12">
        <v>0</v>
      </c>
    </row>
    <row r="13" spans="1:42" ht="17" thickBot="1" x14ac:dyDescent="0.25">
      <c r="A13" s="12" t="s">
        <v>54</v>
      </c>
      <c r="B13" s="9">
        <v>11</v>
      </c>
      <c r="C13" s="7">
        <v>14</v>
      </c>
      <c r="D13" s="11">
        <v>-3</v>
      </c>
      <c r="E13" s="168">
        <v>0</v>
      </c>
      <c r="F13" s="108" t="s">
        <v>54</v>
      </c>
      <c r="G13" s="9">
        <v>14</v>
      </c>
      <c r="H13" s="7">
        <v>19</v>
      </c>
      <c r="I13" s="11">
        <v>-5</v>
      </c>
      <c r="J13" s="168">
        <v>0</v>
      </c>
      <c r="K13" s="125" t="s">
        <v>54</v>
      </c>
      <c r="L13" s="9">
        <v>17</v>
      </c>
      <c r="M13" s="9">
        <v>19</v>
      </c>
      <c r="N13" s="11">
        <v>-2</v>
      </c>
      <c r="P13" s="131" t="s">
        <v>54</v>
      </c>
      <c r="Q13" s="38">
        <v>19</v>
      </c>
      <c r="R13" s="140">
        <v>18</v>
      </c>
      <c r="S13" s="141">
        <v>1</v>
      </c>
      <c r="T13">
        <v>0</v>
      </c>
      <c r="V13" s="175">
        <f t="shared" si="0"/>
        <v>0</v>
      </c>
      <c r="W13" s="175">
        <f t="shared" si="1"/>
        <v>0</v>
      </c>
      <c r="X13" t="s">
        <v>158</v>
      </c>
      <c r="Y13" t="s">
        <v>54</v>
      </c>
      <c r="Z13">
        <v>-8</v>
      </c>
      <c r="AB13" t="s">
        <v>204</v>
      </c>
      <c r="AC13">
        <f>SUM(SUMIF(E:E,0,D:D),SUMIF(J:J,0,I:I),SUMIF(T:T,0,S:S))</f>
        <v>50</v>
      </c>
      <c r="AD13">
        <f>SUM(COUNTIF(E:E,0),COUNTIF(J:J,0),COUNTIF(T:T,0))</f>
        <v>132</v>
      </c>
      <c r="AE13" s="189">
        <f>AC13/AD13</f>
        <v>0.37878787878787878</v>
      </c>
      <c r="AF13">
        <v>1</v>
      </c>
      <c r="AG13" s="158" t="s">
        <v>54</v>
      </c>
      <c r="AH13" s="159">
        <v>18</v>
      </c>
      <c r="AI13" s="160">
        <v>15</v>
      </c>
      <c r="AJ13" s="159">
        <f t="shared" si="2"/>
        <v>3</v>
      </c>
      <c r="AK13">
        <v>1</v>
      </c>
    </row>
    <row r="14" spans="1:42" ht="17" thickBot="1" x14ac:dyDescent="0.25">
      <c r="A14" s="12" t="s">
        <v>32</v>
      </c>
      <c r="B14" s="9">
        <v>23</v>
      </c>
      <c r="C14" s="7">
        <v>20</v>
      </c>
      <c r="D14" s="11">
        <v>3</v>
      </c>
      <c r="E14" s="168">
        <v>0</v>
      </c>
      <c r="F14" s="108" t="s">
        <v>32</v>
      </c>
      <c r="G14" s="9">
        <v>20</v>
      </c>
      <c r="H14" s="7">
        <v>20</v>
      </c>
      <c r="I14" s="11">
        <v>0</v>
      </c>
      <c r="J14" s="168">
        <v>0</v>
      </c>
      <c r="K14" s="125" t="s">
        <v>32</v>
      </c>
      <c r="L14" s="9">
        <v>3</v>
      </c>
      <c r="M14" s="9">
        <v>8</v>
      </c>
      <c r="N14" s="11">
        <v>-5</v>
      </c>
      <c r="P14" s="131" t="s">
        <v>32</v>
      </c>
      <c r="Q14" s="19">
        <v>8</v>
      </c>
      <c r="R14" s="143">
        <v>8</v>
      </c>
      <c r="S14" s="141">
        <v>0</v>
      </c>
      <c r="T14">
        <v>0</v>
      </c>
      <c r="V14" s="175">
        <f t="shared" si="0"/>
        <v>0</v>
      </c>
      <c r="W14" s="175">
        <f t="shared" si="1"/>
        <v>0</v>
      </c>
      <c r="X14" t="s">
        <v>159</v>
      </c>
      <c r="Y14" t="s">
        <v>32</v>
      </c>
      <c r="Z14">
        <v>15</v>
      </c>
      <c r="AD14">
        <f>153/3</f>
        <v>51</v>
      </c>
      <c r="AG14" s="158" t="s">
        <v>32</v>
      </c>
      <c r="AH14" s="159">
        <v>8</v>
      </c>
      <c r="AI14" s="160">
        <v>8</v>
      </c>
      <c r="AJ14" s="159">
        <f t="shared" si="2"/>
        <v>0</v>
      </c>
      <c r="AK14">
        <v>1</v>
      </c>
    </row>
    <row r="15" spans="1:42" ht="17" thickBot="1" x14ac:dyDescent="0.25">
      <c r="A15" s="5" t="s">
        <v>15</v>
      </c>
      <c r="B15" s="9">
        <v>33</v>
      </c>
      <c r="C15" s="7">
        <v>33</v>
      </c>
      <c r="D15" s="11">
        <v>0</v>
      </c>
      <c r="E15" s="168">
        <v>0</v>
      </c>
      <c r="F15" s="112" t="s">
        <v>15</v>
      </c>
      <c r="G15" s="122">
        <v>33</v>
      </c>
      <c r="H15" s="152">
        <v>31</v>
      </c>
      <c r="I15" s="154">
        <v>2</v>
      </c>
      <c r="J15" s="171">
        <v>0</v>
      </c>
      <c r="K15" s="125" t="s">
        <v>15</v>
      </c>
      <c r="L15" s="9">
        <v>16</v>
      </c>
      <c r="M15" s="9">
        <v>20</v>
      </c>
      <c r="N15" s="11">
        <v>-4</v>
      </c>
      <c r="P15" s="131" t="s">
        <v>15</v>
      </c>
      <c r="Q15" s="19">
        <v>20</v>
      </c>
      <c r="R15" s="143">
        <v>20</v>
      </c>
      <c r="S15" s="141">
        <v>0</v>
      </c>
      <c r="T15">
        <v>0</v>
      </c>
      <c r="V15" s="175">
        <f t="shared" si="0"/>
        <v>0</v>
      </c>
      <c r="W15" s="175">
        <f t="shared" si="1"/>
        <v>0</v>
      </c>
      <c r="X15" t="s">
        <v>160</v>
      </c>
      <c r="Y15" t="s">
        <v>15</v>
      </c>
      <c r="Z15">
        <v>13</v>
      </c>
      <c r="AB15">
        <v>0</v>
      </c>
      <c r="AC15">
        <v>1</v>
      </c>
      <c r="AD15">
        <v>2</v>
      </c>
      <c r="AG15" s="131" t="s">
        <v>15</v>
      </c>
      <c r="AH15" s="38">
        <v>20</v>
      </c>
      <c r="AI15" s="140">
        <v>20</v>
      </c>
      <c r="AJ15" s="38">
        <f t="shared" si="2"/>
        <v>0</v>
      </c>
      <c r="AK15">
        <v>0</v>
      </c>
    </row>
    <row r="16" spans="1:42" ht="17" thickBot="1" x14ac:dyDescent="0.25">
      <c r="A16" s="12" t="s">
        <v>25</v>
      </c>
      <c r="B16" s="78">
        <v>26</v>
      </c>
      <c r="C16" s="7">
        <v>21</v>
      </c>
      <c r="D16" s="148">
        <v>5</v>
      </c>
      <c r="E16" s="168">
        <v>0</v>
      </c>
      <c r="F16" s="113" t="s">
        <v>25</v>
      </c>
      <c r="G16" s="78">
        <v>21</v>
      </c>
      <c r="H16" s="7">
        <v>26</v>
      </c>
      <c r="I16" s="148">
        <v>-5</v>
      </c>
      <c r="J16" s="172">
        <v>0</v>
      </c>
      <c r="K16" s="127" t="s">
        <v>25</v>
      </c>
      <c r="L16" s="78">
        <v>21</v>
      </c>
      <c r="M16" s="78">
        <v>13</v>
      </c>
      <c r="N16" s="148">
        <v>8</v>
      </c>
      <c r="P16" s="131" t="s">
        <v>25</v>
      </c>
      <c r="Q16" s="19">
        <v>13</v>
      </c>
      <c r="R16" s="143">
        <v>14</v>
      </c>
      <c r="S16" s="141">
        <v>-1</v>
      </c>
      <c r="T16">
        <v>0</v>
      </c>
      <c r="V16" s="175">
        <f t="shared" si="0"/>
        <v>0</v>
      </c>
      <c r="W16" s="175">
        <f t="shared" si="1"/>
        <v>0</v>
      </c>
      <c r="X16" t="s">
        <v>161</v>
      </c>
      <c r="Y16" t="s">
        <v>25</v>
      </c>
      <c r="Z16">
        <v>13</v>
      </c>
      <c r="AF16">
        <f>5.5/0.4</f>
        <v>13.75</v>
      </c>
      <c r="AG16" s="131" t="s">
        <v>25</v>
      </c>
      <c r="AH16" s="38">
        <v>14</v>
      </c>
      <c r="AI16" s="140">
        <v>13</v>
      </c>
      <c r="AJ16" s="38">
        <f t="shared" si="2"/>
        <v>1</v>
      </c>
      <c r="AK16">
        <v>0</v>
      </c>
    </row>
    <row r="17" spans="1:37" ht="17" thickBot="1" x14ac:dyDescent="0.25">
      <c r="A17" s="12" t="s">
        <v>28</v>
      </c>
      <c r="B17" s="52">
        <v>25</v>
      </c>
      <c r="C17" s="7">
        <v>17</v>
      </c>
      <c r="D17" s="149">
        <v>8</v>
      </c>
      <c r="E17" s="168">
        <v>0</v>
      </c>
      <c r="F17" s="114" t="s">
        <v>28</v>
      </c>
      <c r="G17" s="52">
        <v>17</v>
      </c>
      <c r="H17" s="7">
        <v>23</v>
      </c>
      <c r="I17" s="149">
        <v>-6</v>
      </c>
      <c r="J17" s="172">
        <v>0</v>
      </c>
      <c r="K17" s="128" t="s">
        <v>28</v>
      </c>
      <c r="L17" s="52">
        <v>23</v>
      </c>
      <c r="M17" s="138">
        <v>17</v>
      </c>
      <c r="N17" s="149">
        <v>6</v>
      </c>
      <c r="O17" s="149"/>
      <c r="P17" s="131" t="s">
        <v>28</v>
      </c>
      <c r="Q17" s="19">
        <v>17</v>
      </c>
      <c r="R17" s="143">
        <v>18</v>
      </c>
      <c r="S17" s="141">
        <v>-1</v>
      </c>
      <c r="T17">
        <v>0</v>
      </c>
      <c r="V17" s="175">
        <f t="shared" si="0"/>
        <v>0</v>
      </c>
      <c r="W17" s="175">
        <f t="shared" si="1"/>
        <v>0</v>
      </c>
      <c r="X17" t="s">
        <v>162</v>
      </c>
      <c r="Y17" t="s">
        <v>28</v>
      </c>
      <c r="Z17">
        <v>8</v>
      </c>
      <c r="AF17">
        <v>1</v>
      </c>
      <c r="AG17" s="176" t="s">
        <v>28</v>
      </c>
      <c r="AH17" s="38">
        <v>18</v>
      </c>
      <c r="AI17" s="140">
        <v>19</v>
      </c>
      <c r="AJ17" s="38">
        <f t="shared" si="2"/>
        <v>-1</v>
      </c>
      <c r="AK17">
        <v>0</v>
      </c>
    </row>
    <row r="18" spans="1:37" ht="17" thickBot="1" x14ac:dyDescent="0.25">
      <c r="A18" s="12" t="s">
        <v>55</v>
      </c>
      <c r="B18" s="9">
        <v>11</v>
      </c>
      <c r="C18" s="7">
        <v>11</v>
      </c>
      <c r="D18" s="27">
        <v>0</v>
      </c>
      <c r="E18" s="168">
        <v>0</v>
      </c>
      <c r="F18" s="105" t="s">
        <v>55</v>
      </c>
      <c r="G18" s="9">
        <v>11</v>
      </c>
      <c r="H18" s="7">
        <v>11</v>
      </c>
      <c r="I18" s="27">
        <v>0</v>
      </c>
      <c r="J18" s="172">
        <v>0</v>
      </c>
      <c r="K18" s="118" t="s">
        <v>55</v>
      </c>
      <c r="L18" s="9">
        <v>11</v>
      </c>
      <c r="M18" s="9">
        <v>11</v>
      </c>
      <c r="N18" s="27">
        <v>0</v>
      </c>
      <c r="O18" s="27"/>
      <c r="P18" s="131" t="s">
        <v>55</v>
      </c>
      <c r="Q18" s="19">
        <v>11</v>
      </c>
      <c r="R18" s="143">
        <v>8</v>
      </c>
      <c r="S18" s="141">
        <v>3</v>
      </c>
      <c r="T18">
        <v>0</v>
      </c>
      <c r="V18" s="175">
        <f t="shared" si="0"/>
        <v>0</v>
      </c>
      <c r="W18" s="175">
        <f t="shared" si="1"/>
        <v>0</v>
      </c>
      <c r="X18" t="s">
        <v>163</v>
      </c>
      <c r="Y18" t="s">
        <v>55</v>
      </c>
      <c r="Z18">
        <v>0</v>
      </c>
      <c r="AG18" s="131" t="s">
        <v>55</v>
      </c>
      <c r="AH18" s="38">
        <v>8</v>
      </c>
      <c r="AI18" s="140">
        <v>6</v>
      </c>
      <c r="AJ18" s="38">
        <f t="shared" si="2"/>
        <v>2</v>
      </c>
      <c r="AK18">
        <v>0</v>
      </c>
    </row>
    <row r="19" spans="1:37" ht="17" thickBot="1" x14ac:dyDescent="0.25">
      <c r="A19" s="12" t="s">
        <v>48</v>
      </c>
      <c r="B19" s="9">
        <v>17</v>
      </c>
      <c r="C19" s="7">
        <v>17</v>
      </c>
      <c r="D19" s="27">
        <v>0</v>
      </c>
      <c r="E19" s="168">
        <v>0</v>
      </c>
      <c r="F19" s="105" t="s">
        <v>48</v>
      </c>
      <c r="G19" s="9">
        <v>17</v>
      </c>
      <c r="H19" s="7">
        <v>18</v>
      </c>
      <c r="I19" s="27">
        <v>-1</v>
      </c>
      <c r="J19" s="172">
        <v>0</v>
      </c>
      <c r="K19" s="118" t="s">
        <v>48</v>
      </c>
      <c r="L19" s="9">
        <v>18</v>
      </c>
      <c r="M19" s="9">
        <v>16</v>
      </c>
      <c r="N19" s="27">
        <v>2</v>
      </c>
      <c r="O19" s="27"/>
      <c r="P19" s="131" t="s">
        <v>48</v>
      </c>
      <c r="Q19" s="19">
        <v>16</v>
      </c>
      <c r="R19" s="143">
        <v>19</v>
      </c>
      <c r="S19" s="141">
        <v>-3</v>
      </c>
      <c r="T19">
        <v>0</v>
      </c>
      <c r="V19" s="175">
        <f t="shared" si="0"/>
        <v>0</v>
      </c>
      <c r="W19" s="175">
        <f t="shared" si="1"/>
        <v>0</v>
      </c>
      <c r="X19" t="s">
        <v>164</v>
      </c>
      <c r="Y19" t="s">
        <v>48</v>
      </c>
      <c r="Z19">
        <v>1</v>
      </c>
      <c r="AG19" s="131" t="s">
        <v>48</v>
      </c>
      <c r="AH19" s="38">
        <v>19</v>
      </c>
      <c r="AI19" s="140">
        <v>20</v>
      </c>
      <c r="AJ19" s="38">
        <f t="shared" si="2"/>
        <v>-1</v>
      </c>
      <c r="AK19">
        <v>0</v>
      </c>
    </row>
    <row r="20" spans="1:37" ht="17" thickBot="1" x14ac:dyDescent="0.25">
      <c r="A20" s="5" t="s">
        <v>21</v>
      </c>
      <c r="B20" s="9">
        <v>29</v>
      </c>
      <c r="C20" s="7">
        <v>29</v>
      </c>
      <c r="D20" s="27">
        <v>0</v>
      </c>
      <c r="E20" s="168">
        <v>0</v>
      </c>
      <c r="F20" s="105" t="s">
        <v>21</v>
      </c>
      <c r="G20" s="9">
        <v>29</v>
      </c>
      <c r="H20" s="7">
        <v>26</v>
      </c>
      <c r="I20" s="27">
        <v>3</v>
      </c>
      <c r="J20" s="172">
        <v>0</v>
      </c>
      <c r="K20" s="118" t="s">
        <v>21</v>
      </c>
      <c r="L20" s="9">
        <v>26</v>
      </c>
      <c r="M20" s="9">
        <v>18</v>
      </c>
      <c r="N20" s="27">
        <v>8</v>
      </c>
      <c r="O20" s="27"/>
      <c r="P20" s="131" t="s">
        <v>21</v>
      </c>
      <c r="Q20" s="19">
        <v>18</v>
      </c>
      <c r="R20" s="143">
        <v>21</v>
      </c>
      <c r="S20" s="141">
        <v>-3</v>
      </c>
      <c r="T20">
        <v>0</v>
      </c>
      <c r="V20" s="175">
        <f t="shared" si="0"/>
        <v>0</v>
      </c>
      <c r="W20" s="175">
        <f t="shared" si="1"/>
        <v>0</v>
      </c>
      <c r="X20" t="s">
        <v>165</v>
      </c>
      <c r="Y20" t="s">
        <v>21</v>
      </c>
      <c r="Z20">
        <v>11</v>
      </c>
      <c r="AG20" s="131" t="s">
        <v>21</v>
      </c>
      <c r="AH20" s="38">
        <v>21</v>
      </c>
      <c r="AI20" s="140">
        <v>18</v>
      </c>
      <c r="AJ20" s="38">
        <f t="shared" si="2"/>
        <v>3</v>
      </c>
      <c r="AK20">
        <v>0</v>
      </c>
    </row>
    <row r="21" spans="1:37" ht="17" thickBot="1" x14ac:dyDescent="0.25">
      <c r="A21" s="5" t="s">
        <v>29</v>
      </c>
      <c r="B21" s="9">
        <v>25</v>
      </c>
      <c r="C21" s="7">
        <v>29</v>
      </c>
      <c r="D21" s="27">
        <v>-4</v>
      </c>
      <c r="E21" s="168">
        <v>0</v>
      </c>
      <c r="F21" s="105" t="s">
        <v>29</v>
      </c>
      <c r="G21" s="9">
        <v>29</v>
      </c>
      <c r="H21" s="7">
        <v>26</v>
      </c>
      <c r="I21" s="27">
        <v>3</v>
      </c>
      <c r="J21" s="172">
        <v>0</v>
      </c>
      <c r="K21" s="118" t="s">
        <v>29</v>
      </c>
      <c r="L21" s="9">
        <v>26</v>
      </c>
      <c r="M21" s="9">
        <v>25</v>
      </c>
      <c r="N21" s="27">
        <v>1</v>
      </c>
      <c r="O21" s="27"/>
      <c r="P21" s="158" t="s">
        <v>29</v>
      </c>
      <c r="Q21" s="162">
        <v>25</v>
      </c>
      <c r="R21" s="163">
        <v>24</v>
      </c>
      <c r="S21" s="161">
        <v>1</v>
      </c>
      <c r="T21">
        <v>1</v>
      </c>
      <c r="V21" s="175">
        <f t="shared" si="0"/>
        <v>1</v>
      </c>
      <c r="W21" s="175">
        <f t="shared" si="1"/>
        <v>1</v>
      </c>
      <c r="X21" t="s">
        <v>166</v>
      </c>
      <c r="Y21" t="s">
        <v>29</v>
      </c>
      <c r="Z21">
        <v>0</v>
      </c>
      <c r="AG21" s="131" t="s">
        <v>29</v>
      </c>
      <c r="AH21" s="38">
        <v>24</v>
      </c>
      <c r="AI21" s="140">
        <v>24</v>
      </c>
      <c r="AJ21" s="38">
        <f t="shared" si="2"/>
        <v>0</v>
      </c>
      <c r="AK21">
        <v>0</v>
      </c>
    </row>
    <row r="22" spans="1:37" ht="17" thickBot="1" x14ac:dyDescent="0.25">
      <c r="A22" s="5" t="s">
        <v>59</v>
      </c>
      <c r="B22" s="9">
        <v>9</v>
      </c>
      <c r="C22" s="7">
        <v>5</v>
      </c>
      <c r="D22" s="27">
        <v>4</v>
      </c>
      <c r="E22" s="168">
        <v>0</v>
      </c>
      <c r="F22" s="105" t="s">
        <v>59</v>
      </c>
      <c r="G22" s="9">
        <v>5</v>
      </c>
      <c r="H22" s="7">
        <v>7</v>
      </c>
      <c r="I22" s="27">
        <v>-2</v>
      </c>
      <c r="J22" s="172">
        <v>0</v>
      </c>
      <c r="K22" s="118" t="s">
        <v>59</v>
      </c>
      <c r="L22" s="9">
        <v>7</v>
      </c>
      <c r="M22" s="9">
        <v>7</v>
      </c>
      <c r="N22" s="27">
        <v>0</v>
      </c>
      <c r="O22" s="27"/>
      <c r="P22" s="131" t="s">
        <v>59</v>
      </c>
      <c r="Q22" s="19">
        <v>7</v>
      </c>
      <c r="R22" s="143">
        <v>7</v>
      </c>
      <c r="S22" s="141">
        <v>0</v>
      </c>
      <c r="T22">
        <v>0</v>
      </c>
      <c r="V22" s="175">
        <f t="shared" si="0"/>
        <v>0</v>
      </c>
      <c r="W22" s="175">
        <f t="shared" si="1"/>
        <v>0</v>
      </c>
      <c r="X22" t="s">
        <v>167</v>
      </c>
      <c r="Y22" t="s">
        <v>59</v>
      </c>
      <c r="Z22">
        <v>2</v>
      </c>
      <c r="AG22" s="131" t="s">
        <v>59</v>
      </c>
      <c r="AH22" s="38">
        <v>7</v>
      </c>
      <c r="AI22" s="140">
        <v>9</v>
      </c>
      <c r="AJ22" s="38">
        <f t="shared" si="2"/>
        <v>-2</v>
      </c>
      <c r="AK22">
        <v>0</v>
      </c>
    </row>
    <row r="23" spans="1:37" ht="17" thickBot="1" x14ac:dyDescent="0.25">
      <c r="A23" s="21" t="s">
        <v>33</v>
      </c>
      <c r="B23" s="14">
        <v>29</v>
      </c>
      <c r="C23" s="16">
        <v>22</v>
      </c>
      <c r="D23" s="28">
        <v>7</v>
      </c>
      <c r="E23" s="150">
        <v>1</v>
      </c>
      <c r="F23" s="105" t="s">
        <v>33</v>
      </c>
      <c r="G23" s="9">
        <v>22</v>
      </c>
      <c r="H23" s="7">
        <v>26</v>
      </c>
      <c r="I23" s="27">
        <v>-4</v>
      </c>
      <c r="J23" s="172">
        <v>0</v>
      </c>
      <c r="K23" s="118" t="s">
        <v>33</v>
      </c>
      <c r="L23" s="9">
        <v>22</v>
      </c>
      <c r="M23" s="9">
        <v>24</v>
      </c>
      <c r="N23" s="27">
        <v>-2</v>
      </c>
      <c r="O23" s="27"/>
      <c r="P23" s="158" t="s">
        <v>33</v>
      </c>
      <c r="Q23" s="162">
        <v>24</v>
      </c>
      <c r="R23" s="163">
        <v>9</v>
      </c>
      <c r="S23" s="161">
        <v>15</v>
      </c>
      <c r="T23">
        <v>1</v>
      </c>
      <c r="V23" s="175">
        <f t="shared" si="0"/>
        <v>2</v>
      </c>
      <c r="W23" s="175">
        <f t="shared" si="1"/>
        <v>1</v>
      </c>
      <c r="X23" t="s">
        <v>168</v>
      </c>
      <c r="Y23" t="s">
        <v>33</v>
      </c>
      <c r="Z23">
        <v>5</v>
      </c>
      <c r="AG23" s="177" t="s">
        <v>33</v>
      </c>
      <c r="AH23" s="19">
        <v>9</v>
      </c>
      <c r="AI23" s="143">
        <v>15</v>
      </c>
      <c r="AJ23" s="38">
        <f t="shared" si="2"/>
        <v>-6</v>
      </c>
      <c r="AK23">
        <v>0</v>
      </c>
    </row>
    <row r="24" spans="1:37" ht="17" thickBot="1" x14ac:dyDescent="0.25">
      <c r="A24" s="34" t="s">
        <v>46</v>
      </c>
      <c r="B24" s="35">
        <v>24</v>
      </c>
      <c r="C24" s="36">
        <v>11</v>
      </c>
      <c r="D24" s="37">
        <v>13</v>
      </c>
      <c r="E24" s="151">
        <v>1</v>
      </c>
      <c r="F24" s="115" t="s">
        <v>46</v>
      </c>
      <c r="G24" s="9">
        <v>11</v>
      </c>
      <c r="H24" s="7">
        <v>15</v>
      </c>
      <c r="I24" s="27">
        <v>-4</v>
      </c>
      <c r="J24" s="172">
        <v>0</v>
      </c>
      <c r="K24" s="115" t="s">
        <v>46</v>
      </c>
      <c r="L24" s="9">
        <v>11</v>
      </c>
      <c r="M24" s="9">
        <v>9</v>
      </c>
      <c r="N24" s="27">
        <v>2</v>
      </c>
      <c r="O24" s="27"/>
      <c r="P24" s="158" t="s">
        <v>46</v>
      </c>
      <c r="Q24" s="159">
        <v>9</v>
      </c>
      <c r="R24" s="160">
        <v>9</v>
      </c>
      <c r="S24" s="164">
        <v>0</v>
      </c>
      <c r="T24">
        <v>1</v>
      </c>
      <c r="V24" s="175">
        <f t="shared" si="0"/>
        <v>2</v>
      </c>
      <c r="W24" s="175">
        <f t="shared" si="1"/>
        <v>1</v>
      </c>
      <c r="X24" t="s">
        <v>169</v>
      </c>
      <c r="Y24" t="s">
        <v>46</v>
      </c>
      <c r="Z24">
        <v>15</v>
      </c>
      <c r="AG24" s="178" t="s">
        <v>46</v>
      </c>
      <c r="AH24" s="181">
        <v>9</v>
      </c>
      <c r="AI24" s="182">
        <v>11</v>
      </c>
      <c r="AJ24" s="38">
        <f t="shared" si="2"/>
        <v>-2</v>
      </c>
      <c r="AK24">
        <v>0</v>
      </c>
    </row>
    <row r="25" spans="1:37" ht="17" thickBot="1" x14ac:dyDescent="0.25">
      <c r="A25" s="12" t="s">
        <v>22</v>
      </c>
      <c r="B25" s="9">
        <v>29</v>
      </c>
      <c r="C25" s="7">
        <v>29</v>
      </c>
      <c r="D25" s="27">
        <v>0</v>
      </c>
      <c r="E25" s="43">
        <v>0</v>
      </c>
      <c r="F25" s="105" t="s">
        <v>22</v>
      </c>
      <c r="G25" s="9">
        <v>29</v>
      </c>
      <c r="H25" s="7">
        <v>30</v>
      </c>
      <c r="I25" s="27">
        <v>-1</v>
      </c>
      <c r="J25" s="172">
        <v>0</v>
      </c>
      <c r="K25" s="118" t="s">
        <v>22</v>
      </c>
      <c r="L25" s="9">
        <v>30</v>
      </c>
      <c r="M25" s="9">
        <v>29</v>
      </c>
      <c r="N25" s="27">
        <v>1</v>
      </c>
      <c r="O25" s="27"/>
      <c r="P25" s="131" t="s">
        <v>22</v>
      </c>
      <c r="Q25" s="19">
        <v>29</v>
      </c>
      <c r="R25" s="143">
        <v>28</v>
      </c>
      <c r="S25" s="141">
        <v>1</v>
      </c>
      <c r="T25">
        <v>0</v>
      </c>
      <c r="V25" s="175">
        <f t="shared" si="0"/>
        <v>0</v>
      </c>
      <c r="W25" s="175">
        <f t="shared" si="1"/>
        <v>0</v>
      </c>
      <c r="X25" t="s">
        <v>170</v>
      </c>
      <c r="Y25" t="s">
        <v>22</v>
      </c>
      <c r="Z25">
        <v>0</v>
      </c>
      <c r="AG25" s="131" t="s">
        <v>22</v>
      </c>
      <c r="AH25" s="38">
        <v>28</v>
      </c>
      <c r="AI25" s="140">
        <v>25</v>
      </c>
      <c r="AJ25" s="38">
        <f t="shared" si="2"/>
        <v>3</v>
      </c>
      <c r="AK25">
        <v>0</v>
      </c>
    </row>
    <row r="26" spans="1:37" ht="17" thickBot="1" x14ac:dyDescent="0.25">
      <c r="A26" s="12" t="s">
        <v>39</v>
      </c>
      <c r="B26" s="9">
        <v>20</v>
      </c>
      <c r="C26" s="7">
        <v>22</v>
      </c>
      <c r="D26" s="27">
        <v>-2</v>
      </c>
      <c r="E26" s="43">
        <v>0</v>
      </c>
      <c r="F26" s="105" t="s">
        <v>39</v>
      </c>
      <c r="G26" s="9">
        <v>22</v>
      </c>
      <c r="H26" s="7">
        <v>23</v>
      </c>
      <c r="I26" s="27">
        <v>-1</v>
      </c>
      <c r="J26" s="172">
        <v>0</v>
      </c>
      <c r="K26" s="118" t="s">
        <v>39</v>
      </c>
      <c r="L26" s="9">
        <v>16</v>
      </c>
      <c r="M26" s="9">
        <v>22</v>
      </c>
      <c r="N26" s="27">
        <v>-6</v>
      </c>
      <c r="O26" s="27"/>
      <c r="P26" s="131" t="s">
        <v>39</v>
      </c>
      <c r="Q26" s="19">
        <v>22</v>
      </c>
      <c r="R26" s="143">
        <v>22</v>
      </c>
      <c r="S26" s="141">
        <v>0</v>
      </c>
      <c r="T26">
        <v>0</v>
      </c>
      <c r="V26" s="175">
        <f t="shared" si="0"/>
        <v>0</v>
      </c>
      <c r="W26" s="175">
        <f t="shared" si="1"/>
        <v>0</v>
      </c>
      <c r="X26" t="s">
        <v>171</v>
      </c>
      <c r="Y26" t="s">
        <v>39</v>
      </c>
      <c r="Z26">
        <v>-2</v>
      </c>
      <c r="AG26" s="158" t="s">
        <v>39</v>
      </c>
      <c r="AH26" s="159">
        <v>22</v>
      </c>
      <c r="AI26" s="160">
        <v>21</v>
      </c>
      <c r="AJ26" s="159">
        <f t="shared" si="2"/>
        <v>1</v>
      </c>
      <c r="AK26">
        <v>1</v>
      </c>
    </row>
    <row r="27" spans="1:37" ht="17" thickBot="1" x14ac:dyDescent="0.25">
      <c r="A27" s="5" t="s">
        <v>40</v>
      </c>
      <c r="B27" s="9">
        <v>20</v>
      </c>
      <c r="C27" s="7">
        <v>21</v>
      </c>
      <c r="D27" s="27">
        <v>-1</v>
      </c>
      <c r="E27" s="43">
        <v>0</v>
      </c>
      <c r="F27" s="105" t="s">
        <v>40</v>
      </c>
      <c r="G27" s="9">
        <v>21</v>
      </c>
      <c r="H27" s="7">
        <v>21</v>
      </c>
      <c r="I27" s="27">
        <v>0</v>
      </c>
      <c r="J27" s="172">
        <v>0</v>
      </c>
      <c r="K27" s="118" t="s">
        <v>40</v>
      </c>
      <c r="L27" s="9">
        <v>21</v>
      </c>
      <c r="M27" s="9">
        <v>20</v>
      </c>
      <c r="N27" s="27">
        <v>1</v>
      </c>
      <c r="O27" s="27"/>
      <c r="P27" s="158" t="s">
        <v>40</v>
      </c>
      <c r="Q27" s="162">
        <v>20</v>
      </c>
      <c r="R27" s="163">
        <v>13</v>
      </c>
      <c r="S27" s="161">
        <v>7</v>
      </c>
      <c r="T27">
        <v>1</v>
      </c>
      <c r="V27" s="175">
        <f t="shared" si="0"/>
        <v>1</v>
      </c>
      <c r="W27" s="175">
        <f t="shared" si="1"/>
        <v>1</v>
      </c>
      <c r="X27" t="s">
        <v>172</v>
      </c>
      <c r="Y27" t="s">
        <v>40</v>
      </c>
      <c r="Z27">
        <v>0</v>
      </c>
      <c r="AG27" s="131" t="s">
        <v>40</v>
      </c>
      <c r="AH27" s="38">
        <v>13</v>
      </c>
      <c r="AI27" s="140">
        <v>10</v>
      </c>
      <c r="AJ27" s="38">
        <f t="shared" si="2"/>
        <v>3</v>
      </c>
      <c r="AK27">
        <v>0</v>
      </c>
    </row>
    <row r="28" spans="1:37" ht="17" thickBot="1" x14ac:dyDescent="0.25">
      <c r="A28" s="21" t="s">
        <v>26</v>
      </c>
      <c r="B28" s="14">
        <v>26</v>
      </c>
      <c r="C28" s="16">
        <v>24</v>
      </c>
      <c r="D28" s="28">
        <v>2</v>
      </c>
      <c r="E28" s="150">
        <v>1</v>
      </c>
      <c r="F28" s="105" t="s">
        <v>26</v>
      </c>
      <c r="G28" s="9">
        <v>24</v>
      </c>
      <c r="H28" s="7">
        <v>25</v>
      </c>
      <c r="I28" s="27">
        <v>-1</v>
      </c>
      <c r="J28" s="172">
        <v>0</v>
      </c>
      <c r="K28" s="118" t="s">
        <v>26</v>
      </c>
      <c r="L28" s="9">
        <v>24</v>
      </c>
      <c r="M28" s="9">
        <v>25</v>
      </c>
      <c r="N28" s="27">
        <v>-1</v>
      </c>
      <c r="O28" s="27"/>
      <c r="P28" s="158" t="s">
        <v>26</v>
      </c>
      <c r="Q28" s="159">
        <v>25</v>
      </c>
      <c r="R28" s="160">
        <v>5</v>
      </c>
      <c r="S28" s="164">
        <v>20</v>
      </c>
      <c r="T28">
        <v>1</v>
      </c>
      <c r="V28" s="175">
        <f t="shared" si="0"/>
        <v>2</v>
      </c>
      <c r="W28" s="175">
        <f t="shared" si="1"/>
        <v>1</v>
      </c>
      <c r="X28" t="s">
        <v>173</v>
      </c>
      <c r="Y28" t="s">
        <v>26</v>
      </c>
      <c r="Z28">
        <v>1</v>
      </c>
      <c r="AG28" s="131" t="s">
        <v>26</v>
      </c>
      <c r="AH28" s="38">
        <v>5</v>
      </c>
      <c r="AI28" s="140">
        <v>7</v>
      </c>
      <c r="AJ28" s="38">
        <f t="shared" si="2"/>
        <v>-2</v>
      </c>
      <c r="AK28">
        <v>0</v>
      </c>
    </row>
    <row r="29" spans="1:37" ht="17" thickBot="1" x14ac:dyDescent="0.25">
      <c r="A29" s="85" t="s">
        <v>23</v>
      </c>
      <c r="B29" s="14">
        <v>29</v>
      </c>
      <c r="C29" s="16">
        <v>29</v>
      </c>
      <c r="D29" s="28">
        <v>0</v>
      </c>
      <c r="E29" s="150">
        <v>1</v>
      </c>
      <c r="F29" s="116" t="s">
        <v>23</v>
      </c>
      <c r="G29" s="14">
        <v>29</v>
      </c>
      <c r="H29" s="16">
        <v>26</v>
      </c>
      <c r="I29" s="28">
        <v>3</v>
      </c>
      <c r="J29" s="150">
        <v>1</v>
      </c>
      <c r="K29" s="118" t="s">
        <v>23</v>
      </c>
      <c r="L29" s="9">
        <v>23</v>
      </c>
      <c r="M29" s="9">
        <v>23</v>
      </c>
      <c r="N29" s="27">
        <v>0</v>
      </c>
      <c r="O29" s="27"/>
      <c r="P29" s="131" t="s">
        <v>23</v>
      </c>
      <c r="Q29" s="19">
        <v>23</v>
      </c>
      <c r="R29" s="143">
        <v>14</v>
      </c>
      <c r="S29" s="141">
        <v>9</v>
      </c>
      <c r="T29">
        <v>0</v>
      </c>
      <c r="V29" s="175">
        <f t="shared" si="0"/>
        <v>2</v>
      </c>
      <c r="W29" s="175">
        <f t="shared" si="1"/>
        <v>1</v>
      </c>
      <c r="X29" t="s">
        <v>174</v>
      </c>
      <c r="Y29" t="s">
        <v>23</v>
      </c>
      <c r="Z29">
        <v>6</v>
      </c>
      <c r="AG29" s="186" t="s">
        <v>23</v>
      </c>
      <c r="AH29" s="159">
        <v>14</v>
      </c>
      <c r="AI29" s="160">
        <v>16</v>
      </c>
      <c r="AJ29" s="159">
        <f t="shared" si="2"/>
        <v>-2</v>
      </c>
      <c r="AK29">
        <v>1</v>
      </c>
    </row>
    <row r="30" spans="1:37" ht="17" thickBot="1" x14ac:dyDescent="0.25">
      <c r="A30" s="5" t="s">
        <v>16</v>
      </c>
      <c r="B30" s="9">
        <v>33</v>
      </c>
      <c r="C30" s="7">
        <v>33</v>
      </c>
      <c r="D30" s="27">
        <v>0</v>
      </c>
      <c r="E30" s="43">
        <v>0</v>
      </c>
      <c r="F30" s="117" t="s">
        <v>16</v>
      </c>
      <c r="G30" s="122">
        <v>33</v>
      </c>
      <c r="H30" s="152">
        <v>33</v>
      </c>
      <c r="I30" s="155">
        <v>0</v>
      </c>
      <c r="J30" s="173">
        <v>0</v>
      </c>
      <c r="K30" s="118" t="s">
        <v>16</v>
      </c>
      <c r="L30" s="9">
        <v>33</v>
      </c>
      <c r="M30" s="9">
        <v>33</v>
      </c>
      <c r="N30" s="27">
        <v>0</v>
      </c>
      <c r="O30" s="27"/>
      <c r="P30" s="131" t="s">
        <v>16</v>
      </c>
      <c r="Q30" s="19">
        <v>33</v>
      </c>
      <c r="R30" s="143">
        <v>33</v>
      </c>
      <c r="S30" s="141">
        <v>0</v>
      </c>
      <c r="T30">
        <v>0</v>
      </c>
      <c r="V30" s="175">
        <f t="shared" si="0"/>
        <v>0</v>
      </c>
      <c r="W30" s="175">
        <f t="shared" si="1"/>
        <v>0</v>
      </c>
      <c r="X30" t="s">
        <v>175</v>
      </c>
      <c r="Y30" t="s">
        <v>16</v>
      </c>
      <c r="Z30">
        <v>0</v>
      </c>
      <c r="AG30" s="131" t="s">
        <v>16</v>
      </c>
      <c r="AH30" s="38">
        <v>33</v>
      </c>
      <c r="AI30" s="140">
        <v>33</v>
      </c>
      <c r="AJ30" s="38">
        <f t="shared" si="2"/>
        <v>0</v>
      </c>
      <c r="AK30">
        <v>0</v>
      </c>
    </row>
    <row r="31" spans="1:37" ht="17" thickBot="1" x14ac:dyDescent="0.25">
      <c r="A31" s="5" t="s">
        <v>31</v>
      </c>
      <c r="B31" s="9">
        <v>24</v>
      </c>
      <c r="C31" s="7">
        <v>31</v>
      </c>
      <c r="D31" s="27">
        <v>-7</v>
      </c>
      <c r="E31" s="43">
        <v>0</v>
      </c>
      <c r="F31" s="105" t="s">
        <v>31</v>
      </c>
      <c r="G31" s="9">
        <v>31</v>
      </c>
      <c r="H31" s="7">
        <v>32</v>
      </c>
      <c r="I31" s="27">
        <v>-1</v>
      </c>
      <c r="J31" s="43">
        <v>0</v>
      </c>
      <c r="K31" s="118" t="s">
        <v>31</v>
      </c>
      <c r="L31" s="9">
        <v>30</v>
      </c>
      <c r="M31" s="9">
        <v>31</v>
      </c>
      <c r="N31" s="27">
        <v>-1</v>
      </c>
      <c r="O31" s="27"/>
      <c r="P31" s="131" t="s">
        <v>31</v>
      </c>
      <c r="Q31" s="19">
        <v>31</v>
      </c>
      <c r="R31" s="143">
        <v>30</v>
      </c>
      <c r="S31" s="141">
        <v>1</v>
      </c>
      <c r="T31">
        <v>0</v>
      </c>
      <c r="V31" s="175">
        <f t="shared" si="0"/>
        <v>0</v>
      </c>
      <c r="W31" s="175">
        <f t="shared" si="1"/>
        <v>0</v>
      </c>
      <c r="X31" t="s">
        <v>176</v>
      </c>
      <c r="Y31" t="s">
        <v>31</v>
      </c>
      <c r="Z31">
        <v>-7</v>
      </c>
      <c r="AG31" s="158" t="s">
        <v>31</v>
      </c>
      <c r="AH31" s="159">
        <v>30</v>
      </c>
      <c r="AI31" s="160">
        <v>22</v>
      </c>
      <c r="AJ31" s="159">
        <f t="shared" si="2"/>
        <v>8</v>
      </c>
      <c r="AK31">
        <v>1</v>
      </c>
    </row>
    <row r="32" spans="1:37" ht="17" thickBot="1" x14ac:dyDescent="0.25">
      <c r="A32" s="5" t="s">
        <v>41</v>
      </c>
      <c r="B32" s="9">
        <v>19</v>
      </c>
      <c r="C32" s="7">
        <v>20</v>
      </c>
      <c r="D32" s="27">
        <v>-1</v>
      </c>
      <c r="E32" s="43">
        <v>0</v>
      </c>
      <c r="F32" s="105" t="s">
        <v>41</v>
      </c>
      <c r="G32" s="9">
        <v>20</v>
      </c>
      <c r="H32" s="7">
        <v>21</v>
      </c>
      <c r="I32" s="27">
        <v>-1</v>
      </c>
      <c r="J32" s="43">
        <v>0</v>
      </c>
      <c r="K32" s="118" t="s">
        <v>41</v>
      </c>
      <c r="L32" s="9">
        <v>21</v>
      </c>
      <c r="M32" s="9">
        <v>21</v>
      </c>
      <c r="N32" s="27">
        <v>0</v>
      </c>
      <c r="O32" s="27"/>
      <c r="P32" s="158" t="s">
        <v>41</v>
      </c>
      <c r="Q32" s="162">
        <v>21</v>
      </c>
      <c r="R32" s="163">
        <v>4</v>
      </c>
      <c r="S32" s="161">
        <v>17</v>
      </c>
      <c r="T32">
        <v>1</v>
      </c>
      <c r="V32" s="175">
        <f t="shared" si="0"/>
        <v>1</v>
      </c>
      <c r="W32" s="175">
        <f t="shared" si="1"/>
        <v>1</v>
      </c>
      <c r="X32" t="s">
        <v>177</v>
      </c>
      <c r="Y32" t="s">
        <v>41</v>
      </c>
      <c r="Z32">
        <v>-2</v>
      </c>
      <c r="AG32" s="131" t="s">
        <v>41</v>
      </c>
      <c r="AH32" s="38">
        <v>4</v>
      </c>
      <c r="AI32" s="140">
        <v>3</v>
      </c>
      <c r="AJ32" s="38">
        <f t="shared" si="2"/>
        <v>1</v>
      </c>
      <c r="AK32">
        <v>0</v>
      </c>
    </row>
    <row r="33" spans="1:37" ht="17" thickBot="1" x14ac:dyDescent="0.25">
      <c r="A33" s="25" t="s">
        <v>47</v>
      </c>
      <c r="B33" s="14">
        <v>18</v>
      </c>
      <c r="C33" s="16">
        <v>18</v>
      </c>
      <c r="D33" s="28">
        <v>0</v>
      </c>
      <c r="E33" s="150">
        <v>1</v>
      </c>
      <c r="F33" s="105" t="s">
        <v>47</v>
      </c>
      <c r="G33" s="9">
        <v>18</v>
      </c>
      <c r="H33" s="7">
        <v>19</v>
      </c>
      <c r="I33" s="27">
        <v>-1</v>
      </c>
      <c r="J33" s="43">
        <v>0</v>
      </c>
      <c r="K33" s="118" t="s">
        <v>47</v>
      </c>
      <c r="L33" s="9">
        <v>19</v>
      </c>
      <c r="M33" s="9">
        <v>18</v>
      </c>
      <c r="N33" s="27">
        <v>1</v>
      </c>
      <c r="O33" s="27"/>
      <c r="P33" s="131" t="s">
        <v>47</v>
      </c>
      <c r="Q33" s="19">
        <v>18</v>
      </c>
      <c r="R33" s="143">
        <v>12</v>
      </c>
      <c r="S33" s="141">
        <v>6</v>
      </c>
      <c r="T33">
        <v>0</v>
      </c>
      <c r="V33" s="175">
        <f t="shared" si="0"/>
        <v>1</v>
      </c>
      <c r="W33" s="175">
        <f t="shared" si="1"/>
        <v>1</v>
      </c>
      <c r="X33" t="s">
        <v>178</v>
      </c>
      <c r="Y33" t="s">
        <v>47</v>
      </c>
      <c r="Z33">
        <v>0</v>
      </c>
      <c r="AG33" s="177" t="s">
        <v>47</v>
      </c>
      <c r="AH33" s="19">
        <v>12</v>
      </c>
      <c r="AI33" s="143">
        <v>9</v>
      </c>
      <c r="AJ33" s="38">
        <f t="shared" si="2"/>
        <v>3</v>
      </c>
      <c r="AK33">
        <v>0</v>
      </c>
    </row>
    <row r="34" spans="1:37" ht="17" thickBot="1" x14ac:dyDescent="0.25">
      <c r="A34" s="12" t="s">
        <v>30</v>
      </c>
      <c r="B34" s="9">
        <v>25</v>
      </c>
      <c r="C34" s="7">
        <v>27</v>
      </c>
      <c r="D34" s="27">
        <v>-2</v>
      </c>
      <c r="E34" s="43">
        <v>0</v>
      </c>
      <c r="F34" s="105" t="s">
        <v>30</v>
      </c>
      <c r="G34" s="9">
        <v>27</v>
      </c>
      <c r="H34" s="7">
        <v>27</v>
      </c>
      <c r="I34" s="27">
        <v>0</v>
      </c>
      <c r="J34" s="43">
        <v>0</v>
      </c>
      <c r="K34" s="118" t="s">
        <v>30</v>
      </c>
      <c r="L34" s="9">
        <v>27</v>
      </c>
      <c r="M34" s="9">
        <v>27</v>
      </c>
      <c r="N34" s="27">
        <v>0</v>
      </c>
      <c r="O34" s="27"/>
      <c r="P34" s="158" t="s">
        <v>30</v>
      </c>
      <c r="Q34" s="162">
        <v>27</v>
      </c>
      <c r="R34" s="163">
        <v>15</v>
      </c>
      <c r="S34" s="161">
        <v>12</v>
      </c>
      <c r="T34">
        <v>1</v>
      </c>
      <c r="V34" s="175">
        <f t="shared" si="0"/>
        <v>1</v>
      </c>
      <c r="W34" s="175">
        <f t="shared" si="1"/>
        <v>1</v>
      </c>
      <c r="X34" t="s">
        <v>179</v>
      </c>
      <c r="Y34" t="s">
        <v>30</v>
      </c>
      <c r="Z34">
        <v>-2</v>
      </c>
      <c r="AG34" s="131" t="s">
        <v>30</v>
      </c>
      <c r="AH34" s="38">
        <v>15</v>
      </c>
      <c r="AI34" s="140">
        <v>9</v>
      </c>
      <c r="AJ34" s="38">
        <f t="shared" si="2"/>
        <v>6</v>
      </c>
      <c r="AK34">
        <v>0</v>
      </c>
    </row>
    <row r="35" spans="1:37" ht="17" thickBot="1" x14ac:dyDescent="0.25">
      <c r="A35" s="12" t="s">
        <v>49</v>
      </c>
      <c r="B35" s="9">
        <v>17</v>
      </c>
      <c r="C35" s="7">
        <v>17</v>
      </c>
      <c r="D35" s="27">
        <v>0</v>
      </c>
      <c r="E35" s="43">
        <v>0</v>
      </c>
      <c r="F35" s="105" t="s">
        <v>49</v>
      </c>
      <c r="G35" s="9">
        <v>17</v>
      </c>
      <c r="H35" s="7">
        <v>19</v>
      </c>
      <c r="I35" s="27">
        <v>-2</v>
      </c>
      <c r="J35" s="43">
        <v>0</v>
      </c>
      <c r="K35" s="118" t="s">
        <v>49</v>
      </c>
      <c r="L35" s="9">
        <v>18</v>
      </c>
      <c r="M35" s="9">
        <v>17</v>
      </c>
      <c r="N35" s="27">
        <v>1</v>
      </c>
      <c r="O35" s="27"/>
      <c r="P35" s="131" t="s">
        <v>49</v>
      </c>
      <c r="Q35" s="19">
        <v>17</v>
      </c>
      <c r="R35" s="143">
        <v>18</v>
      </c>
      <c r="S35" s="141">
        <v>-1</v>
      </c>
      <c r="T35">
        <v>0</v>
      </c>
      <c r="V35" s="175">
        <f t="shared" si="0"/>
        <v>0</v>
      </c>
      <c r="W35" s="175">
        <f t="shared" si="1"/>
        <v>0</v>
      </c>
      <c r="X35" t="s">
        <v>180</v>
      </c>
      <c r="Y35" t="s">
        <v>49</v>
      </c>
      <c r="Z35">
        <v>0</v>
      </c>
      <c r="AG35" s="131" t="s">
        <v>49</v>
      </c>
      <c r="AH35" s="38">
        <v>18</v>
      </c>
      <c r="AI35" s="140">
        <v>12</v>
      </c>
      <c r="AJ35" s="38">
        <f t="shared" si="2"/>
        <v>6</v>
      </c>
      <c r="AK35">
        <v>0</v>
      </c>
    </row>
    <row r="36" spans="1:37" ht="17" thickBot="1" x14ac:dyDescent="0.25">
      <c r="A36" s="5" t="s">
        <v>42</v>
      </c>
      <c r="B36" s="9">
        <v>19</v>
      </c>
      <c r="C36" s="7">
        <v>19</v>
      </c>
      <c r="D36" s="27">
        <v>0</v>
      </c>
      <c r="E36" s="43">
        <v>0</v>
      </c>
      <c r="F36" s="105" t="s">
        <v>42</v>
      </c>
      <c r="G36" s="9">
        <v>19</v>
      </c>
      <c r="H36" s="7">
        <v>18</v>
      </c>
      <c r="I36" s="27">
        <v>1</v>
      </c>
      <c r="J36" s="43">
        <v>0</v>
      </c>
      <c r="K36" s="118" t="s">
        <v>42</v>
      </c>
      <c r="L36" s="9">
        <v>18</v>
      </c>
      <c r="M36" s="9">
        <v>17</v>
      </c>
      <c r="N36" s="27">
        <v>1</v>
      </c>
      <c r="O36" s="27"/>
      <c r="P36" s="131" t="s">
        <v>42</v>
      </c>
      <c r="Q36" s="19">
        <v>17</v>
      </c>
      <c r="R36" s="143">
        <v>14</v>
      </c>
      <c r="S36" s="141">
        <v>3</v>
      </c>
      <c r="T36">
        <v>0</v>
      </c>
      <c r="V36" s="175">
        <f t="shared" si="0"/>
        <v>0</v>
      </c>
      <c r="W36" s="175">
        <f t="shared" si="1"/>
        <v>0</v>
      </c>
      <c r="X36" t="s">
        <v>181</v>
      </c>
      <c r="Y36" t="s">
        <v>42</v>
      </c>
      <c r="Z36">
        <v>2</v>
      </c>
      <c r="AG36" s="131" t="s">
        <v>42</v>
      </c>
      <c r="AH36" s="38">
        <v>14</v>
      </c>
      <c r="AI36" s="140">
        <v>13</v>
      </c>
      <c r="AJ36" s="38">
        <f t="shared" si="2"/>
        <v>1</v>
      </c>
      <c r="AK36">
        <v>0</v>
      </c>
    </row>
    <row r="37" spans="1:37" ht="17" thickBot="1" x14ac:dyDescent="0.25">
      <c r="A37" s="12" t="s">
        <v>56</v>
      </c>
      <c r="B37" s="9">
        <v>11</v>
      </c>
      <c r="C37" s="7">
        <v>14</v>
      </c>
      <c r="D37" s="27">
        <v>-3</v>
      </c>
      <c r="E37" s="43">
        <v>0</v>
      </c>
      <c r="F37" s="105" t="s">
        <v>56</v>
      </c>
      <c r="G37" s="9">
        <v>14</v>
      </c>
      <c r="H37" s="7">
        <v>10</v>
      </c>
      <c r="I37" s="27">
        <v>4</v>
      </c>
      <c r="J37" s="43">
        <v>0</v>
      </c>
      <c r="K37" s="118" t="s">
        <v>56</v>
      </c>
      <c r="L37" s="9">
        <v>16</v>
      </c>
      <c r="M37" s="9">
        <v>15</v>
      </c>
      <c r="N37" s="27">
        <v>1</v>
      </c>
      <c r="O37" s="27"/>
      <c r="P37" s="131" t="s">
        <v>56</v>
      </c>
      <c r="Q37" s="19">
        <v>15</v>
      </c>
      <c r="R37" s="143">
        <v>13</v>
      </c>
      <c r="S37" s="141">
        <v>2</v>
      </c>
      <c r="T37">
        <v>0</v>
      </c>
      <c r="V37" s="175">
        <f t="shared" si="0"/>
        <v>0</v>
      </c>
      <c r="W37" s="175">
        <f t="shared" si="1"/>
        <v>0</v>
      </c>
      <c r="X37" t="s">
        <v>182</v>
      </c>
      <c r="Y37" t="s">
        <v>56</v>
      </c>
      <c r="Z37">
        <v>-4</v>
      </c>
      <c r="AG37" s="158" t="s">
        <v>56</v>
      </c>
      <c r="AH37" s="159">
        <v>13</v>
      </c>
      <c r="AI37" s="160">
        <v>14</v>
      </c>
      <c r="AJ37" s="159">
        <f t="shared" si="2"/>
        <v>-1</v>
      </c>
      <c r="AK37">
        <v>1</v>
      </c>
    </row>
    <row r="38" spans="1:37" ht="17" thickBot="1" x14ac:dyDescent="0.25">
      <c r="A38" s="5" t="s">
        <v>60</v>
      </c>
      <c r="B38" s="9">
        <v>9</v>
      </c>
      <c r="C38" s="7">
        <v>11</v>
      </c>
      <c r="D38" s="27">
        <v>-2</v>
      </c>
      <c r="E38" s="43">
        <v>0</v>
      </c>
      <c r="F38" s="105" t="s">
        <v>60</v>
      </c>
      <c r="G38" s="9">
        <v>11</v>
      </c>
      <c r="H38" s="7">
        <v>11</v>
      </c>
      <c r="I38" s="27">
        <v>0</v>
      </c>
      <c r="J38" s="43">
        <v>0</v>
      </c>
      <c r="K38" s="118" t="s">
        <v>60</v>
      </c>
      <c r="L38" s="9">
        <v>11</v>
      </c>
      <c r="M38" s="9">
        <v>12</v>
      </c>
      <c r="N38" s="27">
        <v>-1</v>
      </c>
      <c r="O38" s="27"/>
      <c r="P38" s="131" t="s">
        <v>60</v>
      </c>
      <c r="Q38" s="38">
        <v>12</v>
      </c>
      <c r="R38" s="140">
        <v>11</v>
      </c>
      <c r="S38" s="141">
        <v>1</v>
      </c>
      <c r="T38">
        <v>0</v>
      </c>
      <c r="V38" s="175">
        <f t="shared" si="0"/>
        <v>0</v>
      </c>
      <c r="W38" s="175">
        <f t="shared" si="1"/>
        <v>0</v>
      </c>
      <c r="X38" t="s">
        <v>183</v>
      </c>
      <c r="Y38" t="s">
        <v>60</v>
      </c>
      <c r="Z38">
        <v>-3</v>
      </c>
      <c r="AG38" s="131" t="s">
        <v>60</v>
      </c>
      <c r="AH38" s="38">
        <v>11</v>
      </c>
      <c r="AI38" s="140">
        <v>13</v>
      </c>
      <c r="AJ38" s="38">
        <f t="shared" si="2"/>
        <v>-2</v>
      </c>
      <c r="AK38">
        <v>0</v>
      </c>
    </row>
    <row r="39" spans="1:37" ht="17" thickBot="1" x14ac:dyDescent="0.25">
      <c r="A39" s="5" t="s">
        <v>64</v>
      </c>
      <c r="B39" s="9">
        <v>7</v>
      </c>
      <c r="C39" s="7">
        <v>9</v>
      </c>
      <c r="D39" s="27">
        <v>-2</v>
      </c>
      <c r="E39" s="43">
        <v>0</v>
      </c>
      <c r="F39" s="105" t="s">
        <v>64</v>
      </c>
      <c r="G39" s="9">
        <v>9</v>
      </c>
      <c r="H39" s="7">
        <v>8</v>
      </c>
      <c r="I39" s="27">
        <v>1</v>
      </c>
      <c r="J39" s="43">
        <v>0</v>
      </c>
      <c r="K39" s="118" t="s">
        <v>64</v>
      </c>
      <c r="L39" s="9">
        <v>8</v>
      </c>
      <c r="M39" s="9">
        <v>16</v>
      </c>
      <c r="N39" s="27">
        <v>-8</v>
      </c>
      <c r="O39" s="27"/>
      <c r="P39" s="131" t="s">
        <v>64</v>
      </c>
      <c r="Q39" s="38">
        <v>16</v>
      </c>
      <c r="R39" s="140">
        <v>19</v>
      </c>
      <c r="S39" s="141">
        <v>-3</v>
      </c>
      <c r="T39">
        <v>0</v>
      </c>
      <c r="V39" s="175">
        <f t="shared" si="0"/>
        <v>0</v>
      </c>
      <c r="W39" s="175">
        <f t="shared" si="1"/>
        <v>0</v>
      </c>
      <c r="X39" t="s">
        <v>184</v>
      </c>
      <c r="Y39" t="s">
        <v>64</v>
      </c>
      <c r="Z39">
        <v>-9</v>
      </c>
      <c r="AG39" s="176" t="s">
        <v>64</v>
      </c>
      <c r="AH39" s="38">
        <v>19</v>
      </c>
      <c r="AI39" s="140">
        <v>19</v>
      </c>
      <c r="AJ39" s="38">
        <f t="shared" si="2"/>
        <v>0</v>
      </c>
      <c r="AK39">
        <v>0</v>
      </c>
    </row>
    <row r="40" spans="1:37" ht="17" thickBot="1" x14ac:dyDescent="0.25">
      <c r="A40" s="12" t="s">
        <v>36</v>
      </c>
      <c r="B40" s="9">
        <v>22</v>
      </c>
      <c r="C40" s="7">
        <v>22</v>
      </c>
      <c r="D40" s="27">
        <v>0</v>
      </c>
      <c r="E40" s="43">
        <v>0</v>
      </c>
      <c r="F40" s="105" t="s">
        <v>36</v>
      </c>
      <c r="G40" s="9">
        <v>22</v>
      </c>
      <c r="H40" s="7">
        <v>11</v>
      </c>
      <c r="I40" s="27">
        <v>11</v>
      </c>
      <c r="J40" s="43">
        <v>0</v>
      </c>
      <c r="K40" s="118" t="s">
        <v>36</v>
      </c>
      <c r="L40" s="9">
        <v>11</v>
      </c>
      <c r="M40" s="9">
        <v>11</v>
      </c>
      <c r="N40" s="27">
        <v>0</v>
      </c>
      <c r="O40" s="27"/>
      <c r="P40" s="131" t="s">
        <v>36</v>
      </c>
      <c r="Q40" s="38">
        <v>11</v>
      </c>
      <c r="R40" s="140">
        <v>10</v>
      </c>
      <c r="S40" s="141">
        <v>1</v>
      </c>
      <c r="T40">
        <v>0</v>
      </c>
      <c r="V40" s="175">
        <f t="shared" si="0"/>
        <v>0</v>
      </c>
      <c r="W40" s="175">
        <f t="shared" si="1"/>
        <v>0</v>
      </c>
      <c r="X40" t="s">
        <v>185</v>
      </c>
      <c r="Y40" t="s">
        <v>36</v>
      </c>
      <c r="Z40">
        <v>11</v>
      </c>
      <c r="AG40" s="131" t="s">
        <v>36</v>
      </c>
      <c r="AH40" s="38">
        <v>10</v>
      </c>
      <c r="AI40" s="140">
        <v>10</v>
      </c>
      <c r="AJ40" s="38">
        <f t="shared" si="2"/>
        <v>0</v>
      </c>
      <c r="AK40">
        <v>0</v>
      </c>
    </row>
    <row r="41" spans="1:37" ht="17" thickBot="1" x14ac:dyDescent="0.25">
      <c r="A41" s="5" t="s">
        <v>52</v>
      </c>
      <c r="B41" s="9">
        <v>13</v>
      </c>
      <c r="C41" s="7">
        <v>11</v>
      </c>
      <c r="D41" s="27">
        <v>2</v>
      </c>
      <c r="E41" s="43">
        <v>0</v>
      </c>
      <c r="F41" s="105" t="s">
        <v>52</v>
      </c>
      <c r="G41" s="9">
        <v>11</v>
      </c>
      <c r="H41" s="7">
        <v>13</v>
      </c>
      <c r="I41" s="27">
        <v>-2</v>
      </c>
      <c r="J41" s="43">
        <v>0</v>
      </c>
      <c r="K41" s="118" t="s">
        <v>52</v>
      </c>
      <c r="L41" s="9">
        <v>13</v>
      </c>
      <c r="M41" s="9">
        <v>12</v>
      </c>
      <c r="N41" s="27">
        <v>1</v>
      </c>
      <c r="O41" s="27"/>
      <c r="P41" s="131" t="s">
        <v>52</v>
      </c>
      <c r="Q41" s="38">
        <v>12</v>
      </c>
      <c r="R41" s="140">
        <v>12</v>
      </c>
      <c r="S41" s="141">
        <v>0</v>
      </c>
      <c r="T41">
        <v>0</v>
      </c>
      <c r="V41" s="175">
        <f t="shared" si="0"/>
        <v>0</v>
      </c>
      <c r="W41" s="175">
        <f t="shared" si="1"/>
        <v>0</v>
      </c>
      <c r="X41" t="s">
        <v>186</v>
      </c>
      <c r="Y41" t="s">
        <v>52</v>
      </c>
      <c r="Z41">
        <v>1</v>
      </c>
      <c r="AG41" s="131" t="s">
        <v>52</v>
      </c>
      <c r="AH41" s="38">
        <v>12</v>
      </c>
      <c r="AI41" s="140">
        <v>13</v>
      </c>
      <c r="AJ41" s="38">
        <f t="shared" si="2"/>
        <v>-1</v>
      </c>
      <c r="AK41">
        <v>0</v>
      </c>
    </row>
    <row r="42" spans="1:37" ht="17" thickBot="1" x14ac:dyDescent="0.25">
      <c r="A42" s="12" t="s">
        <v>43</v>
      </c>
      <c r="B42" s="9">
        <v>19</v>
      </c>
      <c r="C42" s="7">
        <v>17</v>
      </c>
      <c r="D42" s="27">
        <v>2</v>
      </c>
      <c r="E42" s="43">
        <v>0</v>
      </c>
      <c r="F42" s="105" t="s">
        <v>43</v>
      </c>
      <c r="G42" s="9">
        <v>17</v>
      </c>
      <c r="H42" s="7">
        <v>21</v>
      </c>
      <c r="I42" s="27">
        <v>-4</v>
      </c>
      <c r="J42" s="43">
        <v>0</v>
      </c>
      <c r="K42" s="118" t="s">
        <v>43</v>
      </c>
      <c r="L42" s="9">
        <v>7</v>
      </c>
      <c r="M42" s="9">
        <v>18</v>
      </c>
      <c r="N42" s="27">
        <v>-11</v>
      </c>
      <c r="O42" s="27"/>
      <c r="P42" s="133" t="s">
        <v>43</v>
      </c>
      <c r="Q42" s="38">
        <v>18</v>
      </c>
      <c r="R42" s="140">
        <v>18</v>
      </c>
      <c r="S42" s="141">
        <v>0</v>
      </c>
      <c r="T42">
        <v>0</v>
      </c>
      <c r="V42" s="175">
        <f t="shared" si="0"/>
        <v>0</v>
      </c>
      <c r="W42" s="175">
        <f t="shared" si="1"/>
        <v>0</v>
      </c>
      <c r="X42" t="s">
        <v>187</v>
      </c>
      <c r="Y42" t="s">
        <v>43</v>
      </c>
      <c r="Z42">
        <v>1</v>
      </c>
      <c r="AG42" s="186" t="s">
        <v>43</v>
      </c>
      <c r="AH42" s="159">
        <v>18</v>
      </c>
      <c r="AI42" s="160">
        <v>20</v>
      </c>
      <c r="AJ42" s="159">
        <f t="shared" si="2"/>
        <v>-2</v>
      </c>
      <c r="AK42">
        <v>1</v>
      </c>
    </row>
    <row r="43" spans="1:37" ht="17" thickBot="1" x14ac:dyDescent="0.25">
      <c r="A43" s="12" t="s">
        <v>37</v>
      </c>
      <c r="B43" s="9">
        <v>21</v>
      </c>
      <c r="C43" s="7">
        <v>21</v>
      </c>
      <c r="D43" s="27">
        <v>0</v>
      </c>
      <c r="E43" s="43">
        <v>0</v>
      </c>
      <c r="F43" s="105" t="s">
        <v>37</v>
      </c>
      <c r="G43" s="9">
        <v>21</v>
      </c>
      <c r="H43" s="7">
        <v>23</v>
      </c>
      <c r="I43" s="27">
        <v>-2</v>
      </c>
      <c r="J43" s="43">
        <v>0</v>
      </c>
      <c r="K43" s="118" t="s">
        <v>37</v>
      </c>
      <c r="L43" s="9">
        <v>23</v>
      </c>
      <c r="M43" s="9">
        <v>22</v>
      </c>
      <c r="N43" s="27">
        <v>1</v>
      </c>
      <c r="O43" s="27"/>
      <c r="P43" s="131" t="s">
        <v>37</v>
      </c>
      <c r="Q43" s="38">
        <v>22</v>
      </c>
      <c r="R43" s="140">
        <v>23</v>
      </c>
      <c r="S43" s="141">
        <v>-1</v>
      </c>
      <c r="T43">
        <v>0</v>
      </c>
      <c r="V43" s="175">
        <f t="shared" si="0"/>
        <v>0</v>
      </c>
      <c r="W43" s="175">
        <f t="shared" si="1"/>
        <v>0</v>
      </c>
      <c r="X43" t="s">
        <v>188</v>
      </c>
      <c r="Y43" t="s">
        <v>37</v>
      </c>
      <c r="Z43">
        <v>-1</v>
      </c>
      <c r="AG43" s="158" t="s">
        <v>37</v>
      </c>
      <c r="AH43" s="159">
        <v>23</v>
      </c>
      <c r="AI43" s="160">
        <v>23</v>
      </c>
      <c r="AJ43" s="159">
        <f t="shared" si="2"/>
        <v>0</v>
      </c>
      <c r="AK43">
        <v>1</v>
      </c>
    </row>
    <row r="44" spans="1:37" ht="17" thickBot="1" x14ac:dyDescent="0.25">
      <c r="A44" s="105" t="s">
        <v>61</v>
      </c>
      <c r="B44" s="9">
        <v>9</v>
      </c>
      <c r="C44" s="7">
        <v>11</v>
      </c>
      <c r="D44" s="27">
        <v>-2</v>
      </c>
      <c r="E44" s="43">
        <v>0</v>
      </c>
      <c r="F44" s="118" t="s">
        <v>61</v>
      </c>
      <c r="G44" s="9">
        <v>11</v>
      </c>
      <c r="H44" s="7">
        <v>12</v>
      </c>
      <c r="I44" s="27">
        <v>-1</v>
      </c>
      <c r="J44" s="43">
        <v>0</v>
      </c>
      <c r="K44" s="118" t="s">
        <v>61</v>
      </c>
      <c r="L44" s="9">
        <v>11</v>
      </c>
      <c r="M44" s="9">
        <v>10</v>
      </c>
      <c r="N44" s="27">
        <v>1</v>
      </c>
      <c r="O44" s="27"/>
      <c r="P44" s="131" t="s">
        <v>61</v>
      </c>
      <c r="Q44" s="38">
        <v>10</v>
      </c>
      <c r="R44" s="140">
        <v>11</v>
      </c>
      <c r="S44" s="141">
        <v>-1</v>
      </c>
      <c r="T44">
        <v>0</v>
      </c>
      <c r="V44" s="175">
        <f t="shared" si="0"/>
        <v>0</v>
      </c>
      <c r="W44" s="175">
        <f t="shared" si="1"/>
        <v>0</v>
      </c>
      <c r="X44" t="s">
        <v>189</v>
      </c>
      <c r="Y44" t="s">
        <v>61</v>
      </c>
      <c r="Z44">
        <v>-1</v>
      </c>
      <c r="AG44" s="131" t="s">
        <v>61</v>
      </c>
      <c r="AH44" s="38">
        <v>11</v>
      </c>
      <c r="AI44" s="140">
        <v>12</v>
      </c>
      <c r="AJ44" s="38">
        <f t="shared" si="2"/>
        <v>-1</v>
      </c>
      <c r="AK44">
        <v>0</v>
      </c>
    </row>
    <row r="45" spans="1:37" ht="17" thickBot="1" x14ac:dyDescent="0.25">
      <c r="A45" s="21" t="s">
        <v>34</v>
      </c>
      <c r="B45" s="14">
        <v>26</v>
      </c>
      <c r="C45" s="16">
        <v>18</v>
      </c>
      <c r="D45" s="28">
        <v>8</v>
      </c>
      <c r="E45" s="150">
        <v>1</v>
      </c>
      <c r="F45" s="116" t="s">
        <v>34</v>
      </c>
      <c r="G45" s="14">
        <v>18</v>
      </c>
      <c r="H45" s="16">
        <v>21</v>
      </c>
      <c r="I45" s="28">
        <v>-3</v>
      </c>
      <c r="J45" s="150">
        <v>1</v>
      </c>
      <c r="K45" s="118" t="s">
        <v>34</v>
      </c>
      <c r="L45" s="9">
        <v>20</v>
      </c>
      <c r="M45" s="9">
        <v>20</v>
      </c>
      <c r="N45" s="27">
        <v>0</v>
      </c>
      <c r="O45" s="27"/>
      <c r="P45" s="131" t="s">
        <v>34</v>
      </c>
      <c r="Q45" s="38">
        <v>20</v>
      </c>
      <c r="R45" s="140">
        <v>19</v>
      </c>
      <c r="S45" s="141">
        <v>1</v>
      </c>
      <c r="T45">
        <v>0</v>
      </c>
      <c r="V45" s="175">
        <f t="shared" si="0"/>
        <v>2</v>
      </c>
      <c r="W45" s="175">
        <f t="shared" si="1"/>
        <v>1</v>
      </c>
      <c r="X45" t="s">
        <v>190</v>
      </c>
      <c r="Y45" t="s">
        <v>34</v>
      </c>
      <c r="Z45">
        <v>6</v>
      </c>
      <c r="AG45" s="131" t="s">
        <v>34</v>
      </c>
      <c r="AH45" s="38">
        <v>19</v>
      </c>
      <c r="AI45" s="140">
        <v>23</v>
      </c>
      <c r="AJ45" s="38">
        <f t="shared" si="2"/>
        <v>-4</v>
      </c>
      <c r="AK45">
        <v>0</v>
      </c>
    </row>
    <row r="46" spans="1:37" ht="17" thickBot="1" x14ac:dyDescent="0.25">
      <c r="A46" s="12" t="s">
        <v>44</v>
      </c>
      <c r="B46" s="9">
        <v>19</v>
      </c>
      <c r="C46" s="7">
        <v>18</v>
      </c>
      <c r="D46" s="27">
        <v>1</v>
      </c>
      <c r="E46" s="43">
        <v>0</v>
      </c>
      <c r="F46" s="105" t="s">
        <v>44</v>
      </c>
      <c r="G46" s="9">
        <v>18</v>
      </c>
      <c r="H46" s="7">
        <v>18</v>
      </c>
      <c r="I46" s="27">
        <v>0</v>
      </c>
      <c r="J46" s="43">
        <v>0</v>
      </c>
      <c r="K46" s="118" t="s">
        <v>44</v>
      </c>
      <c r="L46" s="9">
        <v>18</v>
      </c>
      <c r="M46" s="9">
        <v>15</v>
      </c>
      <c r="N46" s="27">
        <v>3</v>
      </c>
      <c r="O46" s="27"/>
      <c r="P46" s="131" t="s">
        <v>44</v>
      </c>
      <c r="Q46" s="38">
        <v>15</v>
      </c>
      <c r="R46" s="140">
        <v>15</v>
      </c>
      <c r="S46" s="141">
        <v>0</v>
      </c>
      <c r="T46">
        <v>0</v>
      </c>
      <c r="V46" s="175">
        <f t="shared" si="0"/>
        <v>0</v>
      </c>
      <c r="W46" s="175">
        <f t="shared" si="1"/>
        <v>0</v>
      </c>
      <c r="X46" t="s">
        <v>191</v>
      </c>
      <c r="Y46" t="s">
        <v>44</v>
      </c>
      <c r="Z46">
        <v>4</v>
      </c>
      <c r="AG46" s="131" t="s">
        <v>44</v>
      </c>
      <c r="AH46" s="38">
        <v>15</v>
      </c>
      <c r="AI46" s="140">
        <v>16</v>
      </c>
      <c r="AJ46" s="38">
        <f t="shared" si="2"/>
        <v>-1</v>
      </c>
      <c r="AK46">
        <v>0</v>
      </c>
    </row>
    <row r="47" spans="1:37" ht="17" thickBot="1" x14ac:dyDescent="0.25">
      <c r="A47" s="105" t="s">
        <v>63</v>
      </c>
      <c r="B47" s="9">
        <v>8</v>
      </c>
      <c r="C47" s="7">
        <v>6</v>
      </c>
      <c r="D47" s="27">
        <v>2</v>
      </c>
      <c r="E47" s="43">
        <v>0</v>
      </c>
      <c r="F47" s="118" t="s">
        <v>63</v>
      </c>
      <c r="G47" s="9">
        <v>6</v>
      </c>
      <c r="H47" s="7">
        <v>8</v>
      </c>
      <c r="I47" s="27">
        <v>-2</v>
      </c>
      <c r="J47" s="43">
        <v>0</v>
      </c>
      <c r="K47" s="118" t="s">
        <v>63</v>
      </c>
      <c r="L47" s="9">
        <v>8</v>
      </c>
      <c r="M47" s="9">
        <v>5</v>
      </c>
      <c r="N47" s="27">
        <v>3</v>
      </c>
      <c r="O47" s="27"/>
      <c r="P47" s="131" t="s">
        <v>63</v>
      </c>
      <c r="Q47" s="38">
        <v>5</v>
      </c>
      <c r="R47" s="140">
        <v>6</v>
      </c>
      <c r="S47" s="141">
        <v>-1</v>
      </c>
      <c r="T47">
        <v>0</v>
      </c>
      <c r="V47" s="175">
        <f t="shared" si="0"/>
        <v>0</v>
      </c>
      <c r="W47" s="175">
        <f t="shared" si="1"/>
        <v>0</v>
      </c>
      <c r="X47" t="s">
        <v>192</v>
      </c>
      <c r="Y47" t="s">
        <v>63</v>
      </c>
      <c r="Z47">
        <v>3</v>
      </c>
      <c r="AG47" s="176" t="s">
        <v>63</v>
      </c>
      <c r="AH47" s="38">
        <v>6</v>
      </c>
      <c r="AI47" s="140">
        <v>9</v>
      </c>
      <c r="AJ47" s="38">
        <f t="shared" si="2"/>
        <v>-3</v>
      </c>
      <c r="AK47">
        <v>0</v>
      </c>
    </row>
    <row r="48" spans="1:37" ht="17" thickBot="1" x14ac:dyDescent="0.25">
      <c r="A48" s="12" t="s">
        <v>38</v>
      </c>
      <c r="B48" s="9">
        <v>21</v>
      </c>
      <c r="C48" s="7">
        <v>22</v>
      </c>
      <c r="D48" s="27">
        <v>-1</v>
      </c>
      <c r="E48" s="43">
        <v>0</v>
      </c>
      <c r="F48" s="116" t="s">
        <v>38</v>
      </c>
      <c r="G48" s="14">
        <v>22</v>
      </c>
      <c r="H48" s="16">
        <v>15</v>
      </c>
      <c r="I48" s="28">
        <v>7</v>
      </c>
      <c r="J48" s="150">
        <v>1</v>
      </c>
      <c r="K48" s="118" t="s">
        <v>38</v>
      </c>
      <c r="L48" s="9">
        <v>15</v>
      </c>
      <c r="M48" s="9">
        <v>15</v>
      </c>
      <c r="N48" s="27">
        <v>0</v>
      </c>
      <c r="O48" s="27"/>
      <c r="P48" s="131" t="s">
        <v>38</v>
      </c>
      <c r="Q48" s="38">
        <v>15</v>
      </c>
      <c r="R48" s="140">
        <v>9</v>
      </c>
      <c r="S48" s="141">
        <v>6</v>
      </c>
      <c r="T48">
        <v>0</v>
      </c>
      <c r="V48" s="175">
        <f t="shared" si="0"/>
        <v>1</v>
      </c>
      <c r="W48" s="175">
        <f t="shared" si="1"/>
        <v>1</v>
      </c>
      <c r="X48" t="s">
        <v>193</v>
      </c>
      <c r="Y48" t="s">
        <v>38</v>
      </c>
      <c r="Z48">
        <v>6</v>
      </c>
      <c r="AG48" s="177" t="s">
        <v>38</v>
      </c>
      <c r="AH48" s="19">
        <v>9</v>
      </c>
      <c r="AI48" s="143">
        <v>9</v>
      </c>
      <c r="AJ48" s="38">
        <f t="shared" si="2"/>
        <v>0</v>
      </c>
      <c r="AK48">
        <v>0</v>
      </c>
    </row>
    <row r="49" spans="1:37" ht="17" thickBot="1" x14ac:dyDescent="0.25">
      <c r="A49" s="12" t="s">
        <v>17</v>
      </c>
      <c r="B49" s="9">
        <v>33</v>
      </c>
      <c r="C49" s="7">
        <v>33</v>
      </c>
      <c r="D49" s="27">
        <v>0</v>
      </c>
      <c r="E49" s="43">
        <v>0</v>
      </c>
      <c r="F49" s="119" t="s">
        <v>17</v>
      </c>
      <c r="G49" s="122">
        <v>33</v>
      </c>
      <c r="H49" s="152">
        <v>31</v>
      </c>
      <c r="I49" s="155">
        <v>2</v>
      </c>
      <c r="J49" s="173">
        <v>0</v>
      </c>
      <c r="K49" s="118" t="s">
        <v>17</v>
      </c>
      <c r="L49" s="9">
        <v>30</v>
      </c>
      <c r="M49" s="9">
        <v>33</v>
      </c>
      <c r="N49" s="27">
        <v>-3</v>
      </c>
      <c r="O49" s="27"/>
      <c r="P49" s="131" t="s">
        <v>17</v>
      </c>
      <c r="Q49" s="38">
        <v>33</v>
      </c>
      <c r="R49" s="140">
        <v>33</v>
      </c>
      <c r="S49" s="141">
        <v>0</v>
      </c>
      <c r="T49">
        <v>0</v>
      </c>
      <c r="V49" s="175">
        <f t="shared" si="0"/>
        <v>0</v>
      </c>
      <c r="W49" s="175">
        <f t="shared" si="1"/>
        <v>0</v>
      </c>
      <c r="X49" t="s">
        <v>194</v>
      </c>
      <c r="Y49" t="s">
        <v>17</v>
      </c>
      <c r="Z49">
        <v>0</v>
      </c>
      <c r="AG49" s="177" t="s">
        <v>17</v>
      </c>
      <c r="AH49" s="19">
        <v>33</v>
      </c>
      <c r="AI49" s="143">
        <v>33</v>
      </c>
      <c r="AJ49" s="38">
        <f t="shared" si="2"/>
        <v>0</v>
      </c>
      <c r="AK49">
        <v>0</v>
      </c>
    </row>
    <row r="50" spans="1:37" ht="17" thickBot="1" x14ac:dyDescent="0.25">
      <c r="A50" s="12" t="s">
        <v>27</v>
      </c>
      <c r="B50" s="9">
        <v>26</v>
      </c>
      <c r="C50" s="7">
        <v>27</v>
      </c>
      <c r="D50" s="27">
        <v>-1</v>
      </c>
      <c r="E50" s="43">
        <v>0</v>
      </c>
      <c r="F50" s="118" t="s">
        <v>27</v>
      </c>
      <c r="G50" s="9">
        <v>27</v>
      </c>
      <c r="H50" s="7">
        <v>26</v>
      </c>
      <c r="I50" s="27">
        <v>1</v>
      </c>
      <c r="J50" s="43">
        <v>0</v>
      </c>
      <c r="K50" s="118" t="s">
        <v>27</v>
      </c>
      <c r="L50" s="9">
        <v>27</v>
      </c>
      <c r="M50" s="9">
        <v>26</v>
      </c>
      <c r="N50" s="27">
        <v>1</v>
      </c>
      <c r="O50" s="27"/>
      <c r="P50" s="131" t="s">
        <v>27</v>
      </c>
      <c r="Q50" s="38">
        <v>26</v>
      </c>
      <c r="R50" s="140">
        <v>24</v>
      </c>
      <c r="S50" s="141">
        <v>2</v>
      </c>
      <c r="T50">
        <v>0</v>
      </c>
      <c r="V50" s="175">
        <f t="shared" si="0"/>
        <v>0</v>
      </c>
      <c r="W50" s="175">
        <f t="shared" si="1"/>
        <v>0</v>
      </c>
      <c r="X50" t="s">
        <v>195</v>
      </c>
      <c r="Y50" t="s">
        <v>27</v>
      </c>
      <c r="Z50">
        <v>0</v>
      </c>
      <c r="AG50" s="187" t="s">
        <v>27</v>
      </c>
      <c r="AH50" s="162">
        <v>24</v>
      </c>
      <c r="AI50" s="163">
        <v>24</v>
      </c>
      <c r="AJ50" s="159">
        <f t="shared" si="2"/>
        <v>0</v>
      </c>
      <c r="AK50">
        <v>1</v>
      </c>
    </row>
    <row r="51" spans="1:37" ht="17" thickBot="1" x14ac:dyDescent="0.25">
      <c r="A51" s="84" t="s">
        <v>18</v>
      </c>
      <c r="B51" s="14">
        <v>33</v>
      </c>
      <c r="C51" s="16">
        <v>27</v>
      </c>
      <c r="D51" s="28">
        <v>6</v>
      </c>
      <c r="E51" s="150">
        <v>1</v>
      </c>
      <c r="F51" s="118" t="s">
        <v>18</v>
      </c>
      <c r="G51" s="9">
        <v>27</v>
      </c>
      <c r="H51" s="7">
        <v>8</v>
      </c>
      <c r="I51" s="27">
        <v>19</v>
      </c>
      <c r="J51" s="43">
        <v>0</v>
      </c>
      <c r="K51" s="118" t="s">
        <v>18</v>
      </c>
      <c r="L51" s="9">
        <v>8</v>
      </c>
      <c r="M51" s="9">
        <v>8</v>
      </c>
      <c r="N51" s="27">
        <v>0</v>
      </c>
      <c r="O51" s="27"/>
      <c r="P51" s="131" t="s">
        <v>18</v>
      </c>
      <c r="Q51" s="38">
        <v>8</v>
      </c>
      <c r="R51" s="140">
        <v>7</v>
      </c>
      <c r="S51" s="141">
        <v>1</v>
      </c>
      <c r="T51">
        <v>0</v>
      </c>
      <c r="V51" s="175">
        <f t="shared" si="0"/>
        <v>1</v>
      </c>
      <c r="W51" s="175">
        <f t="shared" si="1"/>
        <v>1</v>
      </c>
      <c r="X51" t="s">
        <v>196</v>
      </c>
      <c r="Y51" t="s">
        <v>18</v>
      </c>
      <c r="Z51">
        <v>25</v>
      </c>
      <c r="AG51" s="131" t="s">
        <v>18</v>
      </c>
      <c r="AH51" s="38">
        <v>7</v>
      </c>
      <c r="AI51" s="140">
        <v>13</v>
      </c>
      <c r="AJ51" s="38">
        <f t="shared" si="2"/>
        <v>-6</v>
      </c>
      <c r="AK51">
        <v>0</v>
      </c>
    </row>
    <row r="52" spans="1:37" x14ac:dyDescent="0.2">
      <c r="A52" s="12" t="s">
        <v>53</v>
      </c>
      <c r="B52" s="9">
        <v>13</v>
      </c>
      <c r="C52" s="7">
        <v>11</v>
      </c>
      <c r="D52" s="27">
        <v>2</v>
      </c>
      <c r="E52" s="43">
        <v>0</v>
      </c>
      <c r="F52" s="118" t="s">
        <v>53</v>
      </c>
      <c r="G52" s="9">
        <v>11</v>
      </c>
      <c r="H52" s="7">
        <v>10</v>
      </c>
      <c r="I52" s="27">
        <v>1</v>
      </c>
      <c r="J52" s="43">
        <v>0</v>
      </c>
      <c r="K52" s="118" t="s">
        <v>53</v>
      </c>
      <c r="L52" s="9">
        <v>10</v>
      </c>
      <c r="M52" s="9">
        <v>5</v>
      </c>
      <c r="N52" s="27">
        <v>5</v>
      </c>
      <c r="O52" s="27"/>
      <c r="P52" s="133" t="s">
        <v>53</v>
      </c>
      <c r="Q52" s="38">
        <v>5</v>
      </c>
      <c r="R52" s="140">
        <v>5</v>
      </c>
      <c r="S52" s="141">
        <v>0</v>
      </c>
      <c r="T52">
        <v>0</v>
      </c>
      <c r="V52" s="175">
        <f t="shared" si="0"/>
        <v>0</v>
      </c>
      <c r="W52" s="175">
        <f t="shared" si="1"/>
        <v>0</v>
      </c>
      <c r="X52" t="s">
        <v>197</v>
      </c>
      <c r="Y52" t="s">
        <v>53</v>
      </c>
      <c r="Z52">
        <v>8</v>
      </c>
      <c r="AG52" s="177" t="s">
        <v>53</v>
      </c>
      <c r="AH52" s="19">
        <v>5</v>
      </c>
      <c r="AI52" s="143">
        <v>6</v>
      </c>
      <c r="AJ52" s="38">
        <f t="shared" si="2"/>
        <v>-1</v>
      </c>
      <c r="AK52">
        <v>0</v>
      </c>
    </row>
    <row r="53" spans="1:37" x14ac:dyDescent="0.2">
      <c r="A53" s="42"/>
      <c r="F53" s="42"/>
      <c r="K53" s="42"/>
      <c r="P53" s="132"/>
      <c r="Q53" s="135"/>
      <c r="R53" s="135"/>
      <c r="S53" s="144"/>
      <c r="V53" s="175">
        <f>SUM(V2:V52)</f>
        <v>21</v>
      </c>
      <c r="W53" s="175">
        <f>SUM(W2:W52)</f>
        <v>15</v>
      </c>
      <c r="AG53" s="179"/>
      <c r="AH53" s="136"/>
      <c r="AI53" s="136"/>
      <c r="AJ53" s="136"/>
    </row>
    <row r="54" spans="1:37" x14ac:dyDescent="0.2">
      <c r="A54" s="42"/>
      <c r="F54" s="42"/>
      <c r="K54" s="42"/>
      <c r="P54" s="132"/>
      <c r="Q54" s="135"/>
      <c r="R54" s="135"/>
      <c r="S54" s="144"/>
      <c r="AG54" s="179"/>
      <c r="AH54" s="136"/>
      <c r="AI54" s="136"/>
      <c r="AJ54" s="136"/>
    </row>
    <row r="55" spans="1:37" x14ac:dyDescent="0.2">
      <c r="A55" s="44" t="s">
        <v>66</v>
      </c>
      <c r="F55" s="44" t="s">
        <v>66</v>
      </c>
      <c r="K55" s="42"/>
      <c r="P55" s="132"/>
      <c r="Q55" s="135"/>
      <c r="R55" s="135"/>
      <c r="S55" s="144"/>
      <c r="AG55" s="179"/>
      <c r="AH55" s="136"/>
      <c r="AI55" s="136"/>
      <c r="AJ55" s="136"/>
    </row>
    <row r="56" spans="1:37" x14ac:dyDescent="0.2">
      <c r="A56" s="42"/>
      <c r="F56" s="42"/>
      <c r="K56" s="42"/>
      <c r="P56" s="132"/>
      <c r="Q56" s="136"/>
      <c r="R56" s="145"/>
      <c r="S56" s="146"/>
      <c r="AG56" s="179"/>
      <c r="AH56" s="136"/>
      <c r="AI56" s="136"/>
      <c r="AJ56" s="136"/>
    </row>
    <row r="57" spans="1:37" x14ac:dyDescent="0.2">
      <c r="A57" s="42"/>
      <c r="F57" s="42"/>
      <c r="K57" s="42"/>
      <c r="P57" s="132"/>
      <c r="Q57" s="136"/>
      <c r="R57" s="145"/>
      <c r="S57" s="146"/>
      <c r="AG57" s="179"/>
      <c r="AH57" s="136"/>
      <c r="AI57" s="136"/>
      <c r="AJ57" s="136"/>
    </row>
    <row r="58" spans="1:37" x14ac:dyDescent="0.2">
      <c r="A58" s="42"/>
      <c r="F58" s="42"/>
      <c r="K58" s="42"/>
      <c r="P58" s="132"/>
      <c r="Q58" s="136"/>
      <c r="R58" s="145"/>
      <c r="S58" s="146"/>
      <c r="AG58" s="179"/>
      <c r="AH58" s="136"/>
      <c r="AI58" s="136"/>
      <c r="AJ58" s="136"/>
    </row>
    <row r="59" spans="1:37" x14ac:dyDescent="0.2">
      <c r="A59" s="42"/>
      <c r="F59" s="42"/>
      <c r="K59" s="42"/>
      <c r="P59" s="132"/>
      <c r="Q59" s="136"/>
      <c r="R59" s="145"/>
      <c r="S59" s="146"/>
      <c r="AG59" s="179"/>
      <c r="AH59" s="136"/>
      <c r="AI59" s="136"/>
      <c r="AJ59" s="136"/>
    </row>
    <row r="60" spans="1:37" x14ac:dyDescent="0.2">
      <c r="A60" s="42"/>
      <c r="F60" s="42"/>
      <c r="K60" s="42"/>
      <c r="P60" s="132"/>
      <c r="Q60" s="136"/>
      <c r="R60" s="145"/>
      <c r="S60" s="146"/>
      <c r="AG60" s="179"/>
      <c r="AH60" s="136"/>
      <c r="AI60" s="136"/>
      <c r="AJ60" s="136"/>
    </row>
    <row r="61" spans="1:37" x14ac:dyDescent="0.2">
      <c r="A61" s="42"/>
      <c r="F61" s="42"/>
      <c r="K61" s="42"/>
      <c r="P61" s="132"/>
      <c r="Q61" s="136"/>
      <c r="R61" s="145"/>
      <c r="S61" s="146"/>
      <c r="AG61" s="179"/>
      <c r="AH61" s="136"/>
      <c r="AI61" s="136"/>
      <c r="AJ61" s="136"/>
    </row>
    <row r="62" spans="1:37" x14ac:dyDescent="0.2">
      <c r="A62" s="42"/>
      <c r="F62" s="42"/>
      <c r="K62" s="42"/>
      <c r="P62" s="132"/>
      <c r="Q62" s="136"/>
      <c r="R62" s="145"/>
      <c r="S62" s="146"/>
      <c r="AG62" s="179"/>
      <c r="AH62" s="136"/>
      <c r="AI62" s="136"/>
      <c r="AJ62" s="136"/>
    </row>
    <row r="63" spans="1:37" x14ac:dyDescent="0.2">
      <c r="A63" s="42"/>
      <c r="F63" s="42"/>
      <c r="K63" s="42"/>
      <c r="P63" s="132"/>
      <c r="Q63" s="136"/>
      <c r="R63" s="145"/>
      <c r="S63" s="146"/>
      <c r="AG63" s="179"/>
      <c r="AH63" s="136"/>
      <c r="AI63" s="136"/>
      <c r="AJ63" s="136"/>
    </row>
    <row r="64" spans="1:37" x14ac:dyDescent="0.2">
      <c r="A64" s="42"/>
      <c r="F64" s="42"/>
      <c r="K64" s="42"/>
      <c r="P64" s="132"/>
      <c r="Q64" s="136"/>
      <c r="R64" s="145"/>
      <c r="S64" s="146"/>
      <c r="AG64" s="179"/>
      <c r="AH64" s="136"/>
      <c r="AI64" s="136"/>
      <c r="AJ64" s="136"/>
    </row>
    <row r="65" spans="1:36" x14ac:dyDescent="0.2">
      <c r="A65" s="42"/>
      <c r="F65" s="42"/>
      <c r="K65" s="42"/>
      <c r="P65" s="132"/>
      <c r="Q65" s="136"/>
      <c r="R65" s="145"/>
      <c r="S65" s="146"/>
      <c r="AG65" s="179"/>
      <c r="AH65" s="136"/>
      <c r="AI65" s="136"/>
      <c r="AJ65" s="136"/>
    </row>
    <row r="66" spans="1:36" x14ac:dyDescent="0.2">
      <c r="A66" s="42"/>
      <c r="F66" s="42"/>
      <c r="K66" s="42"/>
      <c r="P66" s="132"/>
      <c r="Q66" s="136"/>
      <c r="R66" s="145"/>
      <c r="S66" s="146"/>
      <c r="AG66" s="179"/>
      <c r="AH66" s="136"/>
      <c r="AI66" s="136"/>
      <c r="AJ66" s="136"/>
    </row>
    <row r="67" spans="1:36" x14ac:dyDescent="0.2">
      <c r="A67" s="42"/>
      <c r="F67" s="42"/>
      <c r="K67" s="42"/>
      <c r="P67" s="132"/>
      <c r="Q67" s="136"/>
      <c r="R67" s="145"/>
      <c r="S67" s="146"/>
      <c r="AG67" s="179"/>
      <c r="AH67" s="136"/>
      <c r="AI67" s="136"/>
      <c r="AJ67" s="136"/>
    </row>
    <row r="68" spans="1:36" x14ac:dyDescent="0.2">
      <c r="A68" s="42"/>
      <c r="F68" s="42"/>
      <c r="K68" s="42"/>
      <c r="P68" s="132"/>
      <c r="Q68" s="136"/>
      <c r="R68" s="145"/>
      <c r="S68" s="146"/>
      <c r="AG68" s="179"/>
      <c r="AH68" s="136"/>
      <c r="AI68" s="136"/>
      <c r="AJ68" s="136"/>
    </row>
    <row r="69" spans="1:36" x14ac:dyDescent="0.2">
      <c r="A69" s="42"/>
      <c r="F69" s="42"/>
      <c r="K69" s="42"/>
      <c r="P69" s="132"/>
      <c r="Q69" s="136"/>
      <c r="R69" s="145"/>
      <c r="S69" s="146"/>
      <c r="AG69" s="179"/>
      <c r="AH69" s="136"/>
      <c r="AI69" s="136"/>
      <c r="AJ69" s="136"/>
    </row>
    <row r="70" spans="1:36" x14ac:dyDescent="0.2">
      <c r="A70" s="42"/>
      <c r="F70" s="42"/>
      <c r="K70" s="42"/>
      <c r="P70" s="132"/>
      <c r="Q70" s="136"/>
      <c r="R70" s="145"/>
      <c r="S70" s="146"/>
      <c r="AG70" s="179"/>
      <c r="AH70" s="136"/>
      <c r="AI70" s="136"/>
      <c r="AJ70" s="136"/>
    </row>
    <row r="71" spans="1:36" x14ac:dyDescent="0.2">
      <c r="A71" s="42"/>
      <c r="F71" s="42"/>
      <c r="K71" s="42"/>
      <c r="P71" s="132"/>
      <c r="Q71" s="136"/>
      <c r="R71" s="145"/>
      <c r="S71" s="146"/>
      <c r="AG71" s="179"/>
      <c r="AH71" s="136"/>
      <c r="AI71" s="136"/>
      <c r="AJ71" s="136"/>
    </row>
    <row r="72" spans="1:36" x14ac:dyDescent="0.2">
      <c r="A72" s="42"/>
      <c r="F72" s="42"/>
      <c r="K72" s="42"/>
      <c r="P72" s="132"/>
      <c r="Q72" s="136"/>
      <c r="R72" s="145"/>
      <c r="S72" s="146"/>
      <c r="AG72" s="179"/>
      <c r="AH72" s="136"/>
      <c r="AI72" s="136"/>
      <c r="AJ72" s="136"/>
    </row>
    <row r="73" spans="1:36" x14ac:dyDescent="0.2">
      <c r="A73" s="42"/>
      <c r="F73" s="42"/>
      <c r="K73" s="42"/>
      <c r="P73" s="132"/>
      <c r="Q73" s="136"/>
      <c r="R73" s="145"/>
      <c r="S73" s="146"/>
      <c r="AG73" s="179"/>
      <c r="AH73" s="136"/>
      <c r="AI73" s="136"/>
      <c r="AJ73" s="136"/>
    </row>
    <row r="74" spans="1:36" x14ac:dyDescent="0.2">
      <c r="A74" s="42"/>
      <c r="F74" s="42"/>
      <c r="K74" s="42"/>
      <c r="P74" s="132"/>
      <c r="Q74" s="136"/>
      <c r="R74" s="145"/>
      <c r="S74" s="146"/>
      <c r="AG74" s="179"/>
      <c r="AH74" s="136"/>
      <c r="AI74" s="136"/>
      <c r="AJ74" s="136"/>
    </row>
    <row r="75" spans="1:36" x14ac:dyDescent="0.2">
      <c r="A75" s="42"/>
      <c r="F75" s="42"/>
      <c r="K75" s="42"/>
      <c r="P75" s="132"/>
      <c r="Q75" s="136"/>
      <c r="R75" s="145"/>
      <c r="S75" s="146"/>
      <c r="AG75" s="179"/>
      <c r="AH75" s="136"/>
      <c r="AI75" s="136"/>
      <c r="AJ75" s="136"/>
    </row>
    <row r="76" spans="1:36" x14ac:dyDescent="0.2">
      <c r="A76" s="42"/>
      <c r="F76" s="42"/>
      <c r="K76" s="42"/>
      <c r="P76" s="132"/>
      <c r="Q76" s="136"/>
      <c r="R76" s="145"/>
      <c r="S76" s="146"/>
      <c r="AG76" s="179"/>
      <c r="AH76" s="136"/>
      <c r="AI76" s="136"/>
      <c r="AJ76" s="136"/>
    </row>
    <row r="77" spans="1:36" x14ac:dyDescent="0.2">
      <c r="A77" s="42"/>
      <c r="F77" s="42"/>
      <c r="K77" s="42"/>
      <c r="P77" s="132"/>
      <c r="Q77" s="136"/>
      <c r="R77" s="145"/>
      <c r="S77" s="146"/>
      <c r="AG77" s="179"/>
      <c r="AH77" s="136"/>
      <c r="AI77" s="136"/>
      <c r="AJ77" s="136"/>
    </row>
    <row r="78" spans="1:36" x14ac:dyDescent="0.2">
      <c r="A78" s="42"/>
      <c r="F78" s="42"/>
      <c r="K78" s="42"/>
      <c r="P78" s="132"/>
      <c r="Q78" s="136"/>
      <c r="R78" s="145"/>
      <c r="S78" s="146"/>
      <c r="AG78" s="179"/>
      <c r="AH78" s="136"/>
      <c r="AI78" s="136"/>
      <c r="AJ78" s="136"/>
    </row>
    <row r="79" spans="1:36" x14ac:dyDescent="0.2">
      <c r="A79" s="42"/>
      <c r="F79" s="42"/>
      <c r="K79" s="42"/>
      <c r="P79" s="132"/>
      <c r="Q79" s="136"/>
      <c r="R79" s="145"/>
      <c r="S79" s="146"/>
      <c r="AG79" s="179"/>
      <c r="AH79" s="136"/>
      <c r="AI79" s="136"/>
      <c r="AJ79" s="136"/>
    </row>
    <row r="80" spans="1:36" x14ac:dyDescent="0.2">
      <c r="A80" s="42"/>
      <c r="F80" s="42"/>
      <c r="K80" s="42"/>
      <c r="P80" s="132"/>
      <c r="Q80" s="136"/>
      <c r="R80" s="145"/>
      <c r="S80" s="146"/>
      <c r="AG80" s="179"/>
      <c r="AH80" s="136"/>
      <c r="AI80" s="136"/>
      <c r="AJ80" s="136"/>
    </row>
    <row r="81" spans="1:36" x14ac:dyDescent="0.2">
      <c r="A81" s="42"/>
      <c r="F81" s="42"/>
      <c r="K81" s="42"/>
      <c r="P81" s="132"/>
      <c r="Q81" s="136"/>
      <c r="R81" s="145"/>
      <c r="S81" s="146"/>
      <c r="AG81" s="179"/>
      <c r="AH81" s="136"/>
      <c r="AI81" s="136"/>
      <c r="AJ81" s="136"/>
    </row>
    <row r="82" spans="1:36" x14ac:dyDescent="0.2">
      <c r="A82" s="42"/>
      <c r="F82" s="42"/>
      <c r="K82" s="42"/>
      <c r="P82" s="132"/>
      <c r="Q82" s="136"/>
      <c r="R82" s="145"/>
      <c r="S82" s="146"/>
      <c r="AG82" s="179"/>
      <c r="AH82" s="136"/>
      <c r="AI82" s="136"/>
      <c r="AJ82" s="136"/>
    </row>
    <row r="83" spans="1:36" x14ac:dyDescent="0.2">
      <c r="A83" s="42"/>
      <c r="F83" s="42"/>
      <c r="K83" s="42"/>
      <c r="P83" s="132"/>
      <c r="Q83" s="136"/>
      <c r="R83" s="145"/>
      <c r="S83" s="146"/>
      <c r="AG83" s="179"/>
      <c r="AH83" s="136"/>
      <c r="AI83" s="136"/>
      <c r="AJ83" s="136"/>
    </row>
    <row r="84" spans="1:36" x14ac:dyDescent="0.2">
      <c r="A84" s="42"/>
      <c r="F84" s="42"/>
      <c r="K84" s="42"/>
      <c r="P84" s="132"/>
      <c r="Q84" s="136"/>
      <c r="R84" s="145"/>
      <c r="S84" s="146"/>
      <c r="AG84" s="179"/>
      <c r="AH84" s="136"/>
      <c r="AI84" s="136"/>
      <c r="AJ84" s="136"/>
    </row>
    <row r="85" spans="1:36" x14ac:dyDescent="0.2">
      <c r="A85" s="42"/>
      <c r="F85" s="42"/>
      <c r="K85" s="42"/>
      <c r="P85" s="132"/>
      <c r="Q85" s="136"/>
      <c r="R85" s="145"/>
      <c r="S85" s="146"/>
      <c r="AG85" s="179"/>
      <c r="AH85" s="136"/>
      <c r="AI85" s="136"/>
      <c r="AJ85" s="136"/>
    </row>
    <row r="86" spans="1:36" x14ac:dyDescent="0.2">
      <c r="A86" s="42"/>
      <c r="F86" s="42"/>
      <c r="K86" s="42"/>
      <c r="P86" s="132"/>
      <c r="Q86" s="136"/>
      <c r="R86" s="145"/>
      <c r="S86" s="146"/>
      <c r="AG86" s="179"/>
      <c r="AH86" s="136"/>
      <c r="AI86" s="136"/>
      <c r="AJ86" s="136"/>
    </row>
    <row r="87" spans="1:36" x14ac:dyDescent="0.2">
      <c r="A87" s="42"/>
      <c r="F87" s="42"/>
      <c r="K87" s="42"/>
      <c r="P87" s="132"/>
      <c r="Q87" s="136"/>
      <c r="R87" s="145"/>
      <c r="S87" s="146"/>
      <c r="AG87" s="179"/>
      <c r="AH87" s="136"/>
      <c r="AI87" s="136"/>
      <c r="AJ87" s="136"/>
    </row>
    <row r="88" spans="1:36" x14ac:dyDescent="0.2">
      <c r="A88" s="42"/>
      <c r="F88" s="42"/>
      <c r="K88" s="42"/>
      <c r="P88" s="132"/>
      <c r="Q88" s="136"/>
      <c r="R88" s="145"/>
      <c r="S88" s="146"/>
      <c r="AG88" s="179"/>
      <c r="AH88" s="136"/>
      <c r="AI88" s="136"/>
      <c r="AJ88" s="136"/>
    </row>
    <row r="89" spans="1:36" x14ac:dyDescent="0.2">
      <c r="A89" s="42"/>
      <c r="F89" s="42"/>
      <c r="K89" s="42"/>
      <c r="P89" s="132"/>
      <c r="Q89" s="136"/>
      <c r="R89" s="145"/>
      <c r="S89" s="146"/>
      <c r="AG89" s="179"/>
      <c r="AH89" s="136"/>
      <c r="AI89" s="136"/>
      <c r="AJ89" s="136"/>
    </row>
    <row r="90" spans="1:36" x14ac:dyDescent="0.2">
      <c r="A90" s="42"/>
      <c r="F90" s="42"/>
      <c r="K90" s="42"/>
      <c r="P90" s="132"/>
      <c r="Q90" s="136"/>
      <c r="R90" s="145"/>
      <c r="S90" s="146"/>
      <c r="AG90" s="179"/>
      <c r="AH90" s="136"/>
      <c r="AI90" s="136"/>
      <c r="AJ90" s="136"/>
    </row>
    <row r="91" spans="1:36" x14ac:dyDescent="0.2">
      <c r="A91" s="42"/>
      <c r="F91" s="42"/>
      <c r="K91" s="42"/>
      <c r="P91" s="132"/>
      <c r="Q91" s="136"/>
      <c r="R91" s="145"/>
      <c r="S91" s="146"/>
      <c r="AG91" s="179"/>
      <c r="AH91" s="136"/>
      <c r="AI91" s="136"/>
      <c r="AJ91" s="136"/>
    </row>
    <row r="92" spans="1:36" x14ac:dyDescent="0.2">
      <c r="A92" s="42"/>
      <c r="F92" s="42"/>
      <c r="K92" s="42"/>
      <c r="P92" s="132"/>
      <c r="Q92" s="136"/>
      <c r="R92" s="145"/>
      <c r="S92" s="146"/>
      <c r="AG92" s="179"/>
      <c r="AH92" s="136"/>
      <c r="AI92" s="136"/>
      <c r="AJ92" s="136"/>
    </row>
    <row r="93" spans="1:36" x14ac:dyDescent="0.2">
      <c r="A93" s="42"/>
      <c r="F93" s="42"/>
      <c r="K93" s="42"/>
      <c r="P93" s="132"/>
      <c r="Q93" s="136"/>
      <c r="R93" s="145"/>
      <c r="S93" s="146"/>
      <c r="AG93" s="179"/>
      <c r="AH93" s="136"/>
      <c r="AI93" s="136"/>
      <c r="AJ93" s="136"/>
    </row>
    <row r="94" spans="1:36" x14ac:dyDescent="0.2">
      <c r="A94" s="42"/>
      <c r="F94" s="42"/>
      <c r="K94" s="42"/>
      <c r="P94" s="132"/>
      <c r="Q94" s="136"/>
      <c r="R94" s="145"/>
      <c r="S94" s="146"/>
      <c r="AG94" s="179"/>
      <c r="AH94" s="136"/>
      <c r="AI94" s="136"/>
      <c r="AJ94" s="136"/>
    </row>
    <row r="95" spans="1:36" x14ac:dyDescent="0.2">
      <c r="A95" s="42"/>
      <c r="F95" s="42"/>
      <c r="K95" s="42"/>
      <c r="P95" s="132"/>
      <c r="Q95" s="136"/>
      <c r="R95" s="145"/>
      <c r="S95" s="146"/>
      <c r="AG95" s="179"/>
      <c r="AH95" s="136"/>
      <c r="AI95" s="136"/>
      <c r="AJ95" s="136"/>
    </row>
    <row r="96" spans="1:36" x14ac:dyDescent="0.2">
      <c r="A96" s="42"/>
      <c r="F96" s="42"/>
      <c r="K96" s="42"/>
      <c r="P96" s="132"/>
      <c r="Q96" s="136"/>
      <c r="R96" s="145"/>
      <c r="S96" s="146"/>
      <c r="AG96" s="179"/>
      <c r="AH96" s="136"/>
      <c r="AI96" s="136"/>
      <c r="AJ96" s="136"/>
    </row>
    <row r="97" spans="1:36" x14ac:dyDescent="0.2">
      <c r="A97" s="42"/>
      <c r="F97" s="42"/>
      <c r="K97" s="42"/>
      <c r="P97" s="132"/>
      <c r="Q97" s="136"/>
      <c r="R97" s="145"/>
      <c r="S97" s="146"/>
      <c r="AG97" s="179"/>
      <c r="AH97" s="136"/>
      <c r="AI97" s="136"/>
      <c r="AJ97" s="136"/>
    </row>
    <row r="98" spans="1:36" x14ac:dyDescent="0.2">
      <c r="A98" s="42"/>
      <c r="F98" s="42"/>
      <c r="K98" s="42"/>
      <c r="P98" s="132"/>
      <c r="Q98" s="136"/>
      <c r="R98" s="145"/>
      <c r="S98" s="146"/>
      <c r="AG98" s="179"/>
      <c r="AH98" s="136"/>
      <c r="AI98" s="136"/>
      <c r="AJ98" s="136"/>
    </row>
    <row r="99" spans="1:36" x14ac:dyDescent="0.2">
      <c r="A99" s="42"/>
      <c r="F99" s="42"/>
      <c r="K99" s="42"/>
      <c r="P99" s="132"/>
      <c r="Q99" s="136"/>
      <c r="R99" s="145"/>
      <c r="S99" s="146"/>
      <c r="AG99" s="179"/>
      <c r="AH99" s="136"/>
      <c r="AI99" s="136"/>
      <c r="AJ99" s="136"/>
    </row>
    <row r="100" spans="1:36" x14ac:dyDescent="0.2">
      <c r="A100" s="42"/>
      <c r="F100" s="42"/>
      <c r="K100" s="42"/>
      <c r="P100" s="132"/>
      <c r="Q100" s="136"/>
      <c r="R100" s="145"/>
      <c r="S100" s="146"/>
      <c r="AG100" s="179"/>
      <c r="AH100" s="136"/>
      <c r="AI100" s="136"/>
      <c r="AJ100" s="136"/>
    </row>
    <row r="101" spans="1:36" x14ac:dyDescent="0.2">
      <c r="A101" s="42"/>
      <c r="F101" s="42"/>
      <c r="K101" s="42"/>
      <c r="P101" s="132"/>
      <c r="Q101" s="136"/>
      <c r="R101" s="145"/>
      <c r="S101" s="146"/>
      <c r="AG101" s="179"/>
      <c r="AH101" s="136"/>
      <c r="AI101" s="136"/>
      <c r="AJ101" s="136"/>
    </row>
    <row r="102" spans="1:36" x14ac:dyDescent="0.2">
      <c r="A102" s="42"/>
      <c r="F102" s="42"/>
      <c r="K102" s="42"/>
      <c r="P102" s="132"/>
      <c r="Q102" s="136"/>
      <c r="R102" s="145"/>
      <c r="S102" s="146"/>
      <c r="AG102" s="179"/>
      <c r="AH102" s="136"/>
      <c r="AI102" s="136"/>
      <c r="AJ102" s="136"/>
    </row>
    <row r="103" spans="1:36" x14ac:dyDescent="0.2">
      <c r="A103" s="42"/>
      <c r="F103" s="42"/>
      <c r="K103" s="42"/>
      <c r="P103" s="132"/>
      <c r="Q103" s="136"/>
      <c r="R103" s="145"/>
      <c r="S103" s="146"/>
      <c r="AG103" s="179"/>
      <c r="AH103" s="136"/>
      <c r="AI103" s="136"/>
      <c r="AJ103" s="136"/>
    </row>
    <row r="104" spans="1:36" x14ac:dyDescent="0.2">
      <c r="A104" s="42"/>
      <c r="F104" s="42"/>
      <c r="K104" s="42"/>
      <c r="P104" s="132"/>
      <c r="Q104" s="136"/>
      <c r="R104" s="145"/>
      <c r="S104" s="146"/>
      <c r="AG104" s="179"/>
      <c r="AH104" s="136"/>
      <c r="AI104" s="136"/>
      <c r="AJ104" s="136"/>
    </row>
    <row r="105" spans="1:36" x14ac:dyDescent="0.2">
      <c r="A105" s="42"/>
      <c r="F105" s="42"/>
      <c r="K105" s="42"/>
      <c r="P105" s="132"/>
      <c r="Q105" s="136"/>
      <c r="R105" s="145"/>
      <c r="S105" s="146"/>
      <c r="AG105" s="179"/>
      <c r="AH105" s="136"/>
      <c r="AI105" s="136"/>
      <c r="AJ105" s="136"/>
    </row>
    <row r="106" spans="1:36" x14ac:dyDescent="0.2">
      <c r="A106" s="42"/>
      <c r="F106" s="42"/>
      <c r="K106" s="42"/>
      <c r="P106" s="132"/>
      <c r="Q106" s="136"/>
      <c r="R106" s="145"/>
      <c r="S106" s="146"/>
      <c r="AG106" s="179"/>
      <c r="AH106" s="136"/>
      <c r="AI106" s="136"/>
      <c r="AJ106" s="136"/>
    </row>
    <row r="107" spans="1:36" x14ac:dyDescent="0.2">
      <c r="A107" s="42"/>
      <c r="F107" s="42"/>
      <c r="K107" s="42"/>
      <c r="P107" s="132"/>
      <c r="Q107" s="136"/>
      <c r="R107" s="145"/>
      <c r="S107" s="146"/>
      <c r="AG107" s="179"/>
      <c r="AH107" s="136"/>
      <c r="AI107" s="136"/>
      <c r="AJ107" s="136"/>
    </row>
    <row r="108" spans="1:36" x14ac:dyDescent="0.2">
      <c r="A108" s="42"/>
      <c r="F108" s="42"/>
      <c r="K108" s="42"/>
      <c r="P108" s="132"/>
      <c r="Q108" s="136"/>
      <c r="R108" s="145"/>
      <c r="S108" s="146"/>
      <c r="AG108" s="179"/>
      <c r="AH108" s="136"/>
      <c r="AI108" s="136"/>
      <c r="AJ108" s="136"/>
    </row>
    <row r="109" spans="1:36" x14ac:dyDescent="0.2">
      <c r="A109" s="42"/>
      <c r="F109" s="42"/>
      <c r="K109" s="42"/>
      <c r="P109" s="132"/>
      <c r="Q109" s="136"/>
      <c r="R109" s="145"/>
      <c r="S109" s="146"/>
      <c r="AG109" s="179"/>
      <c r="AH109" s="136"/>
      <c r="AI109" s="136"/>
      <c r="AJ109" s="136"/>
    </row>
    <row r="110" spans="1:36" x14ac:dyDescent="0.2">
      <c r="A110" s="42"/>
      <c r="F110" s="42"/>
      <c r="K110" s="42"/>
      <c r="P110" s="132"/>
      <c r="Q110" s="136"/>
      <c r="R110" s="145"/>
      <c r="S110" s="146"/>
      <c r="AG110" s="179"/>
      <c r="AH110" s="136"/>
      <c r="AI110" s="136"/>
      <c r="AJ110" s="136"/>
    </row>
    <row r="111" spans="1:36" x14ac:dyDescent="0.2">
      <c r="A111" s="42"/>
      <c r="F111" s="42"/>
      <c r="K111" s="42"/>
      <c r="P111" s="132"/>
      <c r="Q111" s="136"/>
      <c r="R111" s="145"/>
      <c r="S111" s="146"/>
      <c r="AG111" s="179"/>
      <c r="AH111" s="136"/>
      <c r="AI111" s="136"/>
      <c r="AJ111" s="136"/>
    </row>
    <row r="112" spans="1:36" x14ac:dyDescent="0.2">
      <c r="A112" s="42"/>
      <c r="F112" s="42"/>
      <c r="K112" s="42"/>
      <c r="P112" s="132"/>
      <c r="Q112" s="136"/>
      <c r="R112" s="145"/>
      <c r="S112" s="146"/>
      <c r="AG112" s="179"/>
      <c r="AH112" s="136"/>
      <c r="AI112" s="136"/>
      <c r="AJ112" s="136"/>
    </row>
    <row r="113" spans="1:36" x14ac:dyDescent="0.2">
      <c r="A113" s="42"/>
      <c r="F113" s="42"/>
      <c r="K113" s="42"/>
      <c r="P113" s="132"/>
      <c r="Q113" s="136"/>
      <c r="R113" s="145"/>
      <c r="S113" s="146"/>
      <c r="AG113" s="179"/>
      <c r="AH113" s="136"/>
      <c r="AI113" s="136"/>
      <c r="AJ113" s="136"/>
    </row>
    <row r="114" spans="1:36" x14ac:dyDescent="0.2">
      <c r="A114" s="42"/>
      <c r="F114" s="42"/>
      <c r="K114" s="42"/>
      <c r="P114" s="132"/>
      <c r="Q114" s="136"/>
      <c r="R114" s="145"/>
      <c r="S114" s="146"/>
      <c r="AG114" s="179"/>
      <c r="AH114" s="136"/>
      <c r="AI114" s="136"/>
      <c r="AJ114" s="136"/>
    </row>
    <row r="115" spans="1:36" x14ac:dyDescent="0.2">
      <c r="A115" s="42"/>
      <c r="F115" s="42"/>
      <c r="K115" s="42"/>
      <c r="P115" s="132"/>
      <c r="Q115" s="136"/>
      <c r="R115" s="145"/>
      <c r="S115" s="146"/>
      <c r="AG115" s="179"/>
      <c r="AH115" s="136"/>
      <c r="AI115" s="136"/>
      <c r="AJ115" s="136"/>
    </row>
    <row r="116" spans="1:36" x14ac:dyDescent="0.2">
      <c r="A116" s="42"/>
      <c r="F116" s="42"/>
      <c r="K116" s="42"/>
      <c r="P116" s="132"/>
      <c r="Q116" s="136"/>
      <c r="R116" s="145"/>
      <c r="S116" s="146"/>
      <c r="AG116" s="179"/>
      <c r="AH116" s="136"/>
      <c r="AI116" s="136"/>
      <c r="AJ116" s="136"/>
    </row>
    <row r="117" spans="1:36" x14ac:dyDescent="0.2">
      <c r="A117" s="42"/>
      <c r="F117" s="42"/>
      <c r="K117" s="42"/>
      <c r="P117" s="132"/>
      <c r="Q117" s="136"/>
      <c r="R117" s="145"/>
      <c r="S117" s="146"/>
      <c r="AG117" s="179"/>
      <c r="AH117" s="136"/>
      <c r="AI117" s="136"/>
      <c r="AJ117" s="136"/>
    </row>
    <row r="118" spans="1:36" x14ac:dyDescent="0.2">
      <c r="A118" s="42"/>
      <c r="F118" s="42"/>
      <c r="K118" s="42"/>
      <c r="P118" s="132"/>
      <c r="Q118" s="136"/>
      <c r="R118" s="145"/>
      <c r="S118" s="146"/>
      <c r="AG118" s="179"/>
      <c r="AH118" s="136"/>
      <c r="AI118" s="136"/>
      <c r="AJ118" s="136"/>
    </row>
    <row r="119" spans="1:36" x14ac:dyDescent="0.2">
      <c r="A119" s="42"/>
      <c r="F119" s="42"/>
      <c r="K119" s="42"/>
      <c r="P119" s="132"/>
      <c r="Q119" s="136"/>
      <c r="R119" s="145"/>
      <c r="S119" s="146"/>
      <c r="AG119" s="179"/>
      <c r="AH119" s="136"/>
      <c r="AI119" s="136"/>
      <c r="AJ119" s="136"/>
    </row>
    <row r="120" spans="1:36" x14ac:dyDescent="0.2">
      <c r="A120" s="42"/>
      <c r="F120" s="42"/>
      <c r="K120" s="42"/>
      <c r="P120" s="132"/>
      <c r="Q120" s="136"/>
      <c r="R120" s="145"/>
      <c r="S120" s="146"/>
      <c r="AG120" s="179"/>
      <c r="AH120" s="136"/>
      <c r="AI120" s="136"/>
      <c r="AJ120" s="136"/>
    </row>
    <row r="121" spans="1:36" x14ac:dyDescent="0.2">
      <c r="A121" s="42"/>
      <c r="F121" s="42"/>
      <c r="K121" s="42"/>
      <c r="P121" s="132"/>
      <c r="Q121" s="136"/>
      <c r="R121" s="145"/>
      <c r="S121" s="146"/>
      <c r="AG121" s="179"/>
      <c r="AH121" s="136"/>
      <c r="AI121" s="136"/>
      <c r="AJ121" s="136"/>
    </row>
    <row r="122" spans="1:36" x14ac:dyDescent="0.2">
      <c r="A122" s="42"/>
      <c r="F122" s="42"/>
      <c r="K122" s="42"/>
      <c r="P122" s="132"/>
      <c r="Q122" s="136"/>
      <c r="R122" s="145"/>
      <c r="S122" s="146"/>
      <c r="AG122" s="179"/>
      <c r="AH122" s="136"/>
      <c r="AI122" s="136"/>
      <c r="AJ122" s="136"/>
    </row>
    <row r="123" spans="1:36" x14ac:dyDescent="0.2">
      <c r="A123" s="42"/>
      <c r="F123" s="42"/>
      <c r="K123" s="42"/>
      <c r="P123" s="132"/>
      <c r="Q123" s="136"/>
      <c r="R123" s="145"/>
      <c r="S123" s="146"/>
      <c r="AG123" s="179"/>
      <c r="AH123" s="136"/>
      <c r="AI123" s="136"/>
      <c r="AJ123" s="136"/>
    </row>
    <row r="124" spans="1:36" x14ac:dyDescent="0.2">
      <c r="A124" s="42"/>
      <c r="F124" s="42"/>
      <c r="K124" s="42"/>
      <c r="P124" s="132"/>
      <c r="Q124" s="136"/>
      <c r="R124" s="145"/>
      <c r="S124" s="146"/>
      <c r="AG124" s="179"/>
      <c r="AH124" s="136"/>
      <c r="AI124" s="136"/>
      <c r="AJ124" s="136"/>
    </row>
    <row r="125" spans="1:36" x14ac:dyDescent="0.2">
      <c r="A125" s="42"/>
      <c r="F125" s="42"/>
      <c r="K125" s="42"/>
      <c r="P125" s="132"/>
      <c r="Q125" s="136"/>
      <c r="R125" s="145"/>
      <c r="S125" s="146"/>
      <c r="AG125" s="179"/>
      <c r="AH125" s="136"/>
      <c r="AI125" s="136"/>
      <c r="AJ125" s="136"/>
    </row>
    <row r="126" spans="1:36" x14ac:dyDescent="0.2">
      <c r="A126" s="42"/>
      <c r="F126" s="42"/>
      <c r="K126" s="42"/>
      <c r="P126" s="132"/>
      <c r="Q126" s="136"/>
      <c r="R126" s="145"/>
      <c r="S126" s="146"/>
      <c r="AG126" s="179"/>
      <c r="AH126" s="136"/>
      <c r="AI126" s="136"/>
      <c r="AJ126" s="136"/>
    </row>
    <row r="127" spans="1:36" x14ac:dyDescent="0.2">
      <c r="A127" s="42"/>
      <c r="F127" s="42"/>
      <c r="K127" s="42"/>
      <c r="P127" s="132"/>
      <c r="Q127" s="136"/>
      <c r="R127" s="145"/>
      <c r="S127" s="146"/>
      <c r="AG127" s="179"/>
      <c r="AH127" s="136"/>
      <c r="AI127" s="136"/>
      <c r="AJ127" s="136"/>
    </row>
    <row r="128" spans="1:36" x14ac:dyDescent="0.2">
      <c r="A128" s="42"/>
      <c r="F128" s="42"/>
      <c r="K128" s="42"/>
      <c r="P128" s="132"/>
      <c r="Q128" s="136"/>
      <c r="R128" s="145"/>
      <c r="S128" s="146"/>
      <c r="AG128" s="179"/>
      <c r="AH128" s="136"/>
      <c r="AI128" s="136"/>
      <c r="AJ128" s="136"/>
    </row>
    <row r="129" spans="1:36" x14ac:dyDescent="0.2">
      <c r="A129" s="42"/>
      <c r="F129" s="42"/>
      <c r="K129" s="42"/>
      <c r="P129" s="132"/>
      <c r="Q129" s="136"/>
      <c r="R129" s="145"/>
      <c r="S129" s="146"/>
      <c r="AG129" s="179"/>
      <c r="AH129" s="136"/>
      <c r="AI129" s="136"/>
      <c r="AJ129" s="136"/>
    </row>
    <row r="130" spans="1:36" x14ac:dyDescent="0.2">
      <c r="A130" s="42"/>
      <c r="F130" s="42"/>
      <c r="K130" s="42"/>
      <c r="P130" s="132"/>
      <c r="Q130" s="136"/>
      <c r="R130" s="145"/>
      <c r="S130" s="146"/>
      <c r="AG130" s="179"/>
      <c r="AH130" s="136"/>
      <c r="AI130" s="136"/>
      <c r="AJ130" s="136"/>
    </row>
    <row r="131" spans="1:36" x14ac:dyDescent="0.2">
      <c r="A131" s="42"/>
      <c r="F131" s="42"/>
      <c r="K131" s="42"/>
      <c r="P131" s="132"/>
      <c r="Q131" s="136"/>
      <c r="R131" s="145"/>
      <c r="S131" s="146"/>
      <c r="AG131" s="179"/>
      <c r="AH131" s="136"/>
      <c r="AI131" s="136"/>
      <c r="AJ131" s="136"/>
    </row>
    <row r="132" spans="1:36" x14ac:dyDescent="0.2">
      <c r="A132" s="42"/>
      <c r="F132" s="42"/>
      <c r="K132" s="42"/>
      <c r="P132" s="132"/>
      <c r="Q132" s="136"/>
      <c r="R132" s="145"/>
      <c r="S132" s="146"/>
      <c r="AG132" s="179"/>
      <c r="AH132" s="136"/>
      <c r="AI132" s="136"/>
      <c r="AJ132" s="136"/>
    </row>
    <row r="133" spans="1:36" x14ac:dyDescent="0.2">
      <c r="A133" s="42"/>
      <c r="F133" s="42"/>
      <c r="K133" s="42"/>
      <c r="P133" s="132"/>
      <c r="Q133" s="136"/>
      <c r="R133" s="145"/>
      <c r="S133" s="146"/>
      <c r="AG133" s="179"/>
      <c r="AH133" s="136"/>
      <c r="AI133" s="136"/>
      <c r="AJ133" s="136"/>
    </row>
    <row r="134" spans="1:36" x14ac:dyDescent="0.2">
      <c r="A134" s="42"/>
      <c r="F134" s="42"/>
      <c r="K134" s="42"/>
      <c r="P134" s="132"/>
      <c r="Q134" s="136"/>
      <c r="R134" s="145"/>
      <c r="S134" s="146"/>
      <c r="AG134" s="179"/>
      <c r="AH134" s="136"/>
      <c r="AI134" s="136"/>
      <c r="AJ134" s="136"/>
    </row>
    <row r="135" spans="1:36" x14ac:dyDescent="0.2">
      <c r="A135" s="42"/>
      <c r="F135" s="42"/>
      <c r="K135" s="42"/>
      <c r="P135" s="132"/>
      <c r="Q135" s="136"/>
      <c r="R135" s="145"/>
      <c r="S135" s="146"/>
      <c r="AG135" s="179"/>
      <c r="AH135" s="136"/>
      <c r="AI135" s="136"/>
      <c r="AJ135" s="136"/>
    </row>
    <row r="136" spans="1:36" x14ac:dyDescent="0.2">
      <c r="A136" s="42"/>
      <c r="F136" s="42"/>
      <c r="K136" s="42"/>
      <c r="P136" s="132"/>
      <c r="Q136" s="136"/>
      <c r="R136" s="145"/>
      <c r="S136" s="146"/>
      <c r="AG136" s="179"/>
      <c r="AH136" s="136"/>
      <c r="AI136" s="136"/>
      <c r="AJ136" s="136"/>
    </row>
    <row r="137" spans="1:36" x14ac:dyDescent="0.2">
      <c r="A137" s="42"/>
      <c r="F137" s="42"/>
      <c r="K137" s="42"/>
      <c r="P137" s="132"/>
      <c r="Q137" s="136"/>
      <c r="R137" s="145"/>
      <c r="S137" s="146"/>
      <c r="AG137" s="179"/>
      <c r="AH137" s="136"/>
      <c r="AI137" s="136"/>
      <c r="AJ137" s="136"/>
    </row>
    <row r="138" spans="1:36" x14ac:dyDescent="0.2">
      <c r="A138" s="42"/>
      <c r="F138" s="42"/>
      <c r="K138" s="42"/>
      <c r="P138" s="132"/>
      <c r="Q138" s="136"/>
      <c r="R138" s="145"/>
      <c r="S138" s="146"/>
      <c r="AG138" s="179"/>
      <c r="AH138" s="136"/>
      <c r="AI138" s="136"/>
      <c r="AJ138" s="136"/>
    </row>
    <row r="139" spans="1:36" x14ac:dyDescent="0.2">
      <c r="A139" s="42"/>
      <c r="F139" s="42"/>
      <c r="K139" s="42"/>
      <c r="P139" s="132"/>
      <c r="Q139" s="136"/>
      <c r="R139" s="145"/>
      <c r="S139" s="146"/>
      <c r="AG139" s="179"/>
      <c r="AH139" s="136"/>
      <c r="AI139" s="136"/>
      <c r="AJ139" s="136"/>
    </row>
    <row r="140" spans="1:36" x14ac:dyDescent="0.2">
      <c r="A140" s="42"/>
      <c r="F140" s="42"/>
      <c r="K140" s="42"/>
      <c r="P140" s="132"/>
      <c r="Q140" s="136"/>
      <c r="R140" s="145"/>
      <c r="S140" s="146"/>
      <c r="AG140" s="179"/>
      <c r="AH140" s="136"/>
      <c r="AI140" s="136"/>
      <c r="AJ140" s="136"/>
    </row>
    <row r="141" spans="1:36" x14ac:dyDescent="0.2">
      <c r="A141" s="42"/>
      <c r="F141" s="42"/>
      <c r="K141" s="42"/>
      <c r="P141" s="132"/>
      <c r="Q141" s="136"/>
      <c r="R141" s="145"/>
      <c r="S141" s="146"/>
      <c r="AG141" s="179"/>
      <c r="AH141" s="136"/>
      <c r="AI141" s="136"/>
      <c r="AJ141" s="136"/>
    </row>
    <row r="142" spans="1:36" x14ac:dyDescent="0.2">
      <c r="A142" s="42"/>
      <c r="F142" s="42"/>
      <c r="K142" s="42"/>
      <c r="P142" s="132"/>
      <c r="Q142" s="136"/>
      <c r="R142" s="145"/>
      <c r="S142" s="146"/>
      <c r="AG142" s="179"/>
      <c r="AH142" s="136"/>
      <c r="AI142" s="136"/>
      <c r="AJ142" s="136"/>
    </row>
    <row r="143" spans="1:36" x14ac:dyDescent="0.2">
      <c r="A143" s="42"/>
      <c r="F143" s="42"/>
      <c r="K143" s="42"/>
      <c r="P143" s="132"/>
      <c r="Q143" s="136"/>
      <c r="R143" s="145"/>
      <c r="S143" s="146"/>
      <c r="AG143" s="179"/>
      <c r="AH143" s="136"/>
      <c r="AI143" s="136"/>
      <c r="AJ143" s="136"/>
    </row>
    <row r="144" spans="1:36" x14ac:dyDescent="0.2">
      <c r="A144" s="42"/>
      <c r="F144" s="42"/>
      <c r="K144" s="42"/>
      <c r="P144" s="132"/>
      <c r="Q144" s="136"/>
      <c r="R144" s="145"/>
      <c r="S144" s="146"/>
      <c r="AG144" s="179"/>
      <c r="AH144" s="136"/>
      <c r="AI144" s="136"/>
      <c r="AJ144" s="136"/>
    </row>
    <row r="145" spans="1:36" x14ac:dyDescent="0.2">
      <c r="A145" s="42"/>
      <c r="F145" s="42"/>
      <c r="K145" s="42"/>
      <c r="P145" s="132"/>
      <c r="Q145" s="136"/>
      <c r="R145" s="145"/>
      <c r="S145" s="146"/>
      <c r="AG145" s="179"/>
      <c r="AH145" s="136"/>
      <c r="AI145" s="136"/>
      <c r="AJ145" s="136"/>
    </row>
    <row r="146" spans="1:36" x14ac:dyDescent="0.2">
      <c r="A146" s="42"/>
      <c r="F146" s="42"/>
      <c r="K146" s="42"/>
      <c r="P146" s="132"/>
      <c r="Q146" s="136"/>
      <c r="R146" s="145"/>
      <c r="S146" s="146"/>
      <c r="AG146" s="179"/>
      <c r="AH146" s="136"/>
      <c r="AI146" s="136"/>
      <c r="AJ146" s="136"/>
    </row>
    <row r="147" spans="1:36" x14ac:dyDescent="0.2">
      <c r="A147" s="42"/>
      <c r="F147" s="42"/>
      <c r="K147" s="42"/>
      <c r="P147" s="132"/>
      <c r="Q147" s="136"/>
      <c r="R147" s="145"/>
      <c r="S147" s="146"/>
      <c r="AG147" s="179"/>
      <c r="AH147" s="136"/>
      <c r="AI147" s="136"/>
      <c r="AJ147" s="136"/>
    </row>
    <row r="148" spans="1:36" x14ac:dyDescent="0.2">
      <c r="A148" s="42"/>
      <c r="F148" s="42"/>
      <c r="K148" s="42"/>
      <c r="P148" s="132"/>
      <c r="Q148" s="136"/>
      <c r="R148" s="145"/>
      <c r="S148" s="146"/>
      <c r="AG148" s="179"/>
      <c r="AH148" s="136"/>
      <c r="AI148" s="136"/>
      <c r="AJ148" s="136"/>
    </row>
    <row r="149" spans="1:36" x14ac:dyDescent="0.2">
      <c r="A149" s="42"/>
      <c r="F149" s="42"/>
      <c r="K149" s="42"/>
      <c r="P149" s="132"/>
      <c r="Q149" s="136"/>
      <c r="R149" s="145"/>
      <c r="S149" s="146"/>
      <c r="AG149" s="179"/>
      <c r="AH149" s="136"/>
      <c r="AI149" s="136"/>
      <c r="AJ149" s="136"/>
    </row>
    <row r="150" spans="1:36" x14ac:dyDescent="0.2">
      <c r="A150" s="42"/>
      <c r="F150" s="42"/>
      <c r="K150" s="42"/>
      <c r="P150" s="132"/>
      <c r="Q150" s="136"/>
      <c r="R150" s="145"/>
      <c r="S150" s="146"/>
      <c r="AG150" s="179"/>
      <c r="AH150" s="136"/>
      <c r="AI150" s="136"/>
      <c r="AJ150" s="136"/>
    </row>
    <row r="151" spans="1:36" x14ac:dyDescent="0.2">
      <c r="A151" s="42"/>
      <c r="F151" s="42"/>
      <c r="K151" s="42"/>
      <c r="P151" s="132"/>
      <c r="Q151" s="136"/>
      <c r="R151" s="145"/>
      <c r="S151" s="146"/>
      <c r="AG151" s="179"/>
      <c r="AH151" s="136"/>
      <c r="AI151" s="136"/>
      <c r="AJ151" s="136"/>
    </row>
    <row r="152" spans="1:36" x14ac:dyDescent="0.2">
      <c r="A152" s="42"/>
      <c r="F152" s="42"/>
      <c r="K152" s="42"/>
      <c r="P152" s="132"/>
      <c r="Q152" s="136"/>
      <c r="R152" s="145"/>
      <c r="S152" s="146"/>
      <c r="AG152" s="179"/>
      <c r="AH152" s="136"/>
      <c r="AI152" s="136"/>
      <c r="AJ152" s="136"/>
    </row>
    <row r="153" spans="1:36" x14ac:dyDescent="0.2">
      <c r="A153" s="42"/>
      <c r="F153" s="42"/>
      <c r="K153" s="42"/>
      <c r="P153" s="132"/>
      <c r="Q153" s="136"/>
      <c r="R153" s="145"/>
      <c r="S153" s="146"/>
      <c r="AG153" s="179"/>
      <c r="AH153" s="136"/>
      <c r="AI153" s="136"/>
      <c r="AJ153" s="136"/>
    </row>
    <row r="154" spans="1:36" x14ac:dyDescent="0.2">
      <c r="A154" s="42"/>
      <c r="F154" s="42"/>
      <c r="K154" s="42"/>
      <c r="P154" s="132"/>
      <c r="Q154" s="136"/>
      <c r="R154" s="145"/>
      <c r="S154" s="146"/>
      <c r="AG154" s="179"/>
      <c r="AH154" s="136"/>
      <c r="AI154" s="136"/>
      <c r="AJ154" s="136"/>
    </row>
    <row r="155" spans="1:36" x14ac:dyDescent="0.2">
      <c r="A155" s="42"/>
      <c r="F155" s="42"/>
      <c r="K155" s="42"/>
      <c r="P155" s="132"/>
      <c r="Q155" s="136"/>
      <c r="R155" s="145"/>
      <c r="S155" s="146"/>
      <c r="AG155" s="179"/>
      <c r="AH155" s="136"/>
      <c r="AI155" s="136"/>
      <c r="AJ155" s="136"/>
    </row>
    <row r="156" spans="1:36" x14ac:dyDescent="0.2">
      <c r="A156" s="42"/>
      <c r="F156" s="42"/>
      <c r="K156" s="42"/>
      <c r="P156" s="132"/>
      <c r="Q156" s="136"/>
      <c r="R156" s="145"/>
      <c r="S156" s="146"/>
      <c r="AG156" s="179"/>
      <c r="AH156" s="136"/>
      <c r="AI156" s="136"/>
      <c r="AJ156" s="136"/>
    </row>
    <row r="157" spans="1:36" x14ac:dyDescent="0.2">
      <c r="A157" s="42"/>
      <c r="F157" s="42"/>
      <c r="K157" s="42"/>
      <c r="P157" s="132"/>
      <c r="Q157" s="136"/>
      <c r="R157" s="145"/>
      <c r="S157" s="146"/>
      <c r="AG157" s="179"/>
      <c r="AH157" s="136"/>
      <c r="AI157" s="136"/>
      <c r="AJ157" s="136"/>
    </row>
    <row r="158" spans="1:36" x14ac:dyDescent="0.2">
      <c r="A158" s="42"/>
      <c r="F158" s="42"/>
      <c r="K158" s="42"/>
      <c r="P158" s="132"/>
      <c r="Q158" s="136"/>
      <c r="R158" s="145"/>
      <c r="S158" s="146"/>
      <c r="AG158" s="179"/>
      <c r="AH158" s="136"/>
      <c r="AI158" s="136"/>
      <c r="AJ158" s="136"/>
    </row>
    <row r="159" spans="1:36" x14ac:dyDescent="0.2">
      <c r="A159" s="42"/>
      <c r="F159" s="42"/>
      <c r="K159" s="42"/>
      <c r="P159" s="132"/>
      <c r="Q159" s="136"/>
      <c r="R159" s="145"/>
      <c r="S159" s="146"/>
      <c r="AG159" s="179"/>
      <c r="AH159" s="136"/>
      <c r="AI159" s="136"/>
      <c r="AJ159" s="136"/>
    </row>
    <row r="160" spans="1:36" x14ac:dyDescent="0.2">
      <c r="A160" s="42"/>
      <c r="F160" s="42"/>
      <c r="K160" s="42"/>
      <c r="P160" s="132"/>
      <c r="Q160" s="136"/>
      <c r="R160" s="145"/>
      <c r="S160" s="146"/>
      <c r="AG160" s="179"/>
      <c r="AH160" s="136"/>
      <c r="AI160" s="136"/>
      <c r="AJ160" s="136"/>
    </row>
    <row r="161" spans="1:36" x14ac:dyDescent="0.2">
      <c r="A161" s="42"/>
      <c r="F161" s="42"/>
      <c r="K161" s="42"/>
      <c r="P161" s="132"/>
      <c r="Q161" s="136"/>
      <c r="R161" s="145"/>
      <c r="S161" s="146"/>
      <c r="AG161" s="179"/>
      <c r="AH161" s="136"/>
      <c r="AI161" s="136"/>
      <c r="AJ161" s="136"/>
    </row>
    <row r="162" spans="1:36" x14ac:dyDescent="0.2">
      <c r="A162" s="42"/>
      <c r="F162" s="42"/>
      <c r="K162" s="42"/>
      <c r="P162" s="132"/>
      <c r="Q162" s="136"/>
      <c r="R162" s="145"/>
      <c r="S162" s="146"/>
      <c r="AG162" s="179"/>
      <c r="AH162" s="136"/>
      <c r="AI162" s="136"/>
      <c r="AJ162" s="136"/>
    </row>
    <row r="163" spans="1:36" x14ac:dyDescent="0.2">
      <c r="A163" s="42"/>
      <c r="F163" s="42"/>
      <c r="K163" s="42"/>
      <c r="P163" s="132"/>
      <c r="Q163" s="136"/>
      <c r="R163" s="145"/>
      <c r="S163" s="146"/>
      <c r="AG163" s="179"/>
      <c r="AH163" s="136"/>
      <c r="AI163" s="136"/>
      <c r="AJ163" s="136"/>
    </row>
    <row r="164" spans="1:36" x14ac:dyDescent="0.2">
      <c r="A164" s="42"/>
      <c r="F164" s="42"/>
      <c r="K164" s="42"/>
      <c r="P164" s="132"/>
      <c r="Q164" s="136"/>
      <c r="R164" s="145"/>
      <c r="S164" s="146"/>
      <c r="AG164" s="179"/>
      <c r="AH164" s="136"/>
      <c r="AI164" s="136"/>
      <c r="AJ164" s="136"/>
    </row>
    <row r="165" spans="1:36" x14ac:dyDescent="0.2">
      <c r="A165" s="42"/>
      <c r="F165" s="42"/>
      <c r="K165" s="42"/>
      <c r="P165" s="132"/>
      <c r="Q165" s="136"/>
      <c r="R165" s="145"/>
      <c r="S165" s="146"/>
      <c r="AG165" s="179"/>
      <c r="AH165" s="136"/>
      <c r="AI165" s="136"/>
      <c r="AJ165" s="136"/>
    </row>
    <row r="166" spans="1:36" x14ac:dyDescent="0.2">
      <c r="A166" s="42"/>
      <c r="F166" s="42"/>
      <c r="K166" s="42"/>
      <c r="P166" s="132"/>
      <c r="Q166" s="136"/>
      <c r="R166" s="145"/>
      <c r="S166" s="146"/>
      <c r="AG166" s="179"/>
      <c r="AH166" s="136"/>
      <c r="AI166" s="136"/>
      <c r="AJ166" s="136"/>
    </row>
    <row r="167" spans="1:36" x14ac:dyDescent="0.2">
      <c r="A167" s="42"/>
      <c r="F167" s="42"/>
      <c r="K167" s="42"/>
      <c r="P167" s="132"/>
      <c r="Q167" s="136"/>
      <c r="R167" s="145"/>
      <c r="S167" s="146"/>
      <c r="AG167" s="179"/>
      <c r="AH167" s="136"/>
      <c r="AI167" s="136"/>
      <c r="AJ167" s="136"/>
    </row>
    <row r="168" spans="1:36" x14ac:dyDescent="0.2">
      <c r="A168" s="42"/>
      <c r="F168" s="42"/>
      <c r="K168" s="42"/>
      <c r="P168" s="132"/>
      <c r="Q168" s="136"/>
      <c r="R168" s="145"/>
      <c r="S168" s="146"/>
      <c r="AG168" s="179"/>
      <c r="AH168" s="136"/>
      <c r="AI168" s="136"/>
      <c r="AJ168" s="136"/>
    </row>
    <row r="169" spans="1:36" x14ac:dyDescent="0.2">
      <c r="A169" s="42"/>
      <c r="F169" s="42"/>
      <c r="K169" s="42"/>
      <c r="P169" s="132"/>
      <c r="Q169" s="136"/>
      <c r="R169" s="145"/>
      <c r="S169" s="146"/>
      <c r="AG169" s="179"/>
      <c r="AH169" s="136"/>
      <c r="AI169" s="136"/>
      <c r="AJ169" s="136"/>
    </row>
    <row r="170" spans="1:36" x14ac:dyDescent="0.2">
      <c r="A170" s="42"/>
      <c r="F170" s="42"/>
      <c r="K170" s="42"/>
      <c r="P170" s="132"/>
      <c r="Q170" s="136"/>
      <c r="R170" s="145"/>
      <c r="S170" s="146"/>
      <c r="AG170" s="179"/>
      <c r="AH170" s="136"/>
      <c r="AI170" s="136"/>
      <c r="AJ170" s="136"/>
    </row>
    <row r="171" spans="1:36" x14ac:dyDescent="0.2">
      <c r="A171" s="42"/>
      <c r="F171" s="42"/>
      <c r="K171" s="42"/>
      <c r="P171" s="132"/>
      <c r="Q171" s="136"/>
      <c r="R171" s="145"/>
      <c r="S171" s="146"/>
      <c r="AG171" s="179"/>
      <c r="AH171" s="136"/>
      <c r="AI171" s="136"/>
      <c r="AJ171" s="136"/>
    </row>
    <row r="172" spans="1:36" x14ac:dyDescent="0.2">
      <c r="A172" s="42"/>
      <c r="F172" s="42"/>
      <c r="K172" s="42"/>
      <c r="P172" s="132"/>
      <c r="Q172" s="136"/>
      <c r="R172" s="145"/>
      <c r="S172" s="146"/>
      <c r="AG172" s="179"/>
      <c r="AH172" s="136"/>
      <c r="AI172" s="136"/>
      <c r="AJ172" s="136"/>
    </row>
    <row r="173" spans="1:36" x14ac:dyDescent="0.2">
      <c r="A173" s="42"/>
      <c r="F173" s="42"/>
      <c r="K173" s="42"/>
      <c r="P173" s="132"/>
      <c r="Q173" s="136"/>
      <c r="R173" s="145"/>
      <c r="S173" s="146"/>
      <c r="AG173" s="179"/>
      <c r="AH173" s="136"/>
      <c r="AI173" s="136"/>
      <c r="AJ173" s="136"/>
    </row>
    <row r="174" spans="1:36" x14ac:dyDescent="0.2">
      <c r="A174" s="42"/>
      <c r="F174" s="42"/>
      <c r="K174" s="42"/>
      <c r="P174" s="132"/>
      <c r="Q174" s="136"/>
      <c r="R174" s="145"/>
      <c r="S174" s="146"/>
      <c r="AG174" s="179"/>
      <c r="AH174" s="136"/>
      <c r="AI174" s="136"/>
      <c r="AJ174" s="136"/>
    </row>
    <row r="175" spans="1:36" x14ac:dyDescent="0.2">
      <c r="A175" s="42"/>
      <c r="F175" s="42"/>
      <c r="K175" s="42"/>
      <c r="P175" s="132"/>
      <c r="Q175" s="136"/>
      <c r="R175" s="145"/>
      <c r="S175" s="146"/>
      <c r="AG175" s="179"/>
      <c r="AH175" s="136"/>
      <c r="AI175" s="136"/>
      <c r="AJ175" s="136"/>
    </row>
    <row r="176" spans="1:36" x14ac:dyDescent="0.2">
      <c r="A176" s="42"/>
      <c r="F176" s="42"/>
      <c r="K176" s="42"/>
      <c r="P176" s="132"/>
      <c r="Q176" s="136"/>
      <c r="R176" s="145"/>
      <c r="S176" s="146"/>
      <c r="AG176" s="179"/>
      <c r="AH176" s="136"/>
      <c r="AI176" s="136"/>
      <c r="AJ176" s="136"/>
    </row>
    <row r="177" spans="1:36" x14ac:dyDescent="0.2">
      <c r="A177" s="42"/>
      <c r="F177" s="42"/>
      <c r="K177" s="42"/>
      <c r="P177" s="132"/>
      <c r="Q177" s="136"/>
      <c r="R177" s="145"/>
      <c r="S177" s="146"/>
      <c r="AG177" s="179"/>
      <c r="AH177" s="136"/>
      <c r="AI177" s="136"/>
      <c r="AJ177" s="136"/>
    </row>
    <row r="178" spans="1:36" x14ac:dyDescent="0.2">
      <c r="A178" s="42"/>
      <c r="F178" s="42"/>
      <c r="K178" s="42"/>
      <c r="P178" s="132"/>
      <c r="Q178" s="136"/>
      <c r="R178" s="145"/>
      <c r="S178" s="146"/>
      <c r="AG178" s="179"/>
      <c r="AH178" s="136"/>
      <c r="AI178" s="136"/>
      <c r="AJ178" s="136"/>
    </row>
    <row r="179" spans="1:36" x14ac:dyDescent="0.2">
      <c r="A179" s="42"/>
      <c r="F179" s="42"/>
      <c r="K179" s="42"/>
      <c r="P179" s="132"/>
      <c r="Q179" s="136"/>
      <c r="R179" s="145"/>
      <c r="S179" s="146"/>
      <c r="AG179" s="179"/>
      <c r="AH179" s="136"/>
      <c r="AI179" s="136"/>
      <c r="AJ179" s="136"/>
    </row>
    <row r="180" spans="1:36" x14ac:dyDescent="0.2">
      <c r="A180" s="42"/>
      <c r="F180" s="42"/>
      <c r="K180" s="42"/>
      <c r="P180" s="132"/>
      <c r="Q180" s="136"/>
      <c r="R180" s="145"/>
      <c r="S180" s="146"/>
      <c r="AG180" s="179"/>
      <c r="AH180" s="136"/>
      <c r="AI180" s="136"/>
      <c r="AJ180" s="136"/>
    </row>
    <row r="181" spans="1:36" x14ac:dyDescent="0.2">
      <c r="A181" s="42"/>
      <c r="F181" s="42"/>
      <c r="K181" s="42"/>
      <c r="P181" s="132"/>
      <c r="Q181" s="136"/>
      <c r="R181" s="145"/>
      <c r="S181" s="146"/>
      <c r="AG181" s="179"/>
      <c r="AH181" s="136"/>
      <c r="AI181" s="136"/>
      <c r="AJ181" s="136"/>
    </row>
    <row r="182" spans="1:36" x14ac:dyDescent="0.2">
      <c r="A182" s="42"/>
      <c r="F182" s="42"/>
      <c r="K182" s="42"/>
      <c r="P182" s="132"/>
      <c r="Q182" s="136"/>
      <c r="R182" s="145"/>
      <c r="S182" s="146"/>
      <c r="AG182" s="179"/>
      <c r="AH182" s="136"/>
      <c r="AI182" s="136"/>
      <c r="AJ182" s="136"/>
    </row>
    <row r="183" spans="1:36" x14ac:dyDescent="0.2">
      <c r="A183" s="42"/>
      <c r="F183" s="42"/>
      <c r="K183" s="42"/>
      <c r="P183" s="132"/>
      <c r="Q183" s="136"/>
      <c r="R183" s="145"/>
      <c r="S183" s="146"/>
      <c r="AG183" s="179"/>
      <c r="AH183" s="136"/>
      <c r="AI183" s="136"/>
      <c r="AJ183" s="136"/>
    </row>
    <row r="184" spans="1:36" x14ac:dyDescent="0.2">
      <c r="A184" s="42"/>
      <c r="F184" s="42"/>
      <c r="K184" s="42"/>
      <c r="P184" s="132"/>
      <c r="Q184" s="136"/>
      <c r="R184" s="145"/>
      <c r="S184" s="146"/>
      <c r="AG184" s="179"/>
      <c r="AH184" s="136"/>
      <c r="AI184" s="136"/>
      <c r="AJ184" s="136"/>
    </row>
    <row r="185" spans="1:36" x14ac:dyDescent="0.2">
      <c r="A185" s="42"/>
      <c r="F185" s="42"/>
      <c r="K185" s="42"/>
      <c r="P185" s="132"/>
      <c r="Q185" s="136"/>
      <c r="R185" s="145"/>
      <c r="S185" s="146"/>
      <c r="AG185" s="179"/>
      <c r="AH185" s="136"/>
      <c r="AI185" s="136"/>
      <c r="AJ185" s="136"/>
    </row>
    <row r="186" spans="1:36" x14ac:dyDescent="0.2">
      <c r="A186" s="42"/>
      <c r="F186" s="42"/>
      <c r="K186" s="42"/>
      <c r="P186" s="132"/>
      <c r="Q186" s="136"/>
      <c r="R186" s="145"/>
      <c r="S186" s="146"/>
      <c r="AG186" s="179"/>
      <c r="AH186" s="136"/>
      <c r="AI186" s="136"/>
      <c r="AJ186" s="136"/>
    </row>
    <row r="187" spans="1:36" x14ac:dyDescent="0.2">
      <c r="A187" s="42"/>
      <c r="F187" s="42"/>
      <c r="K187" s="42"/>
      <c r="P187" s="132"/>
      <c r="Q187" s="136"/>
      <c r="R187" s="145"/>
      <c r="S187" s="146"/>
      <c r="AG187" s="179"/>
      <c r="AH187" s="136"/>
      <c r="AI187" s="136"/>
      <c r="AJ187" s="136"/>
    </row>
    <row r="188" spans="1:36" x14ac:dyDescent="0.2">
      <c r="A188" s="42"/>
      <c r="F188" s="42"/>
      <c r="K188" s="42"/>
      <c r="P188" s="132"/>
      <c r="Q188" s="136"/>
      <c r="R188" s="145"/>
      <c r="S188" s="146"/>
      <c r="AG188" s="179"/>
      <c r="AH188" s="136"/>
      <c r="AI188" s="136"/>
      <c r="AJ188" s="136"/>
    </row>
    <row r="189" spans="1:36" x14ac:dyDescent="0.2">
      <c r="A189" s="42"/>
      <c r="F189" s="42"/>
      <c r="K189" s="42"/>
      <c r="P189" s="132"/>
      <c r="Q189" s="136"/>
      <c r="R189" s="145"/>
      <c r="S189" s="146"/>
      <c r="AG189" s="179"/>
      <c r="AH189" s="136"/>
      <c r="AI189" s="136"/>
      <c r="AJ189" s="136"/>
    </row>
    <row r="190" spans="1:36" x14ac:dyDescent="0.2">
      <c r="A190" s="42"/>
      <c r="F190" s="42"/>
      <c r="K190" s="42"/>
      <c r="P190" s="132"/>
      <c r="Q190" s="136"/>
      <c r="R190" s="145"/>
      <c r="S190" s="146"/>
      <c r="AG190" s="179"/>
      <c r="AH190" s="136"/>
      <c r="AI190" s="136"/>
      <c r="AJ190" s="136"/>
    </row>
    <row r="191" spans="1:36" x14ac:dyDescent="0.2">
      <c r="A191" s="42"/>
      <c r="F191" s="42"/>
      <c r="K191" s="42"/>
      <c r="P191" s="132"/>
      <c r="Q191" s="136"/>
      <c r="R191" s="145"/>
      <c r="S191" s="146"/>
      <c r="AG191" s="179"/>
      <c r="AH191" s="136"/>
      <c r="AI191" s="136"/>
      <c r="AJ191" s="136"/>
    </row>
    <row r="192" spans="1:36" x14ac:dyDescent="0.2">
      <c r="A192" s="42"/>
      <c r="F192" s="42"/>
      <c r="K192" s="42"/>
      <c r="P192" s="132"/>
      <c r="Q192" s="136"/>
      <c r="R192" s="145"/>
      <c r="S192" s="146"/>
      <c r="AG192" s="179"/>
      <c r="AH192" s="136"/>
      <c r="AI192" s="136"/>
      <c r="AJ192" s="136"/>
    </row>
    <row r="193" spans="1:36" x14ac:dyDescent="0.2">
      <c r="A193" s="42"/>
      <c r="F193" s="42"/>
      <c r="K193" s="42"/>
      <c r="P193" s="132"/>
      <c r="Q193" s="136"/>
      <c r="R193" s="145"/>
      <c r="S193" s="146"/>
      <c r="AG193" s="179"/>
      <c r="AH193" s="136"/>
      <c r="AI193" s="136"/>
      <c r="AJ193" s="136"/>
    </row>
    <row r="194" spans="1:36" x14ac:dyDescent="0.2">
      <c r="A194" s="42"/>
      <c r="F194" s="42"/>
      <c r="K194" s="42"/>
      <c r="P194" s="132"/>
      <c r="Q194" s="136"/>
      <c r="R194" s="145"/>
      <c r="S194" s="146"/>
      <c r="AG194" s="179"/>
      <c r="AH194" s="136"/>
      <c r="AI194" s="136"/>
      <c r="AJ194" s="136"/>
    </row>
    <row r="195" spans="1:36" x14ac:dyDescent="0.2">
      <c r="A195" s="42"/>
      <c r="F195" s="42"/>
      <c r="K195" s="42"/>
      <c r="P195" s="132"/>
      <c r="Q195" s="136"/>
      <c r="R195" s="145"/>
      <c r="S195" s="146"/>
      <c r="AG195" s="179"/>
      <c r="AH195" s="136"/>
      <c r="AI195" s="136"/>
      <c r="AJ195" s="136"/>
    </row>
    <row r="196" spans="1:36" x14ac:dyDescent="0.2">
      <c r="A196" s="42"/>
      <c r="F196" s="42"/>
      <c r="K196" s="42"/>
      <c r="P196" s="132"/>
      <c r="Q196" s="136"/>
      <c r="R196" s="145"/>
      <c r="S196" s="146"/>
      <c r="AG196" s="179"/>
      <c r="AH196" s="136"/>
      <c r="AI196" s="136"/>
      <c r="AJ196" s="136"/>
    </row>
    <row r="197" spans="1:36" x14ac:dyDescent="0.2">
      <c r="A197" s="42"/>
      <c r="F197" s="42"/>
      <c r="K197" s="42"/>
      <c r="P197" s="132"/>
      <c r="Q197" s="136"/>
      <c r="R197" s="145"/>
      <c r="S197" s="146"/>
      <c r="AG197" s="179"/>
      <c r="AH197" s="136"/>
      <c r="AI197" s="136"/>
      <c r="AJ197" s="136"/>
    </row>
    <row r="198" spans="1:36" x14ac:dyDescent="0.2">
      <c r="A198" s="42"/>
      <c r="F198" s="42"/>
      <c r="K198" s="42"/>
      <c r="P198" s="132"/>
      <c r="Q198" s="136"/>
      <c r="R198" s="145"/>
      <c r="S198" s="146"/>
      <c r="AG198" s="179"/>
      <c r="AH198" s="136"/>
      <c r="AI198" s="136"/>
      <c r="AJ198" s="136"/>
    </row>
    <row r="199" spans="1:36" x14ac:dyDescent="0.2">
      <c r="P199" s="132"/>
      <c r="Q199" s="136"/>
      <c r="R199" s="145"/>
      <c r="S199" s="146"/>
      <c r="AG199" s="179"/>
      <c r="AH199" s="136"/>
      <c r="AI199" s="136"/>
      <c r="AJ199" s="136"/>
    </row>
    <row r="200" spans="1:36" x14ac:dyDescent="0.2">
      <c r="P200" s="132"/>
      <c r="Q200" s="136"/>
      <c r="R200" s="145"/>
      <c r="S200" s="146"/>
      <c r="AG200" s="179"/>
      <c r="AH200" s="136"/>
      <c r="AI200" s="136"/>
      <c r="AJ200" s="136"/>
    </row>
    <row r="201" spans="1:36" x14ac:dyDescent="0.2">
      <c r="P201" s="132"/>
      <c r="Q201" s="136"/>
      <c r="R201" s="145"/>
      <c r="S201" s="146"/>
      <c r="AG201" s="179"/>
      <c r="AH201" s="136"/>
      <c r="AI201" s="136"/>
      <c r="AJ201" s="136"/>
    </row>
    <row r="202" spans="1:36" x14ac:dyDescent="0.2">
      <c r="P202" s="132"/>
      <c r="Q202" s="136"/>
      <c r="R202" s="145"/>
      <c r="S202" s="146"/>
      <c r="AG202" s="179"/>
      <c r="AH202" s="136"/>
      <c r="AI202" s="136"/>
      <c r="AJ202" s="136"/>
    </row>
    <row r="203" spans="1:36" x14ac:dyDescent="0.2">
      <c r="P203" s="132"/>
      <c r="Q203" s="136"/>
      <c r="R203" s="145"/>
      <c r="S203" s="146"/>
      <c r="AG203" s="179"/>
      <c r="AH203" s="136"/>
      <c r="AI203" s="136"/>
      <c r="AJ203" s="136"/>
    </row>
    <row r="204" spans="1:36" x14ac:dyDescent="0.2">
      <c r="P204" s="132"/>
      <c r="Q204" s="136"/>
      <c r="R204" s="145"/>
      <c r="S204" s="146"/>
      <c r="AG204" s="179"/>
      <c r="AH204" s="136"/>
      <c r="AI204" s="136"/>
      <c r="AJ204" s="136"/>
    </row>
    <row r="205" spans="1:36" x14ac:dyDescent="0.2">
      <c r="P205" s="132"/>
      <c r="Q205" s="136"/>
      <c r="R205" s="145"/>
      <c r="S205" s="146"/>
      <c r="AG205" s="179"/>
      <c r="AH205" s="136"/>
      <c r="AI205" s="136"/>
      <c r="AJ205" s="136"/>
    </row>
    <row r="206" spans="1:36" x14ac:dyDescent="0.2">
      <c r="P206" s="132"/>
      <c r="Q206" s="136"/>
      <c r="R206" s="145"/>
      <c r="S206" s="146"/>
      <c r="AG206" s="179"/>
      <c r="AH206" s="136"/>
      <c r="AI206" s="136"/>
      <c r="AJ206" s="136"/>
    </row>
    <row r="207" spans="1:36" x14ac:dyDescent="0.2">
      <c r="P207" s="132"/>
      <c r="Q207" s="136"/>
      <c r="R207" s="145"/>
      <c r="S207" s="146"/>
      <c r="AG207" s="179"/>
      <c r="AH207" s="136"/>
      <c r="AI207" s="136"/>
      <c r="AJ207" s="136"/>
    </row>
    <row r="208" spans="1:36" x14ac:dyDescent="0.2">
      <c r="P208" s="132"/>
      <c r="Q208" s="136"/>
      <c r="R208" s="145"/>
      <c r="S208" s="146"/>
      <c r="AG208" s="179"/>
      <c r="AH208" s="136"/>
      <c r="AI208" s="136"/>
      <c r="AJ208" s="136"/>
    </row>
    <row r="209" spans="16:36" x14ac:dyDescent="0.2">
      <c r="P209" s="132"/>
      <c r="Q209" s="136"/>
      <c r="R209" s="145"/>
      <c r="S209" s="146"/>
      <c r="AG209" s="179"/>
      <c r="AH209" s="136"/>
      <c r="AI209" s="136"/>
      <c r="AJ209" s="136"/>
    </row>
    <row r="210" spans="16:36" x14ac:dyDescent="0.2">
      <c r="P210" s="132"/>
      <c r="Q210" s="136"/>
      <c r="R210" s="145"/>
      <c r="S210" s="146"/>
      <c r="AG210" s="179"/>
      <c r="AH210" s="136"/>
      <c r="AI210" s="136"/>
      <c r="AJ210" s="136"/>
    </row>
    <row r="211" spans="16:36" x14ac:dyDescent="0.2">
      <c r="P211" s="132"/>
      <c r="Q211" s="136"/>
      <c r="R211" s="145"/>
      <c r="S211" s="146"/>
      <c r="AG211" s="179"/>
      <c r="AH211" s="136"/>
      <c r="AI211" s="136"/>
      <c r="AJ211" s="136"/>
    </row>
    <row r="212" spans="16:36" x14ac:dyDescent="0.2">
      <c r="P212" s="132"/>
      <c r="Q212" s="136"/>
      <c r="R212" s="145"/>
      <c r="S212" s="146"/>
      <c r="AG212" s="179"/>
      <c r="AH212" s="136"/>
      <c r="AI212" s="136"/>
      <c r="AJ212" s="136"/>
    </row>
    <row r="213" spans="16:36" x14ac:dyDescent="0.2">
      <c r="P213" s="132"/>
      <c r="Q213" s="136"/>
      <c r="R213" s="145"/>
      <c r="S213" s="146"/>
      <c r="AG213" s="179"/>
      <c r="AH213" s="136"/>
      <c r="AI213" s="136"/>
      <c r="AJ213" s="136"/>
    </row>
    <row r="214" spans="16:36" x14ac:dyDescent="0.2">
      <c r="P214" s="132"/>
      <c r="Q214" s="136"/>
      <c r="R214" s="145"/>
      <c r="S214" s="146"/>
      <c r="AG214" s="179"/>
      <c r="AH214" s="136"/>
      <c r="AI214" s="136"/>
      <c r="AJ214" s="136"/>
    </row>
    <row r="215" spans="16:36" x14ac:dyDescent="0.2">
      <c r="P215" s="132"/>
      <c r="Q215" s="136"/>
      <c r="R215" s="145"/>
      <c r="S215" s="146"/>
      <c r="AG215" s="179"/>
      <c r="AH215" s="136"/>
      <c r="AI215" s="136"/>
      <c r="AJ215" s="136"/>
    </row>
    <row r="216" spans="16:36" x14ac:dyDescent="0.2">
      <c r="P216" s="132"/>
      <c r="Q216" s="136"/>
      <c r="R216" s="145"/>
      <c r="S216" s="146"/>
      <c r="AG216" s="179"/>
      <c r="AH216" s="136"/>
      <c r="AI216" s="136"/>
      <c r="AJ216" s="136"/>
    </row>
    <row r="217" spans="16:36" x14ac:dyDescent="0.2">
      <c r="P217" s="132"/>
      <c r="Q217" s="136"/>
      <c r="R217" s="145"/>
      <c r="S217" s="146"/>
      <c r="AG217" s="179"/>
      <c r="AH217" s="136"/>
      <c r="AI217" s="136"/>
      <c r="AJ217" s="136"/>
    </row>
    <row r="218" spans="16:36" x14ac:dyDescent="0.2">
      <c r="P218" s="132"/>
      <c r="Q218" s="136"/>
      <c r="R218" s="145"/>
      <c r="S218" s="146"/>
      <c r="AG218" s="179"/>
      <c r="AH218" s="136"/>
      <c r="AI218" s="136"/>
      <c r="AJ218" s="136"/>
    </row>
    <row r="219" spans="16:36" x14ac:dyDescent="0.2">
      <c r="P219" s="132"/>
      <c r="Q219" s="136"/>
      <c r="R219" s="145"/>
      <c r="S219" s="146"/>
      <c r="AG219" s="179"/>
      <c r="AH219" s="136"/>
      <c r="AI219" s="136"/>
      <c r="AJ219" s="136"/>
    </row>
    <row r="220" spans="16:36" x14ac:dyDescent="0.2">
      <c r="P220" s="132"/>
      <c r="Q220" s="136"/>
      <c r="R220" s="145"/>
      <c r="S220" s="146"/>
      <c r="AG220" s="179"/>
      <c r="AH220" s="136"/>
      <c r="AI220" s="136"/>
      <c r="AJ220" s="136"/>
    </row>
    <row r="221" spans="16:36" x14ac:dyDescent="0.2">
      <c r="P221" s="132"/>
      <c r="Q221" s="136"/>
      <c r="R221" s="145"/>
      <c r="S221" s="146"/>
      <c r="AG221" s="179"/>
      <c r="AH221" s="136"/>
      <c r="AI221" s="136"/>
      <c r="AJ221" s="136"/>
    </row>
    <row r="222" spans="16:36" x14ac:dyDescent="0.2">
      <c r="P222" s="132"/>
      <c r="Q222" s="136"/>
      <c r="R222" s="145"/>
      <c r="S222" s="146"/>
      <c r="AG222" s="179"/>
      <c r="AH222" s="136"/>
      <c r="AI222" s="136"/>
      <c r="AJ222" s="136"/>
    </row>
    <row r="223" spans="16:36" x14ac:dyDescent="0.2">
      <c r="P223" s="132"/>
      <c r="Q223" s="136"/>
      <c r="R223" s="145"/>
      <c r="S223" s="146"/>
      <c r="AG223" s="179"/>
      <c r="AH223" s="136"/>
      <c r="AI223" s="136"/>
      <c r="AJ223" s="136"/>
    </row>
    <row r="224" spans="16:36" x14ac:dyDescent="0.2">
      <c r="P224" s="132"/>
      <c r="Q224" s="136"/>
      <c r="R224" s="145"/>
      <c r="S224" s="146"/>
      <c r="AG224" s="179"/>
      <c r="AH224" s="136"/>
      <c r="AI224" s="136"/>
      <c r="AJ224" s="136"/>
    </row>
    <row r="225" spans="16:36" x14ac:dyDescent="0.2">
      <c r="P225" s="132"/>
      <c r="Q225" s="136"/>
      <c r="R225" s="145"/>
      <c r="S225" s="146"/>
      <c r="AG225" s="179"/>
      <c r="AH225" s="136"/>
      <c r="AI225" s="136"/>
      <c r="AJ225" s="136"/>
    </row>
    <row r="226" spans="16:36" x14ac:dyDescent="0.2">
      <c r="P226" s="132"/>
      <c r="Q226" s="136"/>
      <c r="R226" s="145"/>
      <c r="S226" s="146"/>
      <c r="AG226" s="179"/>
      <c r="AH226" s="136"/>
      <c r="AI226" s="136"/>
      <c r="AJ226" s="136"/>
    </row>
    <row r="227" spans="16:36" x14ac:dyDescent="0.2">
      <c r="P227" s="132"/>
      <c r="Q227" s="136"/>
      <c r="R227" s="145"/>
      <c r="S227" s="146"/>
      <c r="AG227" s="179"/>
      <c r="AH227" s="136"/>
      <c r="AI227" s="136"/>
      <c r="AJ227" s="136"/>
    </row>
    <row r="228" spans="16:36" x14ac:dyDescent="0.2">
      <c r="P228" s="132"/>
      <c r="Q228" s="136"/>
      <c r="R228" s="145"/>
      <c r="S228" s="146"/>
      <c r="AG228" s="179"/>
      <c r="AH228" s="136"/>
      <c r="AI228" s="136"/>
      <c r="AJ228" s="136"/>
    </row>
    <row r="229" spans="16:36" x14ac:dyDescent="0.2">
      <c r="P229" s="132"/>
      <c r="Q229" s="136"/>
      <c r="R229" s="145"/>
      <c r="S229" s="146"/>
      <c r="AG229" s="179"/>
      <c r="AH229" s="136"/>
      <c r="AI229" s="136"/>
      <c r="AJ229" s="136"/>
    </row>
    <row r="230" spans="16:36" x14ac:dyDescent="0.2">
      <c r="P230" s="132"/>
      <c r="Q230" s="136"/>
      <c r="R230" s="145"/>
      <c r="S230" s="146"/>
      <c r="AG230" s="179"/>
      <c r="AH230" s="136"/>
      <c r="AI230" s="136"/>
      <c r="AJ230" s="136"/>
    </row>
    <row r="231" spans="16:36" x14ac:dyDescent="0.2">
      <c r="P231" s="132"/>
      <c r="Q231" s="136"/>
      <c r="R231" s="145"/>
      <c r="S231" s="146"/>
      <c r="AG231" s="179"/>
      <c r="AH231" s="136"/>
      <c r="AI231" s="136"/>
      <c r="AJ231" s="136"/>
    </row>
    <row r="232" spans="16:36" x14ac:dyDescent="0.2">
      <c r="P232" s="132"/>
      <c r="Q232" s="136"/>
      <c r="R232" s="145"/>
      <c r="S232" s="146"/>
      <c r="AG232" s="179"/>
      <c r="AH232" s="136"/>
      <c r="AI232" s="136"/>
      <c r="AJ232" s="136"/>
    </row>
    <row r="233" spans="16:36" x14ac:dyDescent="0.2">
      <c r="P233" s="132"/>
      <c r="Q233" s="136"/>
      <c r="R233" s="145"/>
      <c r="S233" s="146"/>
      <c r="AG233" s="179"/>
      <c r="AH233" s="136"/>
      <c r="AI233" s="136"/>
      <c r="AJ233" s="136"/>
    </row>
    <row r="234" spans="16:36" x14ac:dyDescent="0.2">
      <c r="P234" s="132"/>
      <c r="Q234" s="136"/>
      <c r="R234" s="145"/>
      <c r="S234" s="146"/>
      <c r="AG234" s="179"/>
      <c r="AH234" s="136"/>
      <c r="AI234" s="136"/>
      <c r="AJ234" s="136"/>
    </row>
    <row r="235" spans="16:36" x14ac:dyDescent="0.2">
      <c r="P235" s="132"/>
      <c r="Q235" s="136"/>
      <c r="R235" s="145"/>
      <c r="S235" s="146"/>
      <c r="AG235" s="179"/>
      <c r="AH235" s="136"/>
      <c r="AI235" s="136"/>
      <c r="AJ235" s="136"/>
    </row>
    <row r="236" spans="16:36" x14ac:dyDescent="0.2">
      <c r="P236" s="132"/>
      <c r="Q236" s="136"/>
      <c r="R236" s="145"/>
      <c r="S236" s="146"/>
      <c r="AG236" s="179"/>
      <c r="AH236" s="136"/>
      <c r="AI236" s="136"/>
      <c r="AJ236" s="136"/>
    </row>
    <row r="237" spans="16:36" x14ac:dyDescent="0.2">
      <c r="P237" s="132"/>
      <c r="Q237" s="136"/>
      <c r="R237" s="145"/>
      <c r="S237" s="146"/>
      <c r="AG237" s="179"/>
      <c r="AH237" s="136"/>
      <c r="AI237" s="136"/>
      <c r="AJ237" s="136"/>
    </row>
    <row r="238" spans="16:36" x14ac:dyDescent="0.2">
      <c r="P238" s="132"/>
      <c r="Q238" s="136"/>
      <c r="R238" s="145"/>
      <c r="S238" s="146"/>
      <c r="AG238" s="179"/>
      <c r="AH238" s="136"/>
      <c r="AI238" s="136"/>
      <c r="AJ238" s="136"/>
    </row>
    <row r="239" spans="16:36" x14ac:dyDescent="0.2">
      <c r="P239" s="132"/>
      <c r="Q239" s="136"/>
      <c r="R239" s="145"/>
      <c r="S239" s="146"/>
      <c r="AG239" s="179"/>
      <c r="AH239" s="136"/>
      <c r="AI239" s="136"/>
      <c r="AJ239" s="136"/>
    </row>
    <row r="240" spans="16:36" x14ac:dyDescent="0.2">
      <c r="P240" s="132"/>
      <c r="Q240" s="136"/>
      <c r="R240" s="145"/>
      <c r="S240" s="146"/>
      <c r="AG240" s="179"/>
      <c r="AH240" s="136"/>
      <c r="AI240" s="136"/>
      <c r="AJ240" s="136"/>
    </row>
    <row r="241" spans="16:36" x14ac:dyDescent="0.2">
      <c r="P241" s="132"/>
      <c r="Q241" s="136"/>
      <c r="R241" s="145"/>
      <c r="S241" s="146"/>
      <c r="AG241" s="179"/>
      <c r="AH241" s="136"/>
      <c r="AI241" s="136"/>
      <c r="AJ241" s="136"/>
    </row>
    <row r="242" spans="16:36" x14ac:dyDescent="0.2">
      <c r="P242" s="132"/>
      <c r="Q242" s="136"/>
      <c r="R242" s="145"/>
      <c r="S242" s="146"/>
      <c r="AG242" s="179"/>
      <c r="AH242" s="136"/>
      <c r="AI242" s="136"/>
      <c r="AJ242" s="136"/>
    </row>
    <row r="243" spans="16:36" x14ac:dyDescent="0.2">
      <c r="P243" s="132"/>
      <c r="Q243" s="136"/>
      <c r="R243" s="145"/>
      <c r="S243" s="146"/>
      <c r="AG243" s="179"/>
      <c r="AH243" s="136"/>
      <c r="AI243" s="136"/>
      <c r="AJ243" s="136"/>
    </row>
    <row r="244" spans="16:36" x14ac:dyDescent="0.2">
      <c r="P244" s="132"/>
      <c r="Q244" s="136"/>
      <c r="R244" s="145"/>
      <c r="S244" s="146"/>
      <c r="AG244" s="179"/>
      <c r="AH244" s="136"/>
      <c r="AI244" s="136"/>
      <c r="AJ244" s="136"/>
    </row>
    <row r="245" spans="16:36" x14ac:dyDescent="0.2">
      <c r="P245" s="132"/>
      <c r="Q245" s="136"/>
      <c r="R245" s="145"/>
      <c r="S245" s="146"/>
      <c r="AG245" s="179"/>
      <c r="AH245" s="136"/>
      <c r="AI245" s="136"/>
      <c r="AJ245" s="136"/>
    </row>
    <row r="246" spans="16:36" x14ac:dyDescent="0.2">
      <c r="P246" s="132"/>
      <c r="Q246" s="136"/>
      <c r="R246" s="145"/>
      <c r="S246" s="146"/>
      <c r="AG246" s="179"/>
      <c r="AH246" s="136"/>
      <c r="AI246" s="136"/>
      <c r="AJ246" s="136"/>
    </row>
    <row r="247" spans="16:36" x14ac:dyDescent="0.2">
      <c r="P247" s="132"/>
      <c r="Q247" s="136"/>
      <c r="R247" s="145"/>
      <c r="S247" s="146"/>
      <c r="AG247" s="179"/>
      <c r="AH247" s="136"/>
      <c r="AI247" s="136"/>
      <c r="AJ247" s="136"/>
    </row>
    <row r="248" spans="16:36" x14ac:dyDescent="0.2">
      <c r="P248" s="132"/>
      <c r="Q248" s="136"/>
      <c r="R248" s="145"/>
      <c r="S248" s="146"/>
      <c r="AG248" s="179"/>
      <c r="AH248" s="136"/>
      <c r="AI248" s="136"/>
      <c r="AJ248" s="136"/>
    </row>
    <row r="249" spans="16:36" x14ac:dyDescent="0.2">
      <c r="P249" s="132"/>
      <c r="Q249" s="136"/>
      <c r="R249" s="145"/>
      <c r="S249" s="146"/>
      <c r="AG249" s="179"/>
      <c r="AH249" s="136"/>
      <c r="AI249" s="136"/>
      <c r="AJ249" s="136"/>
    </row>
    <row r="250" spans="16:36" x14ac:dyDescent="0.2">
      <c r="P250" s="132"/>
      <c r="Q250" s="136"/>
      <c r="R250" s="145"/>
      <c r="S250" s="146"/>
      <c r="AG250" s="179"/>
      <c r="AH250" s="136"/>
      <c r="AI250" s="136"/>
      <c r="AJ250" s="136"/>
    </row>
    <row r="251" spans="16:36" x14ac:dyDescent="0.2">
      <c r="P251" s="132"/>
      <c r="Q251" s="136"/>
      <c r="R251" s="145"/>
      <c r="S251" s="146"/>
      <c r="AG251" s="179"/>
      <c r="AH251" s="136"/>
      <c r="AI251" s="136"/>
      <c r="AJ251" s="136"/>
    </row>
    <row r="252" spans="16:36" x14ac:dyDescent="0.2">
      <c r="P252" s="132"/>
      <c r="Q252" s="136"/>
      <c r="R252" s="145"/>
      <c r="S252" s="146"/>
      <c r="AG252" s="179"/>
      <c r="AH252" s="136"/>
      <c r="AI252" s="136"/>
      <c r="AJ252" s="136"/>
    </row>
    <row r="253" spans="16:36" x14ac:dyDescent="0.2">
      <c r="P253" s="132"/>
      <c r="Q253" s="136"/>
      <c r="R253" s="145"/>
      <c r="S253" s="146"/>
      <c r="AG253" s="179"/>
      <c r="AH253" s="136"/>
      <c r="AI253" s="136"/>
      <c r="AJ253" s="136"/>
    </row>
    <row r="254" spans="16:36" x14ac:dyDescent="0.2">
      <c r="P254" s="132"/>
      <c r="Q254" s="136"/>
      <c r="R254" s="145"/>
      <c r="S254" s="146"/>
      <c r="AG254" s="179"/>
      <c r="AH254" s="136"/>
      <c r="AI254" s="136"/>
      <c r="AJ254" s="136"/>
    </row>
    <row r="255" spans="16:36" x14ac:dyDescent="0.2">
      <c r="P255" s="132"/>
      <c r="Q255" s="136"/>
      <c r="R255" s="145"/>
      <c r="S255" s="146"/>
      <c r="AG255" s="179"/>
      <c r="AH255" s="136"/>
      <c r="AI255" s="136"/>
      <c r="AJ255" s="136"/>
    </row>
    <row r="256" spans="16:36" x14ac:dyDescent="0.2">
      <c r="P256" s="132"/>
      <c r="Q256" s="136"/>
      <c r="R256" s="145"/>
      <c r="S256" s="146"/>
      <c r="AG256" s="179"/>
      <c r="AH256" s="136"/>
      <c r="AI256" s="136"/>
      <c r="AJ256" s="136"/>
    </row>
    <row r="257" spans="16:36" x14ac:dyDescent="0.2">
      <c r="P257" s="132"/>
      <c r="Q257" s="136"/>
      <c r="R257" s="145"/>
      <c r="S257" s="146"/>
      <c r="AG257" s="179"/>
      <c r="AH257" s="136"/>
      <c r="AI257" s="136"/>
      <c r="AJ257" s="136"/>
    </row>
    <row r="258" spans="16:36" x14ac:dyDescent="0.2">
      <c r="P258" s="132"/>
      <c r="Q258" s="136"/>
      <c r="R258" s="145"/>
      <c r="S258" s="146"/>
      <c r="AG258" s="179"/>
      <c r="AH258" s="136"/>
      <c r="AI258" s="136"/>
      <c r="AJ258" s="136"/>
    </row>
    <row r="259" spans="16:36" x14ac:dyDescent="0.2">
      <c r="P259" s="132"/>
      <c r="Q259" s="136"/>
      <c r="R259" s="145"/>
      <c r="S259" s="146"/>
      <c r="AG259" s="179"/>
      <c r="AH259" s="136"/>
      <c r="AI259" s="136"/>
      <c r="AJ259" s="136"/>
    </row>
    <row r="260" spans="16:36" x14ac:dyDescent="0.2">
      <c r="P260" s="132"/>
      <c r="Q260" s="136"/>
      <c r="R260" s="145"/>
      <c r="S260" s="146"/>
      <c r="AG260" s="179"/>
      <c r="AH260" s="136"/>
      <c r="AI260" s="136"/>
      <c r="AJ260" s="136"/>
    </row>
    <row r="261" spans="16:36" x14ac:dyDescent="0.2">
      <c r="P261" s="132"/>
      <c r="Q261" s="136"/>
      <c r="R261" s="145"/>
      <c r="S261" s="146"/>
      <c r="AG261" s="179"/>
      <c r="AH261" s="136"/>
      <c r="AI261" s="136"/>
      <c r="AJ261" s="136"/>
    </row>
    <row r="262" spans="16:36" x14ac:dyDescent="0.2">
      <c r="P262" s="132"/>
      <c r="Q262" s="136"/>
      <c r="R262" s="145"/>
      <c r="S262" s="146"/>
      <c r="AG262" s="179"/>
      <c r="AH262" s="136"/>
      <c r="AI262" s="136"/>
      <c r="AJ262" s="136"/>
    </row>
    <row r="263" spans="16:36" x14ac:dyDescent="0.2">
      <c r="P263" s="132"/>
      <c r="Q263" s="136"/>
      <c r="R263" s="145"/>
      <c r="S263" s="146"/>
      <c r="AG263" s="179"/>
      <c r="AH263" s="136"/>
      <c r="AI263" s="136"/>
      <c r="AJ263" s="136"/>
    </row>
    <row r="264" spans="16:36" x14ac:dyDescent="0.2">
      <c r="P264" s="132"/>
      <c r="Q264" s="136"/>
      <c r="R264" s="145"/>
      <c r="S264" s="146"/>
      <c r="AG264" s="179"/>
      <c r="AH264" s="136"/>
      <c r="AI264" s="136"/>
      <c r="AJ264" s="136"/>
    </row>
    <row r="265" spans="16:36" x14ac:dyDescent="0.2">
      <c r="P265" s="132"/>
      <c r="Q265" s="136"/>
      <c r="R265" s="145"/>
      <c r="S265" s="146"/>
      <c r="AG265" s="179"/>
      <c r="AH265" s="136"/>
      <c r="AI265" s="136"/>
      <c r="AJ265" s="136"/>
    </row>
    <row r="266" spans="16:36" x14ac:dyDescent="0.2">
      <c r="P266" s="132"/>
      <c r="Q266" s="136"/>
      <c r="R266" s="145"/>
      <c r="S266" s="146"/>
      <c r="AG266" s="179"/>
      <c r="AH266" s="136"/>
      <c r="AI266" s="136"/>
      <c r="AJ266" s="136"/>
    </row>
    <row r="267" spans="16:36" x14ac:dyDescent="0.2">
      <c r="P267" s="132"/>
      <c r="Q267" s="136"/>
      <c r="R267" s="145"/>
      <c r="S267" s="146"/>
      <c r="AG267" s="179"/>
      <c r="AH267" s="136"/>
      <c r="AI267" s="136"/>
      <c r="AJ267" s="136"/>
    </row>
    <row r="268" spans="16:36" x14ac:dyDescent="0.2">
      <c r="P268" s="132"/>
      <c r="Q268" s="136"/>
      <c r="R268" s="145"/>
      <c r="S268" s="146"/>
      <c r="AG268" s="179"/>
      <c r="AH268" s="136"/>
      <c r="AI268" s="136"/>
      <c r="AJ268" s="136"/>
    </row>
    <row r="269" spans="16:36" x14ac:dyDescent="0.2">
      <c r="P269" s="132"/>
      <c r="Q269" s="136"/>
      <c r="R269" s="145"/>
      <c r="S269" s="146"/>
      <c r="AG269" s="179"/>
      <c r="AH269" s="136"/>
      <c r="AI269" s="136"/>
      <c r="AJ269" s="136"/>
    </row>
    <row r="270" spans="16:36" x14ac:dyDescent="0.2">
      <c r="P270" s="132"/>
      <c r="Q270" s="136"/>
      <c r="R270" s="145"/>
      <c r="S270" s="146"/>
      <c r="AG270" s="179"/>
      <c r="AH270" s="136"/>
      <c r="AI270" s="136"/>
      <c r="AJ270" s="136"/>
    </row>
    <row r="271" spans="16:36" x14ac:dyDescent="0.2">
      <c r="P271" s="132"/>
      <c r="Q271" s="136"/>
      <c r="R271" s="145"/>
      <c r="S271" s="146"/>
      <c r="AG271" s="179"/>
      <c r="AH271" s="136"/>
      <c r="AI271" s="136"/>
      <c r="AJ271" s="136"/>
    </row>
    <row r="272" spans="16:36" x14ac:dyDescent="0.2">
      <c r="P272" s="132"/>
      <c r="Q272" s="136"/>
      <c r="R272" s="145"/>
      <c r="S272" s="146"/>
      <c r="AG272" s="179"/>
      <c r="AH272" s="136"/>
      <c r="AI272" s="136"/>
      <c r="AJ272" s="136"/>
    </row>
    <row r="273" spans="16:36" x14ac:dyDescent="0.2">
      <c r="P273" s="132"/>
      <c r="Q273" s="136"/>
      <c r="R273" s="145"/>
      <c r="S273" s="146"/>
      <c r="AG273" s="179"/>
      <c r="AH273" s="136"/>
      <c r="AI273" s="136"/>
      <c r="AJ273" s="136"/>
    </row>
    <row r="274" spans="16:36" x14ac:dyDescent="0.2">
      <c r="P274" s="132"/>
      <c r="Q274" s="136"/>
      <c r="R274" s="145"/>
      <c r="S274" s="146"/>
      <c r="AG274" s="179"/>
      <c r="AH274" s="136"/>
      <c r="AI274" s="136"/>
      <c r="AJ274" s="136"/>
    </row>
    <row r="275" spans="16:36" x14ac:dyDescent="0.2">
      <c r="P275" s="132"/>
      <c r="Q275" s="136"/>
      <c r="R275" s="145"/>
      <c r="S275" s="146"/>
      <c r="AG275" s="179"/>
      <c r="AH275" s="136"/>
      <c r="AI275" s="136"/>
      <c r="AJ275" s="136"/>
    </row>
    <row r="276" spans="16:36" x14ac:dyDescent="0.2">
      <c r="P276" s="132"/>
      <c r="Q276" s="136"/>
      <c r="R276" s="145"/>
      <c r="S276" s="146"/>
      <c r="AG276" s="179"/>
      <c r="AH276" s="136"/>
      <c r="AI276" s="136"/>
      <c r="AJ276" s="136"/>
    </row>
    <row r="277" spans="16:36" x14ac:dyDescent="0.2">
      <c r="P277" s="132"/>
      <c r="Q277" s="136"/>
      <c r="R277" s="145"/>
      <c r="S277" s="146"/>
      <c r="AG277" s="179"/>
      <c r="AH277" s="136"/>
      <c r="AI277" s="136"/>
      <c r="AJ277" s="136"/>
    </row>
    <row r="278" spans="16:36" x14ac:dyDescent="0.2">
      <c r="P278" s="132"/>
      <c r="Q278" s="136"/>
      <c r="R278" s="145"/>
      <c r="S278" s="146"/>
      <c r="AG278" s="179"/>
      <c r="AH278" s="136"/>
      <c r="AI278" s="136"/>
      <c r="AJ278" s="136"/>
    </row>
    <row r="279" spans="16:36" x14ac:dyDescent="0.2">
      <c r="P279" s="132"/>
      <c r="Q279" s="136"/>
      <c r="R279" s="145"/>
      <c r="S279" s="146"/>
      <c r="AG279" s="179"/>
      <c r="AH279" s="136"/>
      <c r="AI279" s="136"/>
      <c r="AJ279" s="136"/>
    </row>
    <row r="280" spans="16:36" x14ac:dyDescent="0.2">
      <c r="P280" s="132"/>
      <c r="Q280" s="136"/>
      <c r="R280" s="145"/>
      <c r="S280" s="146"/>
      <c r="AG280" s="179"/>
      <c r="AH280" s="136"/>
      <c r="AI280" s="136"/>
      <c r="AJ280" s="136"/>
    </row>
    <row r="281" spans="16:36" x14ac:dyDescent="0.2">
      <c r="P281" s="132"/>
      <c r="Q281" s="136"/>
      <c r="R281" s="145"/>
      <c r="S281" s="146"/>
      <c r="AG281" s="179"/>
      <c r="AH281" s="136"/>
      <c r="AI281" s="136"/>
      <c r="AJ281" s="136"/>
    </row>
    <row r="282" spans="16:36" x14ac:dyDescent="0.2">
      <c r="P282" s="132"/>
      <c r="Q282" s="136"/>
      <c r="R282" s="145"/>
      <c r="S282" s="146"/>
      <c r="AG282" s="179"/>
      <c r="AH282" s="136"/>
      <c r="AI282" s="136"/>
      <c r="AJ282" s="136"/>
    </row>
    <row r="283" spans="16:36" x14ac:dyDescent="0.2">
      <c r="P283" s="132"/>
      <c r="Q283" s="136"/>
      <c r="R283" s="145"/>
      <c r="S283" s="146"/>
      <c r="AG283" s="179"/>
      <c r="AH283" s="136"/>
      <c r="AI283" s="136"/>
      <c r="AJ283" s="136"/>
    </row>
    <row r="284" spans="16:36" x14ac:dyDescent="0.2">
      <c r="P284" s="132"/>
      <c r="Q284" s="136"/>
      <c r="R284" s="145"/>
      <c r="S284" s="146"/>
      <c r="AG284" s="179"/>
      <c r="AH284" s="136"/>
      <c r="AI284" s="136"/>
      <c r="AJ284" s="136"/>
    </row>
    <row r="285" spans="16:36" x14ac:dyDescent="0.2">
      <c r="P285" s="132"/>
      <c r="Q285" s="136"/>
      <c r="R285" s="145"/>
      <c r="S285" s="146"/>
      <c r="AG285" s="179"/>
      <c r="AH285" s="136"/>
      <c r="AI285" s="136"/>
      <c r="AJ285" s="136"/>
    </row>
    <row r="286" spans="16:36" x14ac:dyDescent="0.2">
      <c r="P286" s="132"/>
      <c r="Q286" s="136"/>
      <c r="R286" s="145"/>
      <c r="S286" s="146"/>
      <c r="AG286" s="179"/>
      <c r="AH286" s="136"/>
      <c r="AI286" s="136"/>
      <c r="AJ286" s="136"/>
    </row>
    <row r="287" spans="16:36" x14ac:dyDescent="0.2">
      <c r="P287" s="132"/>
      <c r="Q287" s="136"/>
      <c r="R287" s="145"/>
      <c r="S287" s="146"/>
      <c r="AG287" s="179"/>
      <c r="AH287" s="136"/>
      <c r="AI287" s="136"/>
      <c r="AJ287" s="136"/>
    </row>
    <row r="288" spans="16:36" x14ac:dyDescent="0.2">
      <c r="P288" s="132"/>
      <c r="Q288" s="136"/>
      <c r="R288" s="145"/>
      <c r="S288" s="146"/>
      <c r="AG288" s="179"/>
      <c r="AH288" s="136"/>
      <c r="AI288" s="136"/>
      <c r="AJ288" s="136"/>
    </row>
    <row r="289" spans="16:36" x14ac:dyDescent="0.2">
      <c r="P289" s="132"/>
      <c r="Q289" s="136"/>
      <c r="R289" s="145"/>
      <c r="S289" s="146"/>
      <c r="AG289" s="179"/>
      <c r="AH289" s="136"/>
      <c r="AI289" s="136"/>
      <c r="AJ289" s="136"/>
    </row>
    <row r="290" spans="16:36" x14ac:dyDescent="0.2">
      <c r="P290" s="132"/>
      <c r="Q290" s="136"/>
      <c r="R290" s="145"/>
      <c r="S290" s="146"/>
      <c r="AG290" s="179"/>
      <c r="AH290" s="136"/>
      <c r="AI290" s="136"/>
      <c r="AJ290" s="136"/>
    </row>
    <row r="291" spans="16:36" x14ac:dyDescent="0.2">
      <c r="P291" s="132"/>
      <c r="Q291" s="136"/>
      <c r="R291" s="145"/>
      <c r="S291" s="146"/>
      <c r="AG291" s="179"/>
      <c r="AH291" s="136"/>
      <c r="AI291" s="136"/>
      <c r="AJ291" s="136"/>
    </row>
    <row r="292" spans="16:36" x14ac:dyDescent="0.2">
      <c r="P292" s="132"/>
      <c r="Q292" s="136"/>
      <c r="R292" s="145"/>
      <c r="S292" s="146"/>
      <c r="AG292" s="179"/>
      <c r="AH292" s="136"/>
      <c r="AI292" s="136"/>
      <c r="AJ292" s="136"/>
    </row>
    <row r="293" spans="16:36" x14ac:dyDescent="0.2">
      <c r="P293" s="132"/>
      <c r="Q293" s="136"/>
      <c r="R293" s="145"/>
      <c r="S293" s="146"/>
      <c r="AG293" s="179"/>
      <c r="AH293" s="136"/>
      <c r="AI293" s="136"/>
      <c r="AJ293" s="136"/>
    </row>
    <row r="294" spans="16:36" x14ac:dyDescent="0.2">
      <c r="P294" s="132"/>
      <c r="Q294" s="136"/>
      <c r="R294" s="145"/>
      <c r="S294" s="146"/>
      <c r="AG294" s="179"/>
      <c r="AH294" s="136"/>
      <c r="AI294" s="136"/>
      <c r="AJ294" s="136"/>
    </row>
    <row r="295" spans="16:36" x14ac:dyDescent="0.2">
      <c r="P295" s="132"/>
      <c r="Q295" s="136"/>
      <c r="R295" s="145"/>
      <c r="S295" s="146"/>
      <c r="AG295" s="179"/>
      <c r="AH295" s="136"/>
      <c r="AI295" s="136"/>
      <c r="AJ295" s="136"/>
    </row>
    <row r="296" spans="16:36" x14ac:dyDescent="0.2">
      <c r="P296" s="132"/>
      <c r="Q296" s="136"/>
      <c r="R296" s="145"/>
      <c r="S296" s="146"/>
      <c r="AG296" s="179"/>
      <c r="AH296" s="136"/>
      <c r="AI296" s="136"/>
      <c r="AJ296" s="136"/>
    </row>
    <row r="297" spans="16:36" x14ac:dyDescent="0.2">
      <c r="P297" s="132"/>
      <c r="Q297" s="136"/>
      <c r="R297" s="145"/>
      <c r="S297" s="146"/>
      <c r="AG297" s="179"/>
      <c r="AH297" s="136"/>
      <c r="AI297" s="136"/>
      <c r="AJ297" s="136"/>
    </row>
    <row r="298" spans="16:36" x14ac:dyDescent="0.2">
      <c r="P298" s="132"/>
      <c r="Q298" s="136"/>
      <c r="R298" s="145"/>
      <c r="S298" s="146"/>
      <c r="AG298" s="179"/>
      <c r="AH298" s="136"/>
      <c r="AI298" s="136"/>
      <c r="AJ298" s="136"/>
    </row>
    <row r="299" spans="16:36" x14ac:dyDescent="0.2">
      <c r="P299" s="132"/>
      <c r="Q299" s="136"/>
      <c r="R299" s="145"/>
      <c r="S299" s="146"/>
      <c r="AG299" s="179"/>
      <c r="AH299" s="136"/>
      <c r="AI299" s="136"/>
      <c r="AJ299" s="136"/>
    </row>
    <row r="300" spans="16:36" x14ac:dyDescent="0.2">
      <c r="P300" s="132"/>
      <c r="Q300" s="136"/>
      <c r="R300" s="145"/>
      <c r="S300" s="146"/>
      <c r="AG300" s="179"/>
      <c r="AH300" s="136"/>
      <c r="AI300" s="136"/>
      <c r="AJ300" s="136"/>
    </row>
    <row r="301" spans="16:36" x14ac:dyDescent="0.2">
      <c r="P301" s="132"/>
      <c r="Q301" s="136"/>
      <c r="R301" s="145"/>
      <c r="S301" s="146"/>
      <c r="AG301" s="179"/>
      <c r="AH301" s="136"/>
      <c r="AI301" s="136"/>
      <c r="AJ301" s="136"/>
    </row>
    <row r="302" spans="16:36" x14ac:dyDescent="0.2">
      <c r="P302" s="132"/>
      <c r="Q302" s="136"/>
      <c r="R302" s="145"/>
      <c r="S302" s="146"/>
      <c r="AG302" s="179"/>
      <c r="AH302" s="136"/>
      <c r="AI302" s="136"/>
      <c r="AJ302" s="136"/>
    </row>
    <row r="303" spans="16:36" x14ac:dyDescent="0.2">
      <c r="P303" s="132"/>
      <c r="Q303" s="136"/>
      <c r="R303" s="145"/>
      <c r="S303" s="146"/>
      <c r="AG303" s="179"/>
      <c r="AH303" s="136"/>
      <c r="AI303" s="136"/>
      <c r="AJ303" s="136"/>
    </row>
    <row r="304" spans="16:36" x14ac:dyDescent="0.2">
      <c r="P304" s="132"/>
      <c r="Q304" s="136"/>
      <c r="R304" s="145"/>
      <c r="S304" s="146"/>
      <c r="AG304" s="179"/>
      <c r="AH304" s="136"/>
      <c r="AI304" s="136"/>
      <c r="AJ304" s="136"/>
    </row>
    <row r="305" spans="16:36" x14ac:dyDescent="0.2">
      <c r="P305" s="132"/>
      <c r="Q305" s="136"/>
      <c r="R305" s="145"/>
      <c r="S305" s="146"/>
      <c r="AG305" s="179"/>
      <c r="AH305" s="136"/>
      <c r="AI305" s="136"/>
      <c r="AJ305" s="136"/>
    </row>
    <row r="306" spans="16:36" x14ac:dyDescent="0.2">
      <c r="P306" s="132"/>
      <c r="Q306" s="136"/>
      <c r="R306" s="145"/>
      <c r="S306" s="146"/>
      <c r="AG306" s="179"/>
      <c r="AH306" s="136"/>
      <c r="AI306" s="136"/>
      <c r="AJ306" s="136"/>
    </row>
    <row r="307" spans="16:36" x14ac:dyDescent="0.2">
      <c r="P307" s="132"/>
      <c r="Q307" s="136"/>
      <c r="R307" s="145"/>
      <c r="S307" s="146"/>
      <c r="AG307" s="179"/>
      <c r="AH307" s="136"/>
      <c r="AI307" s="136"/>
      <c r="AJ307" s="136"/>
    </row>
    <row r="308" spans="16:36" x14ac:dyDescent="0.2">
      <c r="P308" s="132"/>
      <c r="Q308" s="136"/>
      <c r="R308" s="145"/>
      <c r="S308" s="146"/>
      <c r="AG308" s="179"/>
      <c r="AH308" s="136"/>
      <c r="AI308" s="136"/>
      <c r="AJ308" s="136"/>
    </row>
    <row r="309" spans="16:36" x14ac:dyDescent="0.2">
      <c r="P309" s="132"/>
      <c r="Q309" s="136"/>
      <c r="R309" s="145"/>
      <c r="S309" s="146"/>
      <c r="AG309" s="179"/>
      <c r="AH309" s="136"/>
      <c r="AI309" s="136"/>
      <c r="AJ309" s="136"/>
    </row>
    <row r="310" spans="16:36" x14ac:dyDescent="0.2">
      <c r="P310" s="132"/>
      <c r="Q310" s="136"/>
      <c r="R310" s="145"/>
      <c r="S310" s="146"/>
      <c r="AG310" s="179"/>
      <c r="AH310" s="136"/>
      <c r="AI310" s="136"/>
      <c r="AJ310" s="136"/>
    </row>
    <row r="311" spans="16:36" x14ac:dyDescent="0.2">
      <c r="P311" s="132"/>
      <c r="Q311" s="136"/>
      <c r="R311" s="145"/>
      <c r="S311" s="146"/>
      <c r="AG311" s="179"/>
      <c r="AH311" s="136"/>
      <c r="AI311" s="136"/>
      <c r="AJ311" s="136"/>
    </row>
    <row r="312" spans="16:36" x14ac:dyDescent="0.2">
      <c r="P312" s="132"/>
      <c r="Q312" s="136"/>
      <c r="R312" s="145"/>
      <c r="S312" s="146"/>
      <c r="AG312" s="179"/>
      <c r="AH312" s="136"/>
      <c r="AI312" s="136"/>
      <c r="AJ312" s="136"/>
    </row>
    <row r="313" spans="16:36" x14ac:dyDescent="0.2">
      <c r="P313" s="132"/>
      <c r="Q313" s="136"/>
      <c r="R313" s="145"/>
      <c r="S313" s="146"/>
      <c r="AG313" s="179"/>
      <c r="AH313" s="136"/>
      <c r="AI313" s="136"/>
      <c r="AJ313" s="136"/>
    </row>
    <row r="314" spans="16:36" x14ac:dyDescent="0.2">
      <c r="P314" s="132"/>
      <c r="Q314" s="136"/>
      <c r="R314" s="145"/>
      <c r="S314" s="146"/>
      <c r="AG314" s="179"/>
      <c r="AH314" s="136"/>
      <c r="AI314" s="136"/>
      <c r="AJ314" s="136"/>
    </row>
    <row r="315" spans="16:36" x14ac:dyDescent="0.2">
      <c r="P315" s="132"/>
      <c r="Q315" s="136"/>
      <c r="R315" s="145"/>
      <c r="S315" s="146"/>
      <c r="AG315" s="179"/>
      <c r="AH315" s="136"/>
      <c r="AI315" s="136"/>
      <c r="AJ315" s="136"/>
    </row>
    <row r="316" spans="16:36" x14ac:dyDescent="0.2">
      <c r="P316" s="132"/>
      <c r="Q316" s="136"/>
      <c r="R316" s="145"/>
      <c r="S316" s="146"/>
      <c r="AG316" s="179"/>
      <c r="AH316" s="136"/>
      <c r="AI316" s="136"/>
      <c r="AJ316" s="136"/>
    </row>
    <row r="317" spans="16:36" x14ac:dyDescent="0.2">
      <c r="P317" s="132"/>
      <c r="Q317" s="136"/>
      <c r="R317" s="145"/>
      <c r="S317" s="146"/>
      <c r="AG317" s="179"/>
      <c r="AH317" s="136"/>
      <c r="AI317" s="136"/>
      <c r="AJ317" s="136"/>
    </row>
    <row r="318" spans="16:36" x14ac:dyDescent="0.2">
      <c r="P318" s="132"/>
      <c r="Q318" s="136"/>
      <c r="R318" s="145"/>
      <c r="S318" s="146"/>
      <c r="AG318" s="179"/>
      <c r="AH318" s="136"/>
      <c r="AI318" s="136"/>
      <c r="AJ318" s="136"/>
    </row>
    <row r="319" spans="16:36" x14ac:dyDescent="0.2">
      <c r="P319" s="132"/>
      <c r="Q319" s="136"/>
      <c r="R319" s="145"/>
      <c r="S319" s="146"/>
      <c r="AG319" s="179"/>
      <c r="AH319" s="136"/>
      <c r="AI319" s="136"/>
      <c r="AJ319" s="136"/>
    </row>
    <row r="320" spans="16:36" x14ac:dyDescent="0.2">
      <c r="P320" s="132"/>
      <c r="Q320" s="136"/>
      <c r="R320" s="145"/>
      <c r="S320" s="146"/>
      <c r="AG320" s="179"/>
      <c r="AH320" s="136"/>
      <c r="AI320" s="136"/>
      <c r="AJ320" s="136"/>
    </row>
    <row r="321" spans="16:36" x14ac:dyDescent="0.2">
      <c r="P321" s="132"/>
      <c r="Q321" s="136"/>
      <c r="R321" s="145"/>
      <c r="S321" s="146"/>
      <c r="AG321" s="179"/>
      <c r="AH321" s="136"/>
      <c r="AI321" s="136"/>
      <c r="AJ321" s="136"/>
    </row>
    <row r="322" spans="16:36" x14ac:dyDescent="0.2">
      <c r="P322" s="132"/>
      <c r="Q322" s="136"/>
      <c r="R322" s="145"/>
      <c r="S322" s="146"/>
      <c r="AG322" s="179"/>
      <c r="AH322" s="136"/>
      <c r="AI322" s="136"/>
      <c r="AJ322" s="136"/>
    </row>
    <row r="323" spans="16:36" x14ac:dyDescent="0.2">
      <c r="P323" s="132"/>
      <c r="Q323" s="136"/>
      <c r="R323" s="145"/>
      <c r="S323" s="146"/>
      <c r="AG323" s="179"/>
      <c r="AH323" s="136"/>
      <c r="AI323" s="136"/>
      <c r="AJ323" s="136"/>
    </row>
    <row r="324" spans="16:36" x14ac:dyDescent="0.2">
      <c r="P324" s="132"/>
      <c r="Q324" s="136"/>
      <c r="R324" s="145"/>
      <c r="S324" s="146"/>
      <c r="AG324" s="179"/>
      <c r="AH324" s="136"/>
      <c r="AI324" s="136"/>
      <c r="AJ324" s="136"/>
    </row>
    <row r="325" spans="16:36" x14ac:dyDescent="0.2">
      <c r="P325" s="132"/>
      <c r="Q325" s="136"/>
      <c r="R325" s="145"/>
      <c r="S325" s="146"/>
      <c r="AG325" s="179"/>
      <c r="AH325" s="136"/>
      <c r="AI325" s="136"/>
      <c r="AJ325" s="136"/>
    </row>
    <row r="326" spans="16:36" x14ac:dyDescent="0.2">
      <c r="P326" s="132"/>
      <c r="Q326" s="136"/>
      <c r="R326" s="145"/>
      <c r="S326" s="146"/>
      <c r="AG326" s="179"/>
      <c r="AH326" s="136"/>
      <c r="AI326" s="136"/>
      <c r="AJ326" s="136"/>
    </row>
    <row r="327" spans="16:36" x14ac:dyDescent="0.2">
      <c r="P327" s="132"/>
      <c r="Q327" s="136"/>
      <c r="R327" s="145"/>
      <c r="S327" s="146"/>
      <c r="AG327" s="179"/>
      <c r="AH327" s="136"/>
      <c r="AI327" s="136"/>
      <c r="AJ327" s="136"/>
    </row>
    <row r="328" spans="16:36" x14ac:dyDescent="0.2">
      <c r="P328" s="132"/>
      <c r="Q328" s="136"/>
      <c r="R328" s="145"/>
      <c r="S328" s="146"/>
      <c r="AG328" s="179"/>
      <c r="AH328" s="136"/>
      <c r="AI328" s="136"/>
      <c r="AJ328" s="136"/>
    </row>
    <row r="329" spans="16:36" x14ac:dyDescent="0.2">
      <c r="P329" s="132"/>
      <c r="Q329" s="136"/>
      <c r="R329" s="145"/>
      <c r="S329" s="146"/>
      <c r="AG329" s="179"/>
      <c r="AH329" s="136"/>
      <c r="AI329" s="136"/>
      <c r="AJ329" s="136"/>
    </row>
    <row r="330" spans="16:36" x14ac:dyDescent="0.2">
      <c r="P330" s="132"/>
      <c r="Q330" s="136"/>
      <c r="R330" s="145"/>
      <c r="S330" s="146"/>
      <c r="AG330" s="179"/>
      <c r="AH330" s="136"/>
      <c r="AI330" s="136"/>
      <c r="AJ330" s="136"/>
    </row>
    <row r="331" spans="16:36" x14ac:dyDescent="0.2">
      <c r="P331" s="132"/>
      <c r="Q331" s="136"/>
      <c r="R331" s="145"/>
      <c r="S331" s="146"/>
      <c r="AG331" s="179"/>
      <c r="AH331" s="136"/>
      <c r="AI331" s="136"/>
      <c r="AJ331" s="136"/>
    </row>
    <row r="332" spans="16:36" x14ac:dyDescent="0.2">
      <c r="P332" s="132"/>
      <c r="Q332" s="136"/>
      <c r="R332" s="145"/>
      <c r="S332" s="146"/>
      <c r="AG332" s="179"/>
      <c r="AH332" s="136"/>
      <c r="AI332" s="136"/>
      <c r="AJ332" s="136"/>
    </row>
    <row r="333" spans="16:36" x14ac:dyDescent="0.2">
      <c r="P333" s="132"/>
      <c r="Q333" s="136"/>
      <c r="R333" s="145"/>
      <c r="S333" s="146"/>
      <c r="AG333" s="179"/>
      <c r="AH333" s="136"/>
      <c r="AI333" s="136"/>
      <c r="AJ333" s="136"/>
    </row>
    <row r="334" spans="16:36" x14ac:dyDescent="0.2">
      <c r="P334" s="132"/>
      <c r="Q334" s="136"/>
      <c r="R334" s="145"/>
      <c r="S334" s="146"/>
      <c r="AG334" s="179"/>
      <c r="AH334" s="136"/>
      <c r="AI334" s="136"/>
      <c r="AJ334" s="136"/>
    </row>
    <row r="335" spans="16:36" x14ac:dyDescent="0.2">
      <c r="P335" s="132"/>
      <c r="Q335" s="136"/>
      <c r="R335" s="145"/>
      <c r="S335" s="146"/>
      <c r="AG335" s="179"/>
      <c r="AH335" s="136"/>
      <c r="AI335" s="136"/>
      <c r="AJ335" s="136"/>
    </row>
    <row r="336" spans="16:36" x14ac:dyDescent="0.2">
      <c r="P336" s="132"/>
      <c r="Q336" s="136"/>
      <c r="R336" s="145"/>
      <c r="S336" s="146"/>
      <c r="AG336" s="179"/>
      <c r="AH336" s="136"/>
      <c r="AI336" s="136"/>
      <c r="AJ336" s="136"/>
    </row>
    <row r="337" spans="16:36" x14ac:dyDescent="0.2">
      <c r="P337" s="132"/>
      <c r="Q337" s="136"/>
      <c r="R337" s="145"/>
      <c r="S337" s="146"/>
      <c r="AG337" s="179"/>
      <c r="AH337" s="136"/>
      <c r="AI337" s="136"/>
      <c r="AJ337" s="136"/>
    </row>
    <row r="338" spans="16:36" x14ac:dyDescent="0.2">
      <c r="P338" s="132"/>
      <c r="Q338" s="136"/>
      <c r="R338" s="145"/>
      <c r="S338" s="146"/>
      <c r="AG338" s="179"/>
      <c r="AH338" s="136"/>
      <c r="AI338" s="136"/>
      <c r="AJ338" s="136"/>
    </row>
    <row r="339" spans="16:36" x14ac:dyDescent="0.2">
      <c r="P339" s="132"/>
      <c r="Q339" s="136"/>
      <c r="R339" s="145"/>
      <c r="S339" s="146"/>
      <c r="AG339" s="179"/>
      <c r="AH339" s="136"/>
      <c r="AI339" s="136"/>
      <c r="AJ339" s="136"/>
    </row>
    <row r="340" spans="16:36" x14ac:dyDescent="0.2">
      <c r="P340" s="132"/>
      <c r="Q340" s="136"/>
      <c r="R340" s="145"/>
      <c r="S340" s="146"/>
      <c r="AG340" s="179"/>
      <c r="AH340" s="136"/>
      <c r="AI340" s="136"/>
      <c r="AJ340" s="136"/>
    </row>
    <row r="341" spans="16:36" x14ac:dyDescent="0.2">
      <c r="P341" s="132"/>
      <c r="Q341" s="136"/>
      <c r="R341" s="145"/>
      <c r="S341" s="146"/>
      <c r="AG341" s="179"/>
      <c r="AH341" s="136"/>
      <c r="AI341" s="136"/>
      <c r="AJ341" s="136"/>
    </row>
    <row r="342" spans="16:36" x14ac:dyDescent="0.2">
      <c r="P342" s="132"/>
      <c r="Q342" s="136"/>
      <c r="R342" s="145"/>
      <c r="S342" s="146"/>
      <c r="AG342" s="179"/>
      <c r="AH342" s="136"/>
      <c r="AI342" s="136"/>
      <c r="AJ342" s="136"/>
    </row>
    <row r="343" spans="16:36" x14ac:dyDescent="0.2">
      <c r="P343" s="132"/>
      <c r="Q343" s="136"/>
      <c r="R343" s="145"/>
      <c r="S343" s="146"/>
      <c r="AG343" s="179"/>
      <c r="AH343" s="136"/>
      <c r="AI343" s="136"/>
      <c r="AJ343" s="136"/>
    </row>
    <row r="344" spans="16:36" x14ac:dyDescent="0.2">
      <c r="P344" s="132"/>
      <c r="Q344" s="136"/>
      <c r="R344" s="145"/>
      <c r="S344" s="146"/>
      <c r="AG344" s="179"/>
      <c r="AH344" s="136"/>
      <c r="AI344" s="136"/>
      <c r="AJ344" s="136"/>
    </row>
    <row r="345" spans="16:36" x14ac:dyDescent="0.2">
      <c r="P345" s="132"/>
      <c r="Q345" s="136"/>
      <c r="R345" s="145"/>
      <c r="S345" s="146"/>
      <c r="AG345" s="179"/>
      <c r="AH345" s="136"/>
      <c r="AI345" s="136"/>
      <c r="AJ345" s="136"/>
    </row>
    <row r="346" spans="16:36" x14ac:dyDescent="0.2">
      <c r="P346" s="132"/>
      <c r="Q346" s="136"/>
      <c r="R346" s="145"/>
      <c r="S346" s="146"/>
      <c r="AG346" s="179"/>
      <c r="AH346" s="136"/>
      <c r="AI346" s="136"/>
      <c r="AJ346" s="136"/>
    </row>
    <row r="347" spans="16:36" x14ac:dyDescent="0.2">
      <c r="P347" s="132"/>
      <c r="Q347" s="136"/>
      <c r="R347" s="145"/>
      <c r="S347" s="146"/>
      <c r="AG347" s="179"/>
      <c r="AH347" s="136"/>
      <c r="AI347" s="136"/>
      <c r="AJ347" s="136"/>
    </row>
    <row r="348" spans="16:36" x14ac:dyDescent="0.2">
      <c r="P348" s="132"/>
      <c r="Q348" s="136"/>
      <c r="R348" s="145"/>
      <c r="S348" s="146"/>
      <c r="AG348" s="179"/>
      <c r="AH348" s="136"/>
      <c r="AI348" s="136"/>
      <c r="AJ348" s="136"/>
    </row>
    <row r="349" spans="16:36" x14ac:dyDescent="0.2">
      <c r="P349" s="132"/>
      <c r="Q349" s="136"/>
      <c r="R349" s="145"/>
      <c r="S349" s="146"/>
      <c r="AG349" s="179"/>
      <c r="AH349" s="136"/>
      <c r="AI349" s="136"/>
      <c r="AJ349" s="136"/>
    </row>
    <row r="350" spans="16:36" x14ac:dyDescent="0.2">
      <c r="P350" s="132"/>
      <c r="Q350" s="136"/>
      <c r="R350" s="145"/>
      <c r="S350" s="146"/>
      <c r="AG350" s="179"/>
      <c r="AH350" s="136"/>
      <c r="AI350" s="136"/>
      <c r="AJ350" s="136"/>
    </row>
    <row r="351" spans="16:36" x14ac:dyDescent="0.2">
      <c r="P351" s="132"/>
      <c r="Q351" s="136"/>
      <c r="R351" s="145"/>
      <c r="S351" s="146"/>
      <c r="AG351" s="179"/>
      <c r="AH351" s="136"/>
      <c r="AI351" s="136"/>
      <c r="AJ351" s="136"/>
    </row>
    <row r="352" spans="16:36" x14ac:dyDescent="0.2">
      <c r="P352" s="132"/>
      <c r="Q352" s="136"/>
      <c r="R352" s="145"/>
      <c r="S352" s="146"/>
      <c r="AG352" s="179"/>
      <c r="AH352" s="136"/>
      <c r="AI352" s="136"/>
      <c r="AJ352" s="136"/>
    </row>
    <row r="353" spans="16:36" x14ac:dyDescent="0.2">
      <c r="P353" s="132"/>
      <c r="Q353" s="136"/>
      <c r="R353" s="145"/>
      <c r="S353" s="146"/>
      <c r="AG353" s="179"/>
      <c r="AH353" s="136"/>
      <c r="AI353" s="136"/>
      <c r="AJ353" s="136"/>
    </row>
    <row r="354" spans="16:36" x14ac:dyDescent="0.2">
      <c r="P354" s="132"/>
      <c r="Q354" s="136"/>
      <c r="R354" s="145"/>
      <c r="S354" s="146"/>
      <c r="AG354" s="179"/>
      <c r="AH354" s="136"/>
      <c r="AI354" s="136"/>
      <c r="AJ354" s="136"/>
    </row>
    <row r="355" spans="16:36" x14ac:dyDescent="0.2">
      <c r="P355" s="132"/>
      <c r="Q355" s="136"/>
      <c r="R355" s="145"/>
      <c r="S355" s="146"/>
      <c r="AG355" s="179"/>
      <c r="AH355" s="136"/>
      <c r="AI355" s="136"/>
      <c r="AJ355" s="136"/>
    </row>
    <row r="356" spans="16:36" x14ac:dyDescent="0.2">
      <c r="P356" s="132"/>
      <c r="Q356" s="136"/>
      <c r="R356" s="145"/>
      <c r="S356" s="146"/>
      <c r="AG356" s="179"/>
      <c r="AH356" s="136"/>
      <c r="AI356" s="136"/>
      <c r="AJ356" s="136"/>
    </row>
    <row r="357" spans="16:36" x14ac:dyDescent="0.2">
      <c r="P357" s="132"/>
      <c r="Q357" s="136"/>
      <c r="R357" s="145"/>
      <c r="S357" s="146"/>
      <c r="AG357" s="179"/>
      <c r="AH357" s="136"/>
      <c r="AI357" s="136"/>
      <c r="AJ357" s="136"/>
    </row>
    <row r="358" spans="16:36" x14ac:dyDescent="0.2">
      <c r="P358" s="132"/>
      <c r="Q358" s="136"/>
      <c r="R358" s="145"/>
      <c r="S358" s="146"/>
      <c r="AG358" s="179"/>
      <c r="AH358" s="136"/>
      <c r="AI358" s="136"/>
      <c r="AJ358" s="136"/>
    </row>
    <row r="359" spans="16:36" x14ac:dyDescent="0.2">
      <c r="P359" s="132"/>
      <c r="Q359" s="136"/>
      <c r="R359" s="145"/>
      <c r="S359" s="146"/>
      <c r="AG359" s="179"/>
      <c r="AH359" s="136"/>
      <c r="AI359" s="136"/>
      <c r="AJ359" s="136"/>
    </row>
    <row r="360" spans="16:36" x14ac:dyDescent="0.2">
      <c r="P360" s="132"/>
      <c r="Q360" s="136"/>
      <c r="R360" s="145"/>
      <c r="S360" s="146"/>
      <c r="AG360" s="179"/>
      <c r="AH360" s="136"/>
      <c r="AI360" s="136"/>
      <c r="AJ360" s="136"/>
    </row>
    <row r="361" spans="16:36" x14ac:dyDescent="0.2">
      <c r="P361" s="132"/>
      <c r="Q361" s="136"/>
      <c r="R361" s="145"/>
      <c r="S361" s="146"/>
      <c r="AG361" s="179"/>
      <c r="AH361" s="136"/>
      <c r="AI361" s="136"/>
      <c r="AJ361" s="136"/>
    </row>
    <row r="362" spans="16:36" x14ac:dyDescent="0.2">
      <c r="P362" s="132"/>
      <c r="Q362" s="136"/>
      <c r="R362" s="145"/>
      <c r="S362" s="146"/>
      <c r="AG362" s="179"/>
      <c r="AH362" s="136"/>
      <c r="AI362" s="136"/>
      <c r="AJ362" s="136"/>
    </row>
    <row r="363" spans="16:36" x14ac:dyDescent="0.2">
      <c r="P363" s="132"/>
      <c r="Q363" s="136"/>
      <c r="R363" s="145"/>
      <c r="S363" s="146"/>
      <c r="AG363" s="179"/>
      <c r="AH363" s="136"/>
      <c r="AI363" s="136"/>
      <c r="AJ363" s="136"/>
    </row>
    <row r="364" spans="16:36" x14ac:dyDescent="0.2">
      <c r="P364" s="132"/>
      <c r="Q364" s="136"/>
      <c r="R364" s="145"/>
      <c r="S364" s="146"/>
      <c r="AG364" s="179"/>
      <c r="AH364" s="136"/>
      <c r="AI364" s="136"/>
      <c r="AJ364" s="136"/>
    </row>
    <row r="365" spans="16:36" x14ac:dyDescent="0.2">
      <c r="P365" s="132"/>
      <c r="Q365" s="136"/>
      <c r="R365" s="145"/>
      <c r="S365" s="146"/>
      <c r="AG365" s="179"/>
      <c r="AH365" s="136"/>
      <c r="AI365" s="136"/>
      <c r="AJ365" s="136"/>
    </row>
    <row r="366" spans="16:36" x14ac:dyDescent="0.2">
      <c r="P366" s="132"/>
      <c r="Q366" s="136"/>
      <c r="R366" s="145"/>
      <c r="S366" s="146"/>
      <c r="AG366" s="179"/>
      <c r="AH366" s="136"/>
      <c r="AI366" s="136"/>
      <c r="AJ366" s="136"/>
    </row>
    <row r="367" spans="16:36" x14ac:dyDescent="0.2">
      <c r="P367" s="132"/>
      <c r="Q367" s="136"/>
      <c r="R367" s="145"/>
      <c r="S367" s="146"/>
      <c r="AG367" s="179"/>
      <c r="AH367" s="136"/>
      <c r="AI367" s="136"/>
      <c r="AJ367" s="136"/>
    </row>
    <row r="368" spans="16:36" x14ac:dyDescent="0.2">
      <c r="P368" s="132"/>
      <c r="Q368" s="136"/>
      <c r="R368" s="145"/>
      <c r="S368" s="146"/>
      <c r="AG368" s="179"/>
      <c r="AH368" s="136"/>
      <c r="AI368" s="136"/>
      <c r="AJ368" s="136"/>
    </row>
    <row r="369" spans="16:36" x14ac:dyDescent="0.2">
      <c r="P369" s="132"/>
      <c r="Q369" s="136"/>
      <c r="R369" s="145"/>
      <c r="S369" s="146"/>
      <c r="AG369" s="179"/>
      <c r="AH369" s="136"/>
      <c r="AI369" s="136"/>
      <c r="AJ369" s="136"/>
    </row>
    <row r="370" spans="16:36" x14ac:dyDescent="0.2">
      <c r="P370" s="132"/>
      <c r="Q370" s="136"/>
      <c r="R370" s="145"/>
      <c r="S370" s="146"/>
      <c r="AG370" s="179"/>
      <c r="AH370" s="136"/>
      <c r="AI370" s="136"/>
      <c r="AJ370" s="136"/>
    </row>
    <row r="371" spans="16:36" x14ac:dyDescent="0.2">
      <c r="P371" s="132"/>
      <c r="Q371" s="136"/>
      <c r="R371" s="145"/>
      <c r="S371" s="146"/>
      <c r="AG371" s="179"/>
      <c r="AH371" s="136"/>
      <c r="AI371" s="136"/>
      <c r="AJ371" s="136"/>
    </row>
    <row r="372" spans="16:36" x14ac:dyDescent="0.2">
      <c r="P372" s="132"/>
      <c r="Q372" s="136"/>
      <c r="R372" s="145"/>
      <c r="S372" s="146"/>
      <c r="AG372" s="179"/>
      <c r="AH372" s="136"/>
      <c r="AI372" s="136"/>
      <c r="AJ372" s="136"/>
    </row>
    <row r="373" spans="16:36" x14ac:dyDescent="0.2">
      <c r="P373" s="132"/>
      <c r="Q373" s="136"/>
      <c r="R373" s="145"/>
      <c r="S373" s="146"/>
      <c r="AG373" s="179"/>
      <c r="AH373" s="136"/>
      <c r="AI373" s="136"/>
      <c r="AJ373" s="136"/>
    </row>
    <row r="374" spans="16:36" x14ac:dyDescent="0.2">
      <c r="P374" s="132"/>
      <c r="Q374" s="136"/>
      <c r="R374" s="145"/>
      <c r="S374" s="146"/>
      <c r="AG374" s="179"/>
      <c r="AH374" s="136"/>
      <c r="AI374" s="136"/>
      <c r="AJ374" s="136"/>
    </row>
    <row r="375" spans="16:36" x14ac:dyDescent="0.2">
      <c r="P375" s="132"/>
      <c r="Q375" s="136"/>
      <c r="R375" s="145"/>
      <c r="S375" s="146"/>
      <c r="AG375" s="179"/>
      <c r="AH375" s="136"/>
      <c r="AI375" s="136"/>
      <c r="AJ375" s="136"/>
    </row>
    <row r="376" spans="16:36" x14ac:dyDescent="0.2">
      <c r="P376" s="132"/>
      <c r="Q376" s="136"/>
      <c r="R376" s="145"/>
      <c r="S376" s="146"/>
      <c r="AG376" s="179"/>
      <c r="AH376" s="136"/>
      <c r="AI376" s="136"/>
      <c r="AJ376" s="136"/>
    </row>
    <row r="377" spans="16:36" x14ac:dyDescent="0.2">
      <c r="P377" s="132"/>
      <c r="Q377" s="136"/>
      <c r="R377" s="145"/>
      <c r="S377" s="146"/>
      <c r="AG377" s="179"/>
      <c r="AH377" s="136"/>
      <c r="AI377" s="136"/>
      <c r="AJ377" s="136"/>
    </row>
    <row r="378" spans="16:36" x14ac:dyDescent="0.2">
      <c r="P378" s="132"/>
      <c r="Q378" s="136"/>
      <c r="R378" s="145"/>
      <c r="S378" s="146"/>
      <c r="AG378" s="179"/>
      <c r="AH378" s="136"/>
      <c r="AI378" s="136"/>
      <c r="AJ378" s="136"/>
    </row>
    <row r="379" spans="16:36" x14ac:dyDescent="0.2">
      <c r="P379" s="132"/>
      <c r="Q379" s="136"/>
      <c r="R379" s="145"/>
      <c r="S379" s="146"/>
      <c r="AG379" s="179"/>
      <c r="AH379" s="136"/>
      <c r="AI379" s="136"/>
      <c r="AJ379" s="136"/>
    </row>
    <row r="380" spans="16:36" x14ac:dyDescent="0.2">
      <c r="P380" s="132"/>
      <c r="Q380" s="136"/>
      <c r="R380" s="145"/>
      <c r="S380" s="146"/>
      <c r="AG380" s="179"/>
      <c r="AH380" s="136"/>
      <c r="AI380" s="136"/>
      <c r="AJ380" s="136"/>
    </row>
    <row r="381" spans="16:36" x14ac:dyDescent="0.2">
      <c r="P381" s="132"/>
      <c r="Q381" s="136"/>
      <c r="R381" s="145"/>
      <c r="S381" s="146"/>
      <c r="AG381" s="179"/>
      <c r="AH381" s="136"/>
      <c r="AI381" s="136"/>
      <c r="AJ381" s="136"/>
    </row>
    <row r="382" spans="16:36" x14ac:dyDescent="0.2">
      <c r="P382" s="132"/>
      <c r="Q382" s="136"/>
      <c r="R382" s="145"/>
      <c r="S382" s="146"/>
      <c r="AG382" s="179"/>
      <c r="AH382" s="136"/>
      <c r="AI382" s="136"/>
      <c r="AJ382" s="136"/>
    </row>
    <row r="383" spans="16:36" x14ac:dyDescent="0.2">
      <c r="P383" s="132"/>
      <c r="Q383" s="136"/>
      <c r="R383" s="145"/>
      <c r="S383" s="146"/>
      <c r="AG383" s="179"/>
      <c r="AH383" s="136"/>
      <c r="AI383" s="136"/>
      <c r="AJ383" s="136"/>
    </row>
    <row r="384" spans="16:36" x14ac:dyDescent="0.2">
      <c r="P384" s="132"/>
      <c r="Q384" s="136"/>
      <c r="R384" s="145"/>
      <c r="S384" s="146"/>
      <c r="AG384" s="179"/>
      <c r="AH384" s="136"/>
      <c r="AI384" s="136"/>
      <c r="AJ384" s="136"/>
    </row>
    <row r="385" spans="16:36" x14ac:dyDescent="0.2">
      <c r="P385" s="132"/>
      <c r="Q385" s="136"/>
      <c r="R385" s="145"/>
      <c r="S385" s="146"/>
      <c r="AG385" s="179"/>
      <c r="AH385" s="136"/>
      <c r="AI385" s="136"/>
      <c r="AJ385" s="136"/>
    </row>
    <row r="386" spans="16:36" x14ac:dyDescent="0.2">
      <c r="P386" s="132"/>
      <c r="Q386" s="136"/>
      <c r="R386" s="145"/>
      <c r="S386" s="146"/>
      <c r="AG386" s="179"/>
      <c r="AH386" s="136"/>
      <c r="AI386" s="136"/>
      <c r="AJ386" s="136"/>
    </row>
    <row r="387" spans="16:36" x14ac:dyDescent="0.2">
      <c r="P387" s="132"/>
      <c r="Q387" s="136"/>
      <c r="R387" s="145"/>
      <c r="S387" s="146"/>
      <c r="AG387" s="179"/>
      <c r="AH387" s="136"/>
      <c r="AI387" s="136"/>
      <c r="AJ387" s="136"/>
    </row>
    <row r="388" spans="16:36" x14ac:dyDescent="0.2">
      <c r="P388" s="132"/>
      <c r="Q388" s="136"/>
      <c r="R388" s="145"/>
      <c r="S388" s="146"/>
      <c r="AG388" s="179"/>
      <c r="AH388" s="136"/>
      <c r="AI388" s="136"/>
      <c r="AJ388" s="136"/>
    </row>
    <row r="389" spans="16:36" x14ac:dyDescent="0.2">
      <c r="P389" s="132"/>
      <c r="Q389" s="136"/>
      <c r="R389" s="145"/>
      <c r="S389" s="146"/>
      <c r="AG389" s="179"/>
      <c r="AH389" s="136"/>
      <c r="AI389" s="136"/>
      <c r="AJ389" s="136"/>
    </row>
    <row r="390" spans="16:36" x14ac:dyDescent="0.2">
      <c r="P390" s="132"/>
      <c r="Q390" s="136"/>
      <c r="R390" s="145"/>
      <c r="S390" s="146"/>
      <c r="AG390" s="179"/>
      <c r="AH390" s="136"/>
      <c r="AI390" s="136"/>
      <c r="AJ390" s="136"/>
    </row>
    <row r="391" spans="16:36" x14ac:dyDescent="0.2">
      <c r="P391" s="132"/>
      <c r="Q391" s="136"/>
      <c r="R391" s="145"/>
      <c r="S391" s="146"/>
      <c r="AG391" s="179"/>
      <c r="AH391" s="136"/>
      <c r="AI391" s="136"/>
      <c r="AJ391" s="136"/>
    </row>
    <row r="392" spans="16:36" x14ac:dyDescent="0.2">
      <c r="P392" s="132"/>
      <c r="Q392" s="136"/>
      <c r="R392" s="145"/>
      <c r="S392" s="146"/>
      <c r="AG392" s="179"/>
      <c r="AH392" s="136"/>
      <c r="AI392" s="136"/>
      <c r="AJ392" s="136"/>
    </row>
    <row r="393" spans="16:36" x14ac:dyDescent="0.2">
      <c r="P393" s="132"/>
      <c r="Q393" s="136"/>
      <c r="R393" s="145"/>
      <c r="S393" s="146"/>
      <c r="AG393" s="179"/>
      <c r="AH393" s="136"/>
      <c r="AI393" s="136"/>
      <c r="AJ393" s="136"/>
    </row>
    <row r="394" spans="16:36" x14ac:dyDescent="0.2">
      <c r="P394" s="132"/>
      <c r="Q394" s="136"/>
      <c r="R394" s="145"/>
      <c r="S394" s="146"/>
      <c r="AG394" s="179"/>
      <c r="AH394" s="136"/>
      <c r="AI394" s="136"/>
      <c r="AJ394" s="136"/>
    </row>
    <row r="395" spans="16:36" x14ac:dyDescent="0.2">
      <c r="P395" s="132"/>
      <c r="Q395" s="136"/>
      <c r="R395" s="145"/>
      <c r="S395" s="146"/>
      <c r="AG395" s="179"/>
      <c r="AH395" s="136"/>
      <c r="AI395" s="136"/>
      <c r="AJ395" s="136"/>
    </row>
    <row r="396" spans="16:36" x14ac:dyDescent="0.2">
      <c r="P396" s="132"/>
      <c r="Q396" s="136"/>
      <c r="R396" s="145"/>
      <c r="S396" s="146"/>
      <c r="AG396" s="179"/>
      <c r="AH396" s="136"/>
      <c r="AI396" s="136"/>
      <c r="AJ396" s="136"/>
    </row>
    <row r="397" spans="16:36" x14ac:dyDescent="0.2">
      <c r="P397" s="132"/>
      <c r="Q397" s="136"/>
      <c r="R397" s="145"/>
      <c r="S397" s="146"/>
      <c r="AG397" s="179"/>
      <c r="AH397" s="136"/>
      <c r="AI397" s="136"/>
      <c r="AJ397" s="136"/>
    </row>
    <row r="398" spans="16:36" x14ac:dyDescent="0.2">
      <c r="P398" s="132"/>
      <c r="Q398" s="136"/>
      <c r="R398" s="145"/>
      <c r="S398" s="146"/>
      <c r="AG398" s="179"/>
      <c r="AH398" s="136"/>
      <c r="AI398" s="136"/>
      <c r="AJ398" s="136"/>
    </row>
    <row r="399" spans="16:36" x14ac:dyDescent="0.2">
      <c r="P399" s="132"/>
      <c r="Q399" s="136"/>
      <c r="R399" s="145"/>
      <c r="S399" s="146"/>
      <c r="AG399" s="179"/>
      <c r="AH399" s="136"/>
      <c r="AI399" s="136"/>
      <c r="AJ399" s="136"/>
    </row>
    <row r="400" spans="16:36" x14ac:dyDescent="0.2">
      <c r="P400" s="132"/>
      <c r="Q400" s="136"/>
      <c r="R400" s="145"/>
      <c r="S400" s="146"/>
      <c r="AG400" s="179"/>
      <c r="AH400" s="136"/>
      <c r="AI400" s="136"/>
      <c r="AJ400" s="136"/>
    </row>
    <row r="401" spans="16:36" x14ac:dyDescent="0.2">
      <c r="P401" s="132"/>
      <c r="Q401" s="136"/>
      <c r="R401" s="145"/>
      <c r="S401" s="146"/>
      <c r="AG401" s="179"/>
      <c r="AH401" s="136"/>
      <c r="AI401" s="136"/>
      <c r="AJ401" s="136"/>
    </row>
    <row r="402" spans="16:36" x14ac:dyDescent="0.2">
      <c r="P402" s="132"/>
      <c r="Q402" s="136"/>
      <c r="R402" s="145"/>
      <c r="S402" s="146"/>
      <c r="AG402" s="179"/>
      <c r="AH402" s="136"/>
      <c r="AI402" s="136"/>
      <c r="AJ402" s="136"/>
    </row>
    <row r="403" spans="16:36" x14ac:dyDescent="0.2">
      <c r="P403" s="132"/>
      <c r="Q403" s="136"/>
      <c r="R403" s="145"/>
      <c r="S403" s="146"/>
      <c r="AG403" s="179"/>
      <c r="AH403" s="136"/>
      <c r="AI403" s="136"/>
      <c r="AJ403" s="136"/>
    </row>
    <row r="404" spans="16:36" x14ac:dyDescent="0.2">
      <c r="P404" s="132"/>
      <c r="Q404" s="136"/>
      <c r="R404" s="145"/>
      <c r="S404" s="146"/>
      <c r="AG404" s="179"/>
      <c r="AH404" s="136"/>
      <c r="AI404" s="136"/>
      <c r="AJ404" s="136"/>
    </row>
    <row r="405" spans="16:36" x14ac:dyDescent="0.2">
      <c r="P405" s="132"/>
      <c r="Q405" s="136"/>
      <c r="R405" s="145"/>
      <c r="S405" s="146"/>
      <c r="AG405" s="179"/>
      <c r="AH405" s="136"/>
      <c r="AI405" s="136"/>
      <c r="AJ405" s="136"/>
    </row>
    <row r="406" spans="16:36" x14ac:dyDescent="0.2">
      <c r="P406" s="132"/>
      <c r="Q406" s="136"/>
      <c r="R406" s="145"/>
      <c r="S406" s="146"/>
      <c r="AG406" s="179"/>
      <c r="AH406" s="136"/>
      <c r="AI406" s="136"/>
      <c r="AJ406" s="136"/>
    </row>
    <row r="407" spans="16:36" x14ac:dyDescent="0.2">
      <c r="P407" s="132"/>
      <c r="Q407" s="136"/>
      <c r="R407" s="145"/>
      <c r="S407" s="146"/>
      <c r="AG407" s="179"/>
      <c r="AH407" s="136"/>
      <c r="AI407" s="136"/>
      <c r="AJ407" s="136"/>
    </row>
    <row r="408" spans="16:36" x14ac:dyDescent="0.2">
      <c r="P408" s="132"/>
      <c r="Q408" s="136"/>
      <c r="R408" s="145"/>
      <c r="S408" s="146"/>
      <c r="AG408" s="179"/>
      <c r="AH408" s="136"/>
      <c r="AI408" s="136"/>
      <c r="AJ408" s="136"/>
    </row>
    <row r="409" spans="16:36" x14ac:dyDescent="0.2">
      <c r="P409" s="132"/>
      <c r="Q409" s="136"/>
      <c r="R409" s="145"/>
      <c r="S409" s="146"/>
      <c r="AG409" s="179"/>
      <c r="AH409" s="136"/>
      <c r="AI409" s="136"/>
      <c r="AJ409" s="136"/>
    </row>
    <row r="410" spans="16:36" x14ac:dyDescent="0.2">
      <c r="P410" s="132"/>
      <c r="Q410" s="136"/>
      <c r="R410" s="145"/>
      <c r="S410" s="146"/>
      <c r="AG410" s="179"/>
      <c r="AH410" s="136"/>
      <c r="AI410" s="136"/>
      <c r="AJ410" s="136"/>
    </row>
    <row r="411" spans="16:36" x14ac:dyDescent="0.2">
      <c r="P411" s="132"/>
      <c r="Q411" s="136"/>
      <c r="R411" s="145"/>
      <c r="S411" s="146"/>
      <c r="AG411" s="179"/>
      <c r="AH411" s="136"/>
      <c r="AI411" s="136"/>
      <c r="AJ411" s="136"/>
    </row>
    <row r="412" spans="16:36" x14ac:dyDescent="0.2">
      <c r="P412" s="132"/>
      <c r="Q412" s="136"/>
      <c r="R412" s="145"/>
      <c r="S412" s="146"/>
      <c r="AG412" s="179"/>
      <c r="AH412" s="136"/>
      <c r="AI412" s="136"/>
      <c r="AJ412" s="136"/>
    </row>
    <row r="413" spans="16:36" x14ac:dyDescent="0.2">
      <c r="P413" s="132"/>
      <c r="Q413" s="136"/>
      <c r="R413" s="145"/>
      <c r="S413" s="146"/>
      <c r="AG413" s="179"/>
      <c r="AH413" s="136"/>
      <c r="AI413" s="136"/>
      <c r="AJ413" s="136"/>
    </row>
    <row r="414" spans="16:36" x14ac:dyDescent="0.2">
      <c r="P414" s="132"/>
      <c r="Q414" s="136"/>
      <c r="R414" s="145"/>
      <c r="S414" s="146"/>
      <c r="AG414" s="179"/>
      <c r="AH414" s="136"/>
      <c r="AI414" s="136"/>
      <c r="AJ414" s="136"/>
    </row>
    <row r="415" spans="16:36" x14ac:dyDescent="0.2">
      <c r="P415" s="132"/>
      <c r="Q415" s="136"/>
      <c r="R415" s="145"/>
      <c r="S415" s="146"/>
      <c r="AG415" s="179"/>
      <c r="AH415" s="136"/>
      <c r="AI415" s="136"/>
      <c r="AJ415" s="136"/>
    </row>
    <row r="416" spans="16:36" x14ac:dyDescent="0.2">
      <c r="P416" s="132"/>
      <c r="Q416" s="136"/>
      <c r="R416" s="145"/>
      <c r="S416" s="146"/>
      <c r="AG416" s="179"/>
      <c r="AH416" s="136"/>
      <c r="AI416" s="136"/>
      <c r="AJ416" s="136"/>
    </row>
    <row r="417" spans="16:36" x14ac:dyDescent="0.2">
      <c r="P417" s="132"/>
      <c r="Q417" s="136"/>
      <c r="R417" s="145"/>
      <c r="S417" s="146"/>
      <c r="AG417" s="179"/>
      <c r="AH417" s="136"/>
      <c r="AI417" s="136"/>
      <c r="AJ417" s="136"/>
    </row>
    <row r="418" spans="16:36" x14ac:dyDescent="0.2">
      <c r="P418" s="132"/>
      <c r="Q418" s="136"/>
      <c r="R418" s="145"/>
      <c r="S418" s="146"/>
      <c r="AG418" s="179"/>
      <c r="AH418" s="136"/>
      <c r="AI418" s="136"/>
      <c r="AJ418" s="136"/>
    </row>
    <row r="419" spans="16:36" x14ac:dyDescent="0.2">
      <c r="P419" s="132"/>
      <c r="Q419" s="136"/>
      <c r="R419" s="145"/>
      <c r="S419" s="146"/>
      <c r="AG419" s="179"/>
      <c r="AH419" s="136"/>
      <c r="AI419" s="136"/>
      <c r="AJ419" s="136"/>
    </row>
    <row r="420" spans="16:36" x14ac:dyDescent="0.2">
      <c r="P420" s="132"/>
      <c r="Q420" s="136"/>
      <c r="R420" s="145"/>
      <c r="S420" s="146"/>
      <c r="AG420" s="179"/>
      <c r="AH420" s="136"/>
      <c r="AI420" s="136"/>
      <c r="AJ420" s="136"/>
    </row>
    <row r="421" spans="16:36" x14ac:dyDescent="0.2">
      <c r="P421" s="132"/>
      <c r="Q421" s="136"/>
      <c r="R421" s="145"/>
      <c r="S421" s="146"/>
      <c r="AG421" s="179"/>
      <c r="AH421" s="136"/>
      <c r="AI421" s="136"/>
      <c r="AJ421" s="136"/>
    </row>
    <row r="422" spans="16:36" x14ac:dyDescent="0.2">
      <c r="P422" s="132"/>
      <c r="Q422" s="136"/>
      <c r="R422" s="145"/>
      <c r="S422" s="146"/>
      <c r="AG422" s="179"/>
      <c r="AH422" s="136"/>
      <c r="AI422" s="136"/>
      <c r="AJ422" s="136"/>
    </row>
    <row r="423" spans="16:36" x14ac:dyDescent="0.2">
      <c r="P423" s="132"/>
      <c r="Q423" s="136"/>
      <c r="R423" s="145"/>
      <c r="S423" s="146"/>
      <c r="AG423" s="179"/>
      <c r="AH423" s="136"/>
      <c r="AI423" s="136"/>
      <c r="AJ423" s="136"/>
    </row>
    <row r="424" spans="16:36" x14ac:dyDescent="0.2">
      <c r="P424" s="132"/>
      <c r="Q424" s="136"/>
      <c r="R424" s="145"/>
      <c r="S424" s="146"/>
      <c r="AG424" s="179"/>
      <c r="AH424" s="136"/>
      <c r="AI424" s="136"/>
      <c r="AJ424" s="136"/>
    </row>
    <row r="425" spans="16:36" x14ac:dyDescent="0.2">
      <c r="P425" s="132"/>
      <c r="Q425" s="136"/>
      <c r="R425" s="145"/>
      <c r="S425" s="146"/>
      <c r="AG425" s="179"/>
      <c r="AH425" s="136"/>
      <c r="AI425" s="136"/>
      <c r="AJ425" s="136"/>
    </row>
    <row r="426" spans="16:36" x14ac:dyDescent="0.2">
      <c r="P426" s="132"/>
      <c r="Q426" s="136"/>
      <c r="R426" s="145"/>
      <c r="S426" s="146"/>
      <c r="AG426" s="179"/>
      <c r="AH426" s="136"/>
      <c r="AI426" s="136"/>
      <c r="AJ426" s="136"/>
    </row>
    <row r="427" spans="16:36" x14ac:dyDescent="0.2">
      <c r="P427" s="132"/>
      <c r="Q427" s="136"/>
      <c r="R427" s="145"/>
      <c r="S427" s="146"/>
      <c r="AG427" s="179"/>
      <c r="AH427" s="136"/>
      <c r="AI427" s="136"/>
      <c r="AJ427" s="136"/>
    </row>
    <row r="428" spans="16:36" x14ac:dyDescent="0.2">
      <c r="P428" s="132"/>
      <c r="Q428" s="136"/>
      <c r="R428" s="145"/>
      <c r="S428" s="146"/>
      <c r="AG428" s="179"/>
      <c r="AH428" s="136"/>
      <c r="AI428" s="136"/>
      <c r="AJ428" s="136"/>
    </row>
    <row r="429" spans="16:36" x14ac:dyDescent="0.2">
      <c r="P429" s="132"/>
      <c r="Q429" s="136"/>
      <c r="R429" s="145"/>
      <c r="S429" s="146"/>
      <c r="AG429" s="179"/>
      <c r="AH429" s="136"/>
      <c r="AI429" s="136"/>
      <c r="AJ429" s="136"/>
    </row>
    <row r="430" spans="16:36" x14ac:dyDescent="0.2">
      <c r="P430" s="132"/>
      <c r="Q430" s="136"/>
      <c r="R430" s="145"/>
      <c r="S430" s="146"/>
      <c r="AG430" s="179"/>
      <c r="AH430" s="136"/>
      <c r="AI430" s="136"/>
      <c r="AJ430" s="136"/>
    </row>
    <row r="431" spans="16:36" x14ac:dyDescent="0.2">
      <c r="P431" s="132"/>
      <c r="Q431" s="136"/>
      <c r="R431" s="145"/>
      <c r="S431" s="146"/>
      <c r="AG431" s="179"/>
      <c r="AH431" s="136"/>
      <c r="AI431" s="136"/>
      <c r="AJ431" s="136"/>
    </row>
    <row r="432" spans="16:36" x14ac:dyDescent="0.2">
      <c r="P432" s="132"/>
      <c r="Q432" s="136"/>
      <c r="R432" s="145"/>
      <c r="S432" s="146"/>
      <c r="AG432" s="179"/>
      <c r="AH432" s="136"/>
      <c r="AI432" s="136"/>
      <c r="AJ432" s="136"/>
    </row>
    <row r="433" spans="16:36" x14ac:dyDescent="0.2">
      <c r="P433" s="132"/>
      <c r="Q433" s="136"/>
      <c r="R433" s="145"/>
      <c r="S433" s="146"/>
      <c r="AG433" s="179"/>
      <c r="AH433" s="136"/>
      <c r="AI433" s="136"/>
      <c r="AJ433" s="136"/>
    </row>
    <row r="434" spans="16:36" x14ac:dyDescent="0.2">
      <c r="P434" s="132"/>
      <c r="Q434" s="136"/>
      <c r="R434" s="145"/>
      <c r="S434" s="146"/>
      <c r="AG434" s="179"/>
      <c r="AH434" s="136"/>
      <c r="AI434" s="136"/>
      <c r="AJ434" s="136"/>
    </row>
    <row r="435" spans="16:36" x14ac:dyDescent="0.2">
      <c r="P435" s="132"/>
      <c r="Q435" s="136"/>
      <c r="R435" s="145"/>
      <c r="S435" s="146"/>
      <c r="AG435" s="179"/>
      <c r="AH435" s="136"/>
      <c r="AI435" s="136"/>
      <c r="AJ435" s="136"/>
    </row>
    <row r="436" spans="16:36" x14ac:dyDescent="0.2">
      <c r="P436" s="132"/>
      <c r="Q436" s="136"/>
      <c r="R436" s="145"/>
      <c r="S436" s="146"/>
      <c r="AG436" s="179"/>
      <c r="AH436" s="136"/>
      <c r="AI436" s="136"/>
      <c r="AJ436" s="136"/>
    </row>
    <row r="437" spans="16:36" x14ac:dyDescent="0.2">
      <c r="P437" s="132"/>
      <c r="Q437" s="136"/>
      <c r="R437" s="145"/>
      <c r="S437" s="146"/>
      <c r="AG437" s="179"/>
      <c r="AH437" s="136"/>
      <c r="AI437" s="136"/>
      <c r="AJ437" s="136"/>
    </row>
    <row r="438" spans="16:36" x14ac:dyDescent="0.2">
      <c r="P438" s="132"/>
      <c r="Q438" s="136"/>
      <c r="R438" s="145"/>
      <c r="S438" s="146"/>
      <c r="AG438" s="179"/>
      <c r="AH438" s="136"/>
      <c r="AI438" s="136"/>
      <c r="AJ438" s="136"/>
    </row>
    <row r="439" spans="16:36" x14ac:dyDescent="0.2">
      <c r="P439" s="132"/>
      <c r="Q439" s="136"/>
      <c r="R439" s="145"/>
      <c r="S439" s="146"/>
      <c r="AG439" s="179"/>
      <c r="AH439" s="136"/>
      <c r="AI439" s="136"/>
      <c r="AJ439" s="136"/>
    </row>
    <row r="440" spans="16:36" x14ac:dyDescent="0.2">
      <c r="P440" s="132"/>
      <c r="Q440" s="136"/>
      <c r="R440" s="145"/>
      <c r="S440" s="146"/>
      <c r="AG440" s="179"/>
      <c r="AH440" s="136"/>
      <c r="AI440" s="136"/>
      <c r="AJ440" s="136"/>
    </row>
    <row r="441" spans="16:36" x14ac:dyDescent="0.2">
      <c r="P441" s="132"/>
      <c r="Q441" s="136"/>
      <c r="R441" s="145"/>
      <c r="S441" s="146"/>
      <c r="AG441" s="179"/>
      <c r="AH441" s="136"/>
      <c r="AI441" s="136"/>
      <c r="AJ441" s="136"/>
    </row>
    <row r="442" spans="16:36" x14ac:dyDescent="0.2">
      <c r="P442" s="132"/>
      <c r="Q442" s="136"/>
      <c r="R442" s="145"/>
      <c r="S442" s="146"/>
      <c r="AG442" s="179"/>
      <c r="AH442" s="136"/>
      <c r="AI442" s="136"/>
      <c r="AJ442" s="136"/>
    </row>
    <row r="443" spans="16:36" x14ac:dyDescent="0.2">
      <c r="P443" s="132"/>
      <c r="Q443" s="136"/>
      <c r="R443" s="145"/>
      <c r="S443" s="146"/>
      <c r="AG443" s="179"/>
      <c r="AH443" s="136"/>
      <c r="AI443" s="136"/>
      <c r="AJ443" s="136"/>
    </row>
    <row r="444" spans="16:36" x14ac:dyDescent="0.2">
      <c r="P444" s="132"/>
      <c r="Q444" s="136"/>
      <c r="R444" s="145"/>
      <c r="S444" s="146"/>
      <c r="AG444" s="179"/>
      <c r="AH444" s="136"/>
      <c r="AI444" s="136"/>
      <c r="AJ444" s="136"/>
    </row>
    <row r="445" spans="16:36" x14ac:dyDescent="0.2">
      <c r="P445" s="132"/>
      <c r="Q445" s="136"/>
      <c r="R445" s="145"/>
      <c r="S445" s="146"/>
      <c r="AG445" s="179"/>
      <c r="AH445" s="136"/>
      <c r="AI445" s="136"/>
      <c r="AJ445" s="136"/>
    </row>
    <row r="446" spans="16:36" x14ac:dyDescent="0.2">
      <c r="P446" s="132"/>
      <c r="Q446" s="136"/>
      <c r="R446" s="145"/>
      <c r="S446" s="146"/>
      <c r="AG446" s="179"/>
      <c r="AH446" s="136"/>
      <c r="AI446" s="136"/>
      <c r="AJ446" s="136"/>
    </row>
    <row r="447" spans="16:36" x14ac:dyDescent="0.2">
      <c r="P447" s="132"/>
      <c r="Q447" s="136"/>
      <c r="R447" s="145"/>
      <c r="S447" s="146"/>
      <c r="AG447" s="179"/>
      <c r="AH447" s="136"/>
      <c r="AI447" s="136"/>
      <c r="AJ447" s="136"/>
    </row>
    <row r="448" spans="16:36" x14ac:dyDescent="0.2">
      <c r="P448" s="132"/>
      <c r="Q448" s="136"/>
      <c r="R448" s="145"/>
      <c r="S448" s="146"/>
      <c r="AG448" s="179"/>
      <c r="AH448" s="136"/>
      <c r="AI448" s="136"/>
      <c r="AJ448" s="136"/>
    </row>
    <row r="449" spans="16:36" x14ac:dyDescent="0.2">
      <c r="P449" s="132"/>
      <c r="Q449" s="136"/>
      <c r="R449" s="145"/>
      <c r="S449" s="146"/>
      <c r="AG449" s="179"/>
      <c r="AH449" s="136"/>
      <c r="AI449" s="136"/>
      <c r="AJ449" s="136"/>
    </row>
    <row r="450" spans="16:36" x14ac:dyDescent="0.2">
      <c r="P450" s="132"/>
      <c r="Q450" s="136"/>
      <c r="R450" s="145"/>
      <c r="S450" s="146"/>
      <c r="AG450" s="179"/>
      <c r="AH450" s="136"/>
      <c r="AI450" s="136"/>
      <c r="AJ450" s="136"/>
    </row>
    <row r="451" spans="16:36" x14ac:dyDescent="0.2">
      <c r="P451" s="132"/>
      <c r="Q451" s="136"/>
      <c r="R451" s="145"/>
      <c r="S451" s="146"/>
      <c r="AG451" s="179"/>
      <c r="AH451" s="136"/>
      <c r="AI451" s="136"/>
      <c r="AJ451" s="136"/>
    </row>
    <row r="452" spans="16:36" x14ac:dyDescent="0.2">
      <c r="P452" s="132"/>
      <c r="Q452" s="136"/>
      <c r="R452" s="145"/>
      <c r="S452" s="146"/>
      <c r="AG452" s="179"/>
      <c r="AH452" s="136"/>
      <c r="AI452" s="136"/>
      <c r="AJ452" s="136"/>
    </row>
    <row r="453" spans="16:36" x14ac:dyDescent="0.2">
      <c r="P453" s="132"/>
      <c r="Q453" s="136"/>
      <c r="R453" s="145"/>
      <c r="S453" s="146"/>
      <c r="AG453" s="179"/>
      <c r="AH453" s="136"/>
      <c r="AI453" s="136"/>
      <c r="AJ453" s="136"/>
    </row>
    <row r="454" spans="16:36" x14ac:dyDescent="0.2">
      <c r="P454" s="132"/>
      <c r="Q454" s="136"/>
      <c r="R454" s="145"/>
      <c r="S454" s="146"/>
      <c r="AG454" s="179"/>
      <c r="AH454" s="136"/>
      <c r="AI454" s="136"/>
      <c r="AJ454" s="136"/>
    </row>
    <row r="455" spans="16:36" x14ac:dyDescent="0.2">
      <c r="P455" s="132"/>
      <c r="Q455" s="136"/>
      <c r="R455" s="145"/>
      <c r="S455" s="146"/>
      <c r="AG455" s="179"/>
      <c r="AH455" s="136"/>
      <c r="AI455" s="136"/>
      <c r="AJ455" s="136"/>
    </row>
    <row r="456" spans="16:36" x14ac:dyDescent="0.2">
      <c r="P456" s="132"/>
      <c r="Q456" s="136"/>
      <c r="R456" s="145"/>
      <c r="S456" s="146"/>
      <c r="AG456" s="179"/>
      <c r="AH456" s="136"/>
      <c r="AI456" s="136"/>
      <c r="AJ456" s="136"/>
    </row>
    <row r="457" spans="16:36" x14ac:dyDescent="0.2">
      <c r="P457" s="132"/>
      <c r="Q457" s="136"/>
      <c r="R457" s="145"/>
      <c r="S457" s="146"/>
      <c r="AG457" s="179"/>
      <c r="AH457" s="136"/>
      <c r="AI457" s="136"/>
      <c r="AJ457" s="136"/>
    </row>
    <row r="458" spans="16:36" x14ac:dyDescent="0.2">
      <c r="P458" s="132"/>
      <c r="Q458" s="136"/>
      <c r="R458" s="145"/>
      <c r="S458" s="146"/>
      <c r="AG458" s="179"/>
      <c r="AH458" s="136"/>
      <c r="AI458" s="136"/>
      <c r="AJ458" s="136"/>
    </row>
    <row r="459" spans="16:36" x14ac:dyDescent="0.2">
      <c r="P459" s="132"/>
      <c r="Q459" s="136"/>
      <c r="R459" s="145"/>
      <c r="S459" s="146"/>
      <c r="AG459" s="179"/>
      <c r="AH459" s="136"/>
      <c r="AI459" s="136"/>
      <c r="AJ459" s="136"/>
    </row>
    <row r="460" spans="16:36" x14ac:dyDescent="0.2">
      <c r="P460" s="132"/>
      <c r="Q460" s="136"/>
      <c r="R460" s="145"/>
      <c r="S460" s="146"/>
      <c r="AG460" s="179"/>
      <c r="AH460" s="136"/>
      <c r="AI460" s="136"/>
      <c r="AJ460" s="136"/>
    </row>
    <row r="461" spans="16:36" x14ac:dyDescent="0.2">
      <c r="P461" s="132"/>
      <c r="Q461" s="136"/>
      <c r="R461" s="145"/>
      <c r="S461" s="146"/>
      <c r="AG461" s="179"/>
      <c r="AH461" s="136"/>
      <c r="AI461" s="136"/>
      <c r="AJ461" s="136"/>
    </row>
    <row r="462" spans="16:36" x14ac:dyDescent="0.2">
      <c r="P462" s="132"/>
      <c r="Q462" s="136"/>
      <c r="R462" s="145"/>
      <c r="S462" s="146"/>
      <c r="AG462" s="179"/>
      <c r="AH462" s="136"/>
      <c r="AI462" s="136"/>
      <c r="AJ462" s="136"/>
    </row>
    <row r="463" spans="16:36" x14ac:dyDescent="0.2">
      <c r="P463" s="132"/>
      <c r="Q463" s="136"/>
      <c r="R463" s="145"/>
      <c r="S463" s="146"/>
      <c r="AG463" s="179"/>
      <c r="AH463" s="136"/>
      <c r="AI463" s="136"/>
      <c r="AJ463" s="136"/>
    </row>
    <row r="464" spans="16:36" x14ac:dyDescent="0.2">
      <c r="P464" s="132"/>
      <c r="Q464" s="136"/>
      <c r="R464" s="145"/>
      <c r="S464" s="146"/>
      <c r="AG464" s="179"/>
      <c r="AH464" s="136"/>
      <c r="AI464" s="136"/>
      <c r="AJ464" s="136"/>
    </row>
    <row r="465" spans="16:36" x14ac:dyDescent="0.2">
      <c r="P465" s="132"/>
      <c r="Q465" s="136"/>
      <c r="R465" s="145"/>
      <c r="S465" s="146"/>
      <c r="AG465" s="179"/>
      <c r="AH465" s="136"/>
      <c r="AI465" s="136"/>
      <c r="AJ465" s="136"/>
    </row>
    <row r="466" spans="16:36" x14ac:dyDescent="0.2">
      <c r="P466" s="132"/>
      <c r="Q466" s="136"/>
      <c r="R466" s="145"/>
      <c r="S466" s="146"/>
      <c r="AG466" s="179"/>
      <c r="AH466" s="136"/>
      <c r="AI466" s="136"/>
      <c r="AJ466" s="136"/>
    </row>
    <row r="467" spans="16:36" x14ac:dyDescent="0.2">
      <c r="P467" s="132"/>
      <c r="Q467" s="136"/>
      <c r="R467" s="145"/>
      <c r="S467" s="146"/>
      <c r="AG467" s="179"/>
      <c r="AH467" s="136"/>
      <c r="AI467" s="136"/>
      <c r="AJ467" s="136"/>
    </row>
    <row r="468" spans="16:36" x14ac:dyDescent="0.2">
      <c r="P468" s="132"/>
      <c r="Q468" s="136"/>
      <c r="R468" s="145"/>
      <c r="S468" s="146"/>
      <c r="AG468" s="179"/>
      <c r="AH468" s="136"/>
      <c r="AI468" s="136"/>
      <c r="AJ468" s="136"/>
    </row>
    <row r="469" spans="16:36" x14ac:dyDescent="0.2">
      <c r="P469" s="132"/>
      <c r="Q469" s="136"/>
      <c r="R469" s="145"/>
      <c r="S469" s="146"/>
      <c r="AG469" s="179"/>
      <c r="AH469" s="136"/>
      <c r="AI469" s="136"/>
      <c r="AJ469" s="136"/>
    </row>
    <row r="470" spans="16:36" x14ac:dyDescent="0.2">
      <c r="P470" s="132"/>
      <c r="Q470" s="136"/>
      <c r="R470" s="145"/>
      <c r="S470" s="146"/>
      <c r="AG470" s="179"/>
      <c r="AH470" s="136"/>
      <c r="AI470" s="136"/>
      <c r="AJ470" s="136"/>
    </row>
    <row r="471" spans="16:36" x14ac:dyDescent="0.2">
      <c r="P471" s="132"/>
      <c r="Q471" s="136"/>
      <c r="R471" s="145"/>
      <c r="S471" s="146"/>
      <c r="AG471" s="179"/>
      <c r="AH471" s="136"/>
      <c r="AI471" s="136"/>
      <c r="AJ471" s="136"/>
    </row>
    <row r="472" spans="16:36" x14ac:dyDescent="0.2">
      <c r="P472" s="132"/>
      <c r="Q472" s="136"/>
      <c r="R472" s="145"/>
      <c r="S472" s="146"/>
      <c r="AG472" s="179"/>
      <c r="AH472" s="136"/>
      <c r="AI472" s="136"/>
      <c r="AJ472" s="136"/>
    </row>
    <row r="473" spans="16:36" x14ac:dyDescent="0.2">
      <c r="P473" s="132"/>
      <c r="Q473" s="136"/>
      <c r="R473" s="145"/>
      <c r="S473" s="146"/>
      <c r="AG473" s="179"/>
      <c r="AH473" s="136"/>
      <c r="AI473" s="136"/>
      <c r="AJ473" s="136"/>
    </row>
    <row r="474" spans="16:36" x14ac:dyDescent="0.2">
      <c r="P474" s="132"/>
      <c r="Q474" s="136"/>
      <c r="R474" s="145"/>
      <c r="S474" s="146"/>
      <c r="AG474" s="179"/>
      <c r="AH474" s="136"/>
      <c r="AI474" s="136"/>
      <c r="AJ474" s="136"/>
    </row>
    <row r="475" spans="16:36" x14ac:dyDescent="0.2">
      <c r="P475" s="132"/>
      <c r="Q475" s="136"/>
      <c r="R475" s="145"/>
      <c r="S475" s="146"/>
      <c r="AG475" s="179"/>
      <c r="AH475" s="136"/>
      <c r="AI475" s="136"/>
      <c r="AJ475" s="136"/>
    </row>
    <row r="476" spans="16:36" x14ac:dyDescent="0.2">
      <c r="P476" s="132"/>
      <c r="Q476" s="136"/>
      <c r="R476" s="145"/>
      <c r="S476" s="146"/>
      <c r="AG476" s="179"/>
      <c r="AH476" s="136"/>
      <c r="AI476" s="136"/>
      <c r="AJ476" s="136"/>
    </row>
    <row r="477" spans="16:36" x14ac:dyDescent="0.2">
      <c r="P477" s="132"/>
      <c r="Q477" s="136"/>
      <c r="R477" s="145"/>
      <c r="S477" s="146"/>
      <c r="AG477" s="179"/>
      <c r="AH477" s="136"/>
      <c r="AI477" s="136"/>
      <c r="AJ477" s="136"/>
    </row>
    <row r="478" spans="16:36" x14ac:dyDescent="0.2">
      <c r="P478" s="132"/>
      <c r="Q478" s="136"/>
      <c r="R478" s="145"/>
      <c r="S478" s="146"/>
      <c r="AG478" s="179"/>
      <c r="AH478" s="136"/>
      <c r="AI478" s="136"/>
      <c r="AJ478" s="136"/>
    </row>
    <row r="479" spans="16:36" x14ac:dyDescent="0.2">
      <c r="P479" s="132"/>
      <c r="Q479" s="136"/>
      <c r="R479" s="145"/>
      <c r="S479" s="146"/>
      <c r="AG479" s="179"/>
      <c r="AH479" s="136"/>
      <c r="AI479" s="136"/>
      <c r="AJ479" s="136"/>
    </row>
    <row r="480" spans="16:36" x14ac:dyDescent="0.2">
      <c r="P480" s="132"/>
      <c r="Q480" s="136"/>
      <c r="R480" s="145"/>
      <c r="S480" s="146"/>
      <c r="AG480" s="179"/>
      <c r="AH480" s="136"/>
      <c r="AI480" s="136"/>
      <c r="AJ480" s="136"/>
    </row>
    <row r="481" spans="16:36" x14ac:dyDescent="0.2">
      <c r="P481" s="132"/>
      <c r="Q481" s="136"/>
      <c r="R481" s="145"/>
      <c r="S481" s="146"/>
      <c r="AG481" s="179"/>
      <c r="AH481" s="136"/>
      <c r="AI481" s="136"/>
      <c r="AJ481" s="136"/>
    </row>
    <row r="482" spans="16:36" x14ac:dyDescent="0.2">
      <c r="P482" s="132"/>
      <c r="Q482" s="136"/>
      <c r="R482" s="145"/>
      <c r="S482" s="146"/>
      <c r="AG482" s="179"/>
      <c r="AH482" s="136"/>
      <c r="AI482" s="136"/>
      <c r="AJ482" s="136"/>
    </row>
    <row r="483" spans="16:36" x14ac:dyDescent="0.2">
      <c r="P483" s="132"/>
      <c r="Q483" s="136"/>
      <c r="R483" s="145"/>
      <c r="S483" s="146"/>
      <c r="AG483" s="179"/>
      <c r="AH483" s="136"/>
      <c r="AI483" s="136"/>
      <c r="AJ483" s="136"/>
    </row>
    <row r="484" spans="16:36" x14ac:dyDescent="0.2">
      <c r="P484" s="132"/>
      <c r="Q484" s="136"/>
      <c r="R484" s="145"/>
      <c r="S484" s="146"/>
      <c r="AG484" s="179"/>
      <c r="AH484" s="136"/>
      <c r="AI484" s="136"/>
      <c r="AJ484" s="136"/>
    </row>
    <row r="485" spans="16:36" x14ac:dyDescent="0.2">
      <c r="P485" s="132"/>
      <c r="Q485" s="136"/>
      <c r="R485" s="145"/>
      <c r="S485" s="146"/>
      <c r="AG485" s="179"/>
      <c r="AH485" s="136"/>
      <c r="AI485" s="136"/>
      <c r="AJ485" s="136"/>
    </row>
    <row r="486" spans="16:36" x14ac:dyDescent="0.2">
      <c r="P486" s="132"/>
      <c r="Q486" s="136"/>
      <c r="R486" s="145"/>
      <c r="S486" s="146"/>
      <c r="AG486" s="179"/>
      <c r="AH486" s="136"/>
      <c r="AI486" s="136"/>
      <c r="AJ486" s="136"/>
    </row>
    <row r="487" spans="16:36" x14ac:dyDescent="0.2">
      <c r="P487" s="132"/>
      <c r="Q487" s="136"/>
      <c r="R487" s="145"/>
      <c r="S487" s="146"/>
      <c r="AG487" s="179"/>
      <c r="AH487" s="136"/>
      <c r="AI487" s="136"/>
      <c r="AJ487" s="136"/>
    </row>
    <row r="488" spans="16:36" x14ac:dyDescent="0.2">
      <c r="P488" s="132"/>
      <c r="Q488" s="136"/>
      <c r="R488" s="145"/>
      <c r="S488" s="146"/>
      <c r="AG488" s="179"/>
      <c r="AH488" s="136"/>
      <c r="AI488" s="136"/>
      <c r="AJ488" s="136"/>
    </row>
    <row r="489" spans="16:36" x14ac:dyDescent="0.2">
      <c r="P489" s="132"/>
      <c r="Q489" s="136"/>
      <c r="R489" s="145"/>
      <c r="S489" s="146"/>
      <c r="AG489" s="179"/>
      <c r="AH489" s="136"/>
      <c r="AI489" s="136"/>
      <c r="AJ489" s="136"/>
    </row>
    <row r="490" spans="16:36" x14ac:dyDescent="0.2">
      <c r="P490" s="132"/>
      <c r="Q490" s="136"/>
      <c r="R490" s="145"/>
      <c r="S490" s="146"/>
      <c r="AG490" s="179"/>
      <c r="AH490" s="136"/>
      <c r="AI490" s="136"/>
      <c r="AJ490" s="136"/>
    </row>
    <row r="491" spans="16:36" x14ac:dyDescent="0.2">
      <c r="P491" s="132"/>
      <c r="Q491" s="136"/>
      <c r="R491" s="145"/>
      <c r="S491" s="146"/>
      <c r="AG491" s="179"/>
      <c r="AH491" s="136"/>
      <c r="AI491" s="136"/>
      <c r="AJ491" s="136"/>
    </row>
    <row r="492" spans="16:36" x14ac:dyDescent="0.2">
      <c r="P492" s="132"/>
      <c r="Q492" s="136"/>
      <c r="R492" s="145"/>
      <c r="S492" s="146"/>
      <c r="AG492" s="179"/>
      <c r="AH492" s="136"/>
      <c r="AI492" s="136"/>
      <c r="AJ492" s="136"/>
    </row>
    <row r="493" spans="16:36" x14ac:dyDescent="0.2">
      <c r="P493" s="132"/>
      <c r="Q493" s="136"/>
      <c r="R493" s="145"/>
      <c r="S493" s="146"/>
      <c r="AG493" s="179"/>
      <c r="AH493" s="136"/>
      <c r="AI493" s="136"/>
      <c r="AJ493" s="136"/>
    </row>
    <row r="494" spans="16:36" x14ac:dyDescent="0.2">
      <c r="P494" s="132"/>
      <c r="Q494" s="136"/>
      <c r="R494" s="145"/>
      <c r="S494" s="146"/>
      <c r="AG494" s="179"/>
      <c r="AH494" s="136"/>
      <c r="AI494" s="136"/>
      <c r="AJ494" s="136"/>
    </row>
    <row r="495" spans="16:36" x14ac:dyDescent="0.2">
      <c r="P495" s="132"/>
      <c r="Q495" s="136"/>
      <c r="R495" s="145"/>
      <c r="S495" s="146"/>
      <c r="AG495" s="179"/>
      <c r="AH495" s="136"/>
      <c r="AI495" s="136"/>
      <c r="AJ495" s="136"/>
    </row>
    <row r="496" spans="16:36" x14ac:dyDescent="0.2">
      <c r="P496" s="132"/>
      <c r="Q496" s="136"/>
      <c r="R496" s="145"/>
      <c r="S496" s="146"/>
      <c r="AG496" s="179"/>
      <c r="AH496" s="136"/>
      <c r="AI496" s="136"/>
      <c r="AJ496" s="136"/>
    </row>
    <row r="497" spans="16:36" x14ac:dyDescent="0.2">
      <c r="P497" s="132"/>
      <c r="Q497" s="136"/>
      <c r="R497" s="145"/>
      <c r="S497" s="146"/>
      <c r="AG497" s="179"/>
      <c r="AH497" s="136"/>
      <c r="AI497" s="136"/>
      <c r="AJ497" s="136"/>
    </row>
    <row r="498" spans="16:36" x14ac:dyDescent="0.2">
      <c r="P498" s="132"/>
      <c r="Q498" s="136"/>
      <c r="R498" s="145"/>
      <c r="S498" s="146"/>
      <c r="AG498" s="179"/>
      <c r="AH498" s="136"/>
      <c r="AI498" s="136"/>
      <c r="AJ498" s="136"/>
    </row>
    <row r="499" spans="16:36" x14ac:dyDescent="0.2">
      <c r="P499" s="132"/>
      <c r="Q499" s="136"/>
      <c r="R499" s="145"/>
      <c r="S499" s="146"/>
      <c r="AG499" s="179"/>
      <c r="AH499" s="136"/>
      <c r="AI499" s="136"/>
      <c r="AJ499" s="136"/>
    </row>
    <row r="500" spans="16:36" x14ac:dyDescent="0.2">
      <c r="P500" s="132"/>
      <c r="Q500" s="136"/>
      <c r="R500" s="145"/>
      <c r="S500" s="146"/>
      <c r="AG500" s="179"/>
      <c r="AH500" s="136"/>
      <c r="AI500" s="136"/>
      <c r="AJ500" s="136"/>
    </row>
    <row r="501" spans="16:36" x14ac:dyDescent="0.2">
      <c r="P501" s="132"/>
      <c r="Q501" s="136"/>
      <c r="R501" s="145"/>
      <c r="S501" s="146"/>
      <c r="AG501" s="179"/>
      <c r="AH501" s="136"/>
      <c r="AI501" s="136"/>
      <c r="AJ501" s="136"/>
    </row>
    <row r="502" spans="16:36" x14ac:dyDescent="0.2">
      <c r="P502" s="132"/>
      <c r="Q502" s="136"/>
      <c r="R502" s="145"/>
      <c r="S502" s="146"/>
      <c r="AG502" s="179"/>
      <c r="AH502" s="136"/>
      <c r="AI502" s="136"/>
      <c r="AJ502" s="136"/>
    </row>
    <row r="503" spans="16:36" x14ac:dyDescent="0.2">
      <c r="P503" s="132"/>
      <c r="Q503" s="136"/>
      <c r="R503" s="145"/>
      <c r="S503" s="146"/>
      <c r="AG503" s="179"/>
      <c r="AH503" s="136"/>
      <c r="AI503" s="136"/>
      <c r="AJ503" s="136"/>
    </row>
    <row r="504" spans="16:36" x14ac:dyDescent="0.2">
      <c r="P504" s="132"/>
      <c r="Q504" s="136"/>
      <c r="R504" s="145"/>
      <c r="S504" s="146"/>
      <c r="AG504" s="179"/>
      <c r="AH504" s="136"/>
      <c r="AI504" s="136"/>
      <c r="AJ504" s="136"/>
    </row>
    <row r="505" spans="16:36" x14ac:dyDescent="0.2">
      <c r="P505" s="132"/>
      <c r="Q505" s="136"/>
      <c r="R505" s="145"/>
      <c r="S505" s="146"/>
      <c r="AG505" s="179"/>
      <c r="AH505" s="136"/>
      <c r="AI505" s="136"/>
      <c r="AJ505" s="136"/>
    </row>
    <row r="506" spans="16:36" x14ac:dyDescent="0.2">
      <c r="P506" s="132"/>
      <c r="Q506" s="136"/>
      <c r="R506" s="145"/>
      <c r="S506" s="146"/>
      <c r="AG506" s="179"/>
      <c r="AH506" s="136"/>
      <c r="AI506" s="136"/>
      <c r="AJ506" s="136"/>
    </row>
    <row r="507" spans="16:36" x14ac:dyDescent="0.2">
      <c r="P507" s="132"/>
      <c r="Q507" s="136"/>
      <c r="R507" s="145"/>
      <c r="S507" s="146"/>
      <c r="AG507" s="179"/>
      <c r="AH507" s="136"/>
      <c r="AI507" s="136"/>
      <c r="AJ507" s="136"/>
    </row>
    <row r="508" spans="16:36" x14ac:dyDescent="0.2">
      <c r="P508" s="132"/>
      <c r="Q508" s="136"/>
      <c r="R508" s="145"/>
      <c r="S508" s="146"/>
      <c r="AG508" s="179"/>
      <c r="AH508" s="136"/>
      <c r="AI508" s="136"/>
      <c r="AJ508" s="136"/>
    </row>
    <row r="509" spans="16:36" x14ac:dyDescent="0.2">
      <c r="P509" s="132"/>
      <c r="Q509" s="136"/>
      <c r="R509" s="145"/>
      <c r="S509" s="146"/>
      <c r="AG509" s="179"/>
      <c r="AH509" s="136"/>
      <c r="AI509" s="136"/>
      <c r="AJ509" s="136"/>
    </row>
    <row r="510" spans="16:36" x14ac:dyDescent="0.2">
      <c r="P510" s="132"/>
      <c r="Q510" s="136"/>
      <c r="R510" s="145"/>
      <c r="S510" s="146"/>
      <c r="AG510" s="179"/>
      <c r="AH510" s="136"/>
      <c r="AI510" s="136"/>
      <c r="AJ510" s="136"/>
    </row>
    <row r="511" spans="16:36" x14ac:dyDescent="0.2">
      <c r="P511" s="132"/>
      <c r="Q511" s="136"/>
      <c r="R511" s="145"/>
      <c r="S511" s="146"/>
      <c r="AG511" s="179"/>
      <c r="AH511" s="136"/>
      <c r="AI511" s="136"/>
      <c r="AJ511" s="136"/>
    </row>
    <row r="512" spans="16:36" x14ac:dyDescent="0.2">
      <c r="P512" s="132"/>
      <c r="Q512" s="136"/>
      <c r="R512" s="145"/>
      <c r="S512" s="146"/>
      <c r="AG512" s="179"/>
      <c r="AH512" s="136"/>
      <c r="AI512" s="136"/>
      <c r="AJ512" s="136"/>
    </row>
    <row r="513" spans="16:36" x14ac:dyDescent="0.2">
      <c r="P513" s="132"/>
      <c r="Q513" s="136"/>
      <c r="R513" s="145"/>
      <c r="S513" s="146"/>
      <c r="AG513" s="179"/>
      <c r="AH513" s="136"/>
      <c r="AI513" s="136"/>
      <c r="AJ513" s="136"/>
    </row>
    <row r="514" spans="16:36" x14ac:dyDescent="0.2">
      <c r="P514" s="132"/>
      <c r="Q514" s="136"/>
      <c r="R514" s="145"/>
      <c r="S514" s="146"/>
      <c r="AG514" s="179"/>
      <c r="AH514" s="136"/>
      <c r="AI514" s="136"/>
      <c r="AJ514" s="136"/>
    </row>
    <row r="515" spans="16:36" x14ac:dyDescent="0.2">
      <c r="P515" s="132"/>
      <c r="Q515" s="136"/>
      <c r="R515" s="145"/>
      <c r="S515" s="146"/>
      <c r="AG515" s="179"/>
      <c r="AH515" s="136"/>
      <c r="AI515" s="136"/>
      <c r="AJ515" s="136"/>
    </row>
    <row r="516" spans="16:36" x14ac:dyDescent="0.2">
      <c r="P516" s="132"/>
      <c r="Q516" s="136"/>
      <c r="R516" s="145"/>
      <c r="S516" s="146"/>
      <c r="AG516" s="179"/>
      <c r="AH516" s="136"/>
      <c r="AI516" s="136"/>
      <c r="AJ516" s="136"/>
    </row>
    <row r="517" spans="16:36" x14ac:dyDescent="0.2">
      <c r="P517" s="132"/>
      <c r="Q517" s="136"/>
      <c r="R517" s="145"/>
      <c r="S517" s="146"/>
      <c r="AG517" s="179"/>
      <c r="AH517" s="136"/>
      <c r="AI517" s="136"/>
      <c r="AJ517" s="136"/>
    </row>
    <row r="518" spans="16:36" x14ac:dyDescent="0.2">
      <c r="P518" s="132"/>
      <c r="Q518" s="136"/>
      <c r="R518" s="145"/>
      <c r="S518" s="146"/>
      <c r="AG518" s="179"/>
      <c r="AH518" s="136"/>
      <c r="AI518" s="136"/>
      <c r="AJ518" s="136"/>
    </row>
    <row r="519" spans="16:36" x14ac:dyDescent="0.2">
      <c r="P519" s="132"/>
      <c r="Q519" s="136"/>
      <c r="R519" s="145"/>
      <c r="S519" s="146"/>
      <c r="AG519" s="179"/>
      <c r="AH519" s="136"/>
      <c r="AI519" s="136"/>
      <c r="AJ519" s="136"/>
    </row>
    <row r="520" spans="16:36" x14ac:dyDescent="0.2">
      <c r="P520" s="132"/>
      <c r="Q520" s="136"/>
      <c r="R520" s="145"/>
      <c r="S520" s="146"/>
      <c r="AG520" s="179"/>
      <c r="AH520" s="136"/>
      <c r="AI520" s="136"/>
      <c r="AJ520" s="136"/>
    </row>
    <row r="521" spans="16:36" x14ac:dyDescent="0.2">
      <c r="P521" s="132"/>
      <c r="Q521" s="136"/>
      <c r="R521" s="145"/>
      <c r="S521" s="146"/>
      <c r="AG521" s="179"/>
      <c r="AH521" s="136"/>
      <c r="AI521" s="136"/>
      <c r="AJ521" s="136"/>
    </row>
    <row r="522" spans="16:36" x14ac:dyDescent="0.2">
      <c r="P522" s="132"/>
      <c r="Q522" s="136"/>
      <c r="R522" s="145"/>
      <c r="S522" s="146"/>
      <c r="AG522" s="179"/>
      <c r="AH522" s="136"/>
      <c r="AI522" s="136"/>
      <c r="AJ522" s="136"/>
    </row>
    <row r="523" spans="16:36" x14ac:dyDescent="0.2">
      <c r="P523" s="132"/>
      <c r="Q523" s="136"/>
      <c r="R523" s="145"/>
      <c r="S523" s="146"/>
      <c r="AG523" s="179"/>
      <c r="AH523" s="136"/>
      <c r="AI523" s="136"/>
      <c r="AJ523" s="136"/>
    </row>
    <row r="524" spans="16:36" x14ac:dyDescent="0.2">
      <c r="P524" s="132"/>
      <c r="Q524" s="136"/>
      <c r="R524" s="145"/>
      <c r="S524" s="146"/>
      <c r="AG524" s="179"/>
      <c r="AH524" s="136"/>
      <c r="AI524" s="136"/>
      <c r="AJ524" s="136"/>
    </row>
    <row r="525" spans="16:36" x14ac:dyDescent="0.2">
      <c r="P525" s="132"/>
      <c r="Q525" s="136"/>
      <c r="R525" s="145"/>
      <c r="S525" s="146"/>
      <c r="AG525" s="179"/>
      <c r="AH525" s="136"/>
      <c r="AI525" s="136"/>
      <c r="AJ525" s="136"/>
    </row>
    <row r="526" spans="16:36" x14ac:dyDescent="0.2">
      <c r="P526" s="132"/>
      <c r="Q526" s="136"/>
      <c r="R526" s="145"/>
      <c r="S526" s="146"/>
      <c r="AG526" s="179"/>
      <c r="AH526" s="136"/>
      <c r="AI526" s="136"/>
      <c r="AJ526" s="136"/>
    </row>
    <row r="527" spans="16:36" x14ac:dyDescent="0.2">
      <c r="P527" s="132"/>
      <c r="Q527" s="136"/>
      <c r="R527" s="145"/>
      <c r="S527" s="146"/>
      <c r="AG527" s="179"/>
      <c r="AH527" s="136"/>
      <c r="AI527" s="136"/>
      <c r="AJ527" s="136"/>
    </row>
    <row r="528" spans="16:36" x14ac:dyDescent="0.2">
      <c r="P528" s="132"/>
      <c r="Q528" s="136"/>
      <c r="R528" s="145"/>
      <c r="S528" s="146"/>
      <c r="AG528" s="179"/>
      <c r="AH528" s="136"/>
      <c r="AI528" s="136"/>
      <c r="AJ528" s="136"/>
    </row>
    <row r="529" spans="16:36" x14ac:dyDescent="0.2">
      <c r="P529" s="132"/>
      <c r="Q529" s="136"/>
      <c r="R529" s="145"/>
      <c r="S529" s="146"/>
      <c r="AG529" s="179"/>
      <c r="AH529" s="136"/>
      <c r="AI529" s="136"/>
      <c r="AJ529" s="136"/>
    </row>
    <row r="530" spans="16:36" x14ac:dyDescent="0.2">
      <c r="P530" s="132"/>
      <c r="Q530" s="136"/>
      <c r="R530" s="145"/>
      <c r="S530" s="146"/>
      <c r="AG530" s="179"/>
      <c r="AH530" s="136"/>
      <c r="AI530" s="136"/>
      <c r="AJ530" s="136"/>
    </row>
    <row r="531" spans="16:36" x14ac:dyDescent="0.2">
      <c r="P531" s="132"/>
      <c r="Q531" s="136"/>
      <c r="R531" s="145"/>
      <c r="S531" s="146"/>
      <c r="AG531" s="179"/>
      <c r="AH531" s="136"/>
      <c r="AI531" s="136"/>
      <c r="AJ531" s="136"/>
    </row>
    <row r="532" spans="16:36" x14ac:dyDescent="0.2">
      <c r="P532" s="132"/>
      <c r="Q532" s="136"/>
      <c r="R532" s="145"/>
      <c r="S532" s="146"/>
      <c r="AG532" s="179"/>
      <c r="AH532" s="136"/>
      <c r="AI532" s="136"/>
      <c r="AJ532" s="136"/>
    </row>
    <row r="533" spans="16:36" x14ac:dyDescent="0.2">
      <c r="P533" s="132"/>
      <c r="Q533" s="136"/>
      <c r="R533" s="145"/>
      <c r="S533" s="146"/>
      <c r="AG533" s="179"/>
      <c r="AH533" s="136"/>
      <c r="AI533" s="136"/>
      <c r="AJ533" s="136"/>
    </row>
    <row r="534" spans="16:36" x14ac:dyDescent="0.2">
      <c r="P534" s="132"/>
      <c r="Q534" s="136"/>
      <c r="R534" s="145"/>
      <c r="S534" s="146"/>
      <c r="AG534" s="179"/>
      <c r="AH534" s="136"/>
      <c r="AI534" s="136"/>
      <c r="AJ534" s="136"/>
    </row>
    <row r="535" spans="16:36" x14ac:dyDescent="0.2">
      <c r="P535" s="132"/>
      <c r="Q535" s="136"/>
      <c r="R535" s="145"/>
      <c r="S535" s="146"/>
      <c r="AG535" s="179"/>
      <c r="AH535" s="136"/>
      <c r="AI535" s="136"/>
      <c r="AJ535" s="136"/>
    </row>
    <row r="536" spans="16:36" x14ac:dyDescent="0.2">
      <c r="P536" s="132"/>
      <c r="Q536" s="136"/>
      <c r="R536" s="145"/>
      <c r="S536" s="146"/>
      <c r="AG536" s="179"/>
      <c r="AH536" s="136"/>
      <c r="AI536" s="136"/>
      <c r="AJ536" s="136"/>
    </row>
    <row r="537" spans="16:36" x14ac:dyDescent="0.2">
      <c r="P537" s="132"/>
      <c r="Q537" s="136"/>
      <c r="R537" s="145"/>
      <c r="S537" s="146"/>
      <c r="AG537" s="179"/>
      <c r="AH537" s="136"/>
      <c r="AI537" s="136"/>
      <c r="AJ537" s="136"/>
    </row>
    <row r="538" spans="16:36" x14ac:dyDescent="0.2">
      <c r="P538" s="132"/>
      <c r="Q538" s="136"/>
      <c r="R538" s="145"/>
      <c r="S538" s="146"/>
      <c r="AG538" s="179"/>
      <c r="AH538" s="136"/>
      <c r="AI538" s="136"/>
      <c r="AJ538" s="136"/>
    </row>
    <row r="539" spans="16:36" x14ac:dyDescent="0.2">
      <c r="P539" s="132"/>
      <c r="Q539" s="136"/>
      <c r="R539" s="145"/>
      <c r="S539" s="146"/>
      <c r="AG539" s="179"/>
      <c r="AH539" s="136"/>
      <c r="AI539" s="136"/>
      <c r="AJ539" s="136"/>
    </row>
    <row r="540" spans="16:36" x14ac:dyDescent="0.2">
      <c r="P540" s="132"/>
      <c r="Q540" s="136"/>
      <c r="R540" s="145"/>
      <c r="S540" s="146"/>
      <c r="AG540" s="179"/>
      <c r="AH540" s="136"/>
      <c r="AI540" s="136"/>
      <c r="AJ540" s="136"/>
    </row>
    <row r="541" spans="16:36" x14ac:dyDescent="0.2">
      <c r="P541" s="132"/>
      <c r="Q541" s="136"/>
      <c r="R541" s="145"/>
      <c r="S541" s="146"/>
      <c r="AG541" s="179"/>
      <c r="AH541" s="136"/>
      <c r="AI541" s="136"/>
      <c r="AJ541" s="136"/>
    </row>
    <row r="542" spans="16:36" x14ac:dyDescent="0.2">
      <c r="P542" s="132"/>
      <c r="Q542" s="136"/>
      <c r="R542" s="145"/>
      <c r="S542" s="146"/>
      <c r="AG542" s="179"/>
      <c r="AH542" s="136"/>
      <c r="AI542" s="136"/>
      <c r="AJ542" s="136"/>
    </row>
    <row r="543" spans="16:36" x14ac:dyDescent="0.2">
      <c r="P543" s="132"/>
      <c r="Q543" s="136"/>
      <c r="R543" s="145"/>
      <c r="S543" s="146"/>
      <c r="AG543" s="179"/>
      <c r="AH543" s="136"/>
      <c r="AI543" s="136"/>
      <c r="AJ543" s="136"/>
    </row>
    <row r="544" spans="16:36" x14ac:dyDescent="0.2">
      <c r="P544" s="132"/>
      <c r="Q544" s="136"/>
      <c r="R544" s="145"/>
      <c r="S544" s="146"/>
      <c r="AG544" s="179"/>
      <c r="AH544" s="136"/>
      <c r="AI544" s="136"/>
      <c r="AJ544" s="136"/>
    </row>
    <row r="545" spans="16:36" x14ac:dyDescent="0.2">
      <c r="P545" s="132"/>
      <c r="Q545" s="136"/>
      <c r="R545" s="145"/>
      <c r="S545" s="146"/>
      <c r="AG545" s="179"/>
      <c r="AH545" s="136"/>
      <c r="AI545" s="136"/>
      <c r="AJ545" s="136"/>
    </row>
    <row r="546" spans="16:36" x14ac:dyDescent="0.2">
      <c r="P546" s="132"/>
      <c r="Q546" s="136"/>
      <c r="R546" s="145"/>
      <c r="S546" s="146"/>
      <c r="AG546" s="179"/>
      <c r="AH546" s="136"/>
      <c r="AI546" s="136"/>
      <c r="AJ546" s="136"/>
    </row>
    <row r="547" spans="16:36" x14ac:dyDescent="0.2">
      <c r="P547" s="132"/>
      <c r="Q547" s="136"/>
      <c r="R547" s="145"/>
      <c r="S547" s="146"/>
      <c r="AG547" s="179"/>
      <c r="AH547" s="136"/>
      <c r="AI547" s="136"/>
      <c r="AJ547" s="136"/>
    </row>
    <row r="548" spans="16:36" x14ac:dyDescent="0.2">
      <c r="P548" s="132"/>
      <c r="Q548" s="136"/>
      <c r="R548" s="145"/>
      <c r="S548" s="146"/>
      <c r="AG548" s="179"/>
      <c r="AH548" s="136"/>
      <c r="AI548" s="136"/>
      <c r="AJ548" s="136"/>
    </row>
    <row r="549" spans="16:36" x14ac:dyDescent="0.2">
      <c r="P549" s="132"/>
      <c r="Q549" s="136"/>
      <c r="R549" s="145"/>
      <c r="S549" s="146"/>
      <c r="AG549" s="179"/>
      <c r="AH549" s="136"/>
      <c r="AI549" s="136"/>
      <c r="AJ549" s="136"/>
    </row>
    <row r="550" spans="16:36" x14ac:dyDescent="0.2">
      <c r="P550" s="132"/>
      <c r="Q550" s="136"/>
      <c r="R550" s="145"/>
      <c r="S550" s="146"/>
      <c r="AG550" s="179"/>
      <c r="AH550" s="136"/>
      <c r="AI550" s="136"/>
      <c r="AJ550" s="136"/>
    </row>
    <row r="551" spans="16:36" x14ac:dyDescent="0.2">
      <c r="P551" s="132"/>
      <c r="Q551" s="136"/>
      <c r="R551" s="145"/>
      <c r="S551" s="146"/>
      <c r="AG551" s="179"/>
      <c r="AH551" s="136"/>
      <c r="AI551" s="136"/>
      <c r="AJ551" s="136"/>
    </row>
    <row r="552" spans="16:36" x14ac:dyDescent="0.2">
      <c r="P552" s="132"/>
      <c r="Q552" s="136"/>
      <c r="R552" s="145"/>
      <c r="S552" s="146"/>
      <c r="AG552" s="179"/>
      <c r="AH552" s="136"/>
      <c r="AI552" s="136"/>
      <c r="AJ552" s="136"/>
    </row>
    <row r="553" spans="16:36" x14ac:dyDescent="0.2">
      <c r="P553" s="132"/>
      <c r="Q553" s="136"/>
      <c r="R553" s="145"/>
      <c r="S553" s="146"/>
      <c r="AG553" s="179"/>
      <c r="AH553" s="136"/>
      <c r="AI553" s="136"/>
      <c r="AJ553" s="136"/>
    </row>
    <row r="554" spans="16:36" x14ac:dyDescent="0.2">
      <c r="P554" s="132"/>
      <c r="Q554" s="136"/>
      <c r="R554" s="145"/>
      <c r="S554" s="146"/>
      <c r="AG554" s="179"/>
      <c r="AH554" s="136"/>
      <c r="AI554" s="136"/>
      <c r="AJ554" s="136"/>
    </row>
    <row r="555" spans="16:36" x14ac:dyDescent="0.2">
      <c r="P555" s="132"/>
      <c r="Q555" s="136"/>
      <c r="R555" s="145"/>
      <c r="S555" s="146"/>
      <c r="AG555" s="179"/>
      <c r="AH555" s="136"/>
      <c r="AI555" s="136"/>
      <c r="AJ555" s="136"/>
    </row>
    <row r="556" spans="16:36" x14ac:dyDescent="0.2">
      <c r="P556" s="132"/>
      <c r="Q556" s="136"/>
      <c r="R556" s="145"/>
      <c r="S556" s="146"/>
      <c r="AG556" s="179"/>
      <c r="AH556" s="136"/>
      <c r="AI556" s="136"/>
      <c r="AJ556" s="136"/>
    </row>
    <row r="557" spans="16:36" x14ac:dyDescent="0.2">
      <c r="P557" s="132"/>
      <c r="Q557" s="136"/>
      <c r="R557" s="145"/>
      <c r="S557" s="146"/>
      <c r="AG557" s="179"/>
      <c r="AH557" s="136"/>
      <c r="AI557" s="136"/>
      <c r="AJ557" s="136"/>
    </row>
    <row r="558" spans="16:36" x14ac:dyDescent="0.2">
      <c r="P558" s="132"/>
      <c r="Q558" s="136"/>
      <c r="R558" s="145"/>
      <c r="S558" s="146"/>
      <c r="AG558" s="179"/>
      <c r="AH558" s="136"/>
      <c r="AI558" s="136"/>
      <c r="AJ558" s="136"/>
    </row>
    <row r="559" spans="16:36" x14ac:dyDescent="0.2">
      <c r="P559" s="132"/>
      <c r="Q559" s="136"/>
      <c r="R559" s="145"/>
      <c r="S559" s="146"/>
      <c r="AG559" s="179"/>
      <c r="AH559" s="136"/>
      <c r="AI559" s="136"/>
      <c r="AJ559" s="136"/>
    </row>
    <row r="560" spans="16:36" x14ac:dyDescent="0.2">
      <c r="P560" s="132"/>
      <c r="Q560" s="136"/>
      <c r="R560" s="145"/>
      <c r="S560" s="146"/>
      <c r="AG560" s="179"/>
      <c r="AH560" s="136"/>
      <c r="AI560" s="136"/>
      <c r="AJ560" s="136"/>
    </row>
    <row r="561" spans="16:36" x14ac:dyDescent="0.2">
      <c r="P561" s="132"/>
      <c r="Q561" s="136"/>
      <c r="R561" s="145"/>
      <c r="S561" s="146"/>
      <c r="AG561" s="179"/>
      <c r="AH561" s="136"/>
      <c r="AI561" s="136"/>
      <c r="AJ561" s="136"/>
    </row>
    <row r="562" spans="16:36" x14ac:dyDescent="0.2">
      <c r="P562" s="132"/>
      <c r="Q562" s="136"/>
      <c r="R562" s="145"/>
      <c r="S562" s="146"/>
      <c r="AG562" s="179"/>
      <c r="AH562" s="136"/>
      <c r="AI562" s="136"/>
      <c r="AJ562" s="136"/>
    </row>
    <row r="563" spans="16:36" x14ac:dyDescent="0.2">
      <c r="P563" s="132"/>
      <c r="Q563" s="136"/>
      <c r="R563" s="145"/>
      <c r="S563" s="146"/>
      <c r="AG563" s="179"/>
      <c r="AH563" s="136"/>
      <c r="AI563" s="136"/>
      <c r="AJ563" s="136"/>
    </row>
    <row r="564" spans="16:36" x14ac:dyDescent="0.2">
      <c r="P564" s="132"/>
      <c r="Q564" s="136"/>
      <c r="R564" s="145"/>
      <c r="S564" s="146"/>
      <c r="AG564" s="179"/>
      <c r="AH564" s="136"/>
      <c r="AI564" s="136"/>
      <c r="AJ564" s="136"/>
    </row>
    <row r="565" spans="16:36" x14ac:dyDescent="0.2">
      <c r="P565" s="132"/>
      <c r="Q565" s="136"/>
      <c r="R565" s="145"/>
      <c r="S565" s="146"/>
      <c r="AG565" s="179"/>
      <c r="AH565" s="136"/>
      <c r="AI565" s="136"/>
      <c r="AJ565" s="136"/>
    </row>
    <row r="566" spans="16:36" x14ac:dyDescent="0.2">
      <c r="P566" s="132"/>
      <c r="Q566" s="136"/>
      <c r="R566" s="145"/>
      <c r="S566" s="146"/>
      <c r="AG566" s="179"/>
      <c r="AH566" s="136"/>
      <c r="AI566" s="136"/>
      <c r="AJ566" s="136"/>
    </row>
    <row r="567" spans="16:36" x14ac:dyDescent="0.2">
      <c r="P567" s="132"/>
      <c r="Q567" s="136"/>
      <c r="R567" s="145"/>
      <c r="S567" s="146"/>
      <c r="AG567" s="179"/>
      <c r="AH567" s="136"/>
      <c r="AI567" s="136"/>
      <c r="AJ567" s="136"/>
    </row>
    <row r="568" spans="16:36" x14ac:dyDescent="0.2">
      <c r="P568" s="132"/>
      <c r="Q568" s="136"/>
      <c r="R568" s="145"/>
      <c r="S568" s="146"/>
      <c r="AG568" s="179"/>
      <c r="AH568" s="136"/>
      <c r="AI568" s="136"/>
      <c r="AJ568" s="136"/>
    </row>
    <row r="569" spans="16:36" x14ac:dyDescent="0.2">
      <c r="P569" s="132"/>
      <c r="Q569" s="136"/>
      <c r="R569" s="145"/>
      <c r="S569" s="146"/>
      <c r="AG569" s="179"/>
      <c r="AH569" s="136"/>
      <c r="AI569" s="136"/>
      <c r="AJ569" s="136"/>
    </row>
    <row r="570" spans="16:36" x14ac:dyDescent="0.2">
      <c r="P570" s="132"/>
      <c r="Q570" s="136"/>
      <c r="R570" s="145"/>
      <c r="S570" s="146"/>
      <c r="AG570" s="179"/>
      <c r="AH570" s="136"/>
      <c r="AI570" s="136"/>
      <c r="AJ570" s="136"/>
    </row>
    <row r="571" spans="16:36" x14ac:dyDescent="0.2">
      <c r="P571" s="132"/>
      <c r="Q571" s="136"/>
      <c r="R571" s="145"/>
      <c r="S571" s="146"/>
      <c r="AG571" s="179"/>
      <c r="AH571" s="136"/>
      <c r="AI571" s="136"/>
      <c r="AJ571" s="136"/>
    </row>
    <row r="572" spans="16:36" x14ac:dyDescent="0.2">
      <c r="P572" s="132"/>
      <c r="Q572" s="136"/>
      <c r="R572" s="145"/>
      <c r="S572" s="146"/>
      <c r="AG572" s="179"/>
      <c r="AH572" s="136"/>
      <c r="AI572" s="136"/>
      <c r="AJ572" s="136"/>
    </row>
    <row r="573" spans="16:36" x14ac:dyDescent="0.2">
      <c r="P573" s="132"/>
      <c r="Q573" s="136"/>
      <c r="R573" s="145"/>
      <c r="S573" s="146"/>
      <c r="AG573" s="179"/>
      <c r="AH573" s="136"/>
      <c r="AI573" s="136"/>
      <c r="AJ573" s="136"/>
    </row>
    <row r="574" spans="16:36" x14ac:dyDescent="0.2">
      <c r="P574" s="132"/>
      <c r="Q574" s="136"/>
      <c r="R574" s="145"/>
      <c r="S574" s="146"/>
      <c r="AG574" s="179"/>
      <c r="AH574" s="136"/>
      <c r="AI574" s="136"/>
      <c r="AJ574" s="136"/>
    </row>
    <row r="575" spans="16:36" x14ac:dyDescent="0.2">
      <c r="P575" s="132"/>
      <c r="Q575" s="136"/>
      <c r="R575" s="145"/>
      <c r="S575" s="146"/>
      <c r="AG575" s="179"/>
      <c r="AH575" s="136"/>
      <c r="AI575" s="136"/>
      <c r="AJ575" s="136"/>
    </row>
    <row r="576" spans="16:36" x14ac:dyDescent="0.2">
      <c r="P576" s="132"/>
      <c r="Q576" s="136"/>
      <c r="R576" s="145"/>
      <c r="S576" s="146"/>
      <c r="AG576" s="179"/>
      <c r="AH576" s="136"/>
      <c r="AI576" s="136"/>
      <c r="AJ576" s="136"/>
    </row>
    <row r="577" spans="16:36" x14ac:dyDescent="0.2">
      <c r="P577" s="132"/>
      <c r="Q577" s="136"/>
      <c r="R577" s="145"/>
      <c r="S577" s="146"/>
      <c r="AG577" s="179"/>
      <c r="AH577" s="136"/>
      <c r="AI577" s="136"/>
      <c r="AJ577" s="136"/>
    </row>
    <row r="578" spans="16:36" x14ac:dyDescent="0.2">
      <c r="P578" s="132"/>
      <c r="Q578" s="136"/>
      <c r="R578" s="145"/>
      <c r="S578" s="146"/>
      <c r="AG578" s="179"/>
      <c r="AH578" s="136"/>
      <c r="AI578" s="136"/>
      <c r="AJ578" s="136"/>
    </row>
    <row r="579" spans="16:36" x14ac:dyDescent="0.2">
      <c r="P579" s="132"/>
      <c r="Q579" s="136"/>
      <c r="R579" s="145"/>
      <c r="S579" s="146"/>
      <c r="AG579" s="179"/>
      <c r="AH579" s="136"/>
      <c r="AI579" s="136"/>
      <c r="AJ579" s="136"/>
    </row>
    <row r="580" spans="16:36" x14ac:dyDescent="0.2">
      <c r="P580" s="132"/>
      <c r="Q580" s="136"/>
      <c r="R580" s="145"/>
      <c r="S580" s="146"/>
      <c r="AG580" s="179"/>
      <c r="AH580" s="136"/>
      <c r="AI580" s="136"/>
      <c r="AJ580" s="136"/>
    </row>
    <row r="581" spans="16:36" x14ac:dyDescent="0.2">
      <c r="P581" s="132"/>
      <c r="Q581" s="136"/>
      <c r="R581" s="145"/>
      <c r="S581" s="146"/>
      <c r="AG581" s="179"/>
      <c r="AH581" s="136"/>
      <c r="AI581" s="136"/>
      <c r="AJ581" s="136"/>
    </row>
    <row r="582" spans="16:36" x14ac:dyDescent="0.2">
      <c r="P582" s="132"/>
      <c r="Q582" s="136"/>
      <c r="R582" s="145"/>
      <c r="S582" s="146"/>
      <c r="AG582" s="179"/>
      <c r="AH582" s="136"/>
      <c r="AI582" s="136"/>
      <c r="AJ582" s="136"/>
    </row>
    <row r="583" spans="16:36" x14ac:dyDescent="0.2">
      <c r="P583" s="132"/>
      <c r="Q583" s="136"/>
      <c r="R583" s="145"/>
      <c r="S583" s="146"/>
      <c r="AG583" s="179"/>
      <c r="AH583" s="136"/>
      <c r="AI583" s="136"/>
      <c r="AJ583" s="136"/>
    </row>
    <row r="584" spans="16:36" x14ac:dyDescent="0.2">
      <c r="P584" s="132"/>
      <c r="Q584" s="136"/>
      <c r="R584" s="145"/>
      <c r="S584" s="146"/>
      <c r="AG584" s="179"/>
      <c r="AH584" s="136"/>
      <c r="AI584" s="136"/>
      <c r="AJ584" s="136"/>
    </row>
    <row r="585" spans="16:36" x14ac:dyDescent="0.2">
      <c r="P585" s="132"/>
      <c r="Q585" s="136"/>
      <c r="R585" s="145"/>
      <c r="S585" s="146"/>
      <c r="AG585" s="179"/>
      <c r="AH585" s="136"/>
      <c r="AI585" s="136"/>
      <c r="AJ585" s="136"/>
    </row>
    <row r="586" spans="16:36" x14ac:dyDescent="0.2">
      <c r="P586" s="132"/>
      <c r="Q586" s="136"/>
      <c r="R586" s="145"/>
      <c r="S586" s="146"/>
      <c r="AG586" s="179"/>
      <c r="AH586" s="136"/>
      <c r="AI586" s="136"/>
      <c r="AJ586" s="136"/>
    </row>
    <row r="587" spans="16:36" x14ac:dyDescent="0.2">
      <c r="P587" s="132"/>
      <c r="Q587" s="136"/>
      <c r="R587" s="145"/>
      <c r="S587" s="146"/>
      <c r="AG587" s="179"/>
      <c r="AH587" s="136"/>
      <c r="AI587" s="136"/>
      <c r="AJ587" s="136"/>
    </row>
    <row r="588" spans="16:36" x14ac:dyDescent="0.2">
      <c r="P588" s="132"/>
      <c r="Q588" s="136"/>
      <c r="R588" s="145"/>
      <c r="S588" s="146"/>
      <c r="AG588" s="179"/>
      <c r="AH588" s="136"/>
      <c r="AI588" s="136"/>
      <c r="AJ588" s="136"/>
    </row>
    <row r="589" spans="16:36" x14ac:dyDescent="0.2">
      <c r="P589" s="132"/>
      <c r="Q589" s="136"/>
      <c r="R589" s="145"/>
      <c r="S589" s="146"/>
      <c r="AG589" s="179"/>
      <c r="AH589" s="136"/>
      <c r="AI589" s="136"/>
      <c r="AJ589" s="136"/>
    </row>
    <row r="590" spans="16:36" x14ac:dyDescent="0.2">
      <c r="P590" s="132"/>
      <c r="Q590" s="136"/>
      <c r="R590" s="145"/>
      <c r="S590" s="146"/>
      <c r="AG590" s="179"/>
      <c r="AH590" s="136"/>
      <c r="AI590" s="136"/>
      <c r="AJ590" s="136"/>
    </row>
    <row r="591" spans="16:36" x14ac:dyDescent="0.2">
      <c r="P591" s="132"/>
      <c r="Q591" s="136"/>
      <c r="R591" s="145"/>
      <c r="S591" s="146"/>
      <c r="AG591" s="179"/>
      <c r="AH591" s="136"/>
      <c r="AI591" s="136"/>
      <c r="AJ591" s="136"/>
    </row>
    <row r="592" spans="16:36" x14ac:dyDescent="0.2">
      <c r="P592" s="132"/>
      <c r="Q592" s="136"/>
      <c r="R592" s="145"/>
      <c r="S592" s="146"/>
      <c r="AG592" s="179"/>
      <c r="AH592" s="136"/>
      <c r="AI592" s="136"/>
      <c r="AJ592" s="136"/>
    </row>
    <row r="593" spans="16:36" x14ac:dyDescent="0.2">
      <c r="P593" s="132"/>
      <c r="Q593" s="136"/>
      <c r="R593" s="145"/>
      <c r="S593" s="146"/>
      <c r="AG593" s="179"/>
      <c r="AH593" s="136"/>
      <c r="AI593" s="136"/>
      <c r="AJ593" s="136"/>
    </row>
    <row r="594" spans="16:36" x14ac:dyDescent="0.2">
      <c r="P594" s="132"/>
      <c r="Q594" s="136"/>
      <c r="R594" s="145"/>
      <c r="S594" s="146"/>
      <c r="AG594" s="179"/>
      <c r="AH594" s="136"/>
      <c r="AI594" s="136"/>
      <c r="AJ594" s="136"/>
    </row>
    <row r="595" spans="16:36" x14ac:dyDescent="0.2">
      <c r="P595" s="132"/>
      <c r="Q595" s="136"/>
      <c r="R595" s="145"/>
      <c r="S595" s="146"/>
      <c r="AG595" s="179"/>
      <c r="AH595" s="136"/>
      <c r="AI595" s="136"/>
      <c r="AJ595" s="136"/>
    </row>
    <row r="596" spans="16:36" x14ac:dyDescent="0.2">
      <c r="P596" s="132"/>
      <c r="Q596" s="136"/>
      <c r="R596" s="145"/>
      <c r="S596" s="146"/>
      <c r="AG596" s="179"/>
      <c r="AH596" s="136"/>
      <c r="AI596" s="136"/>
      <c r="AJ596" s="136"/>
    </row>
    <row r="597" spans="16:36" x14ac:dyDescent="0.2">
      <c r="P597" s="132"/>
      <c r="Q597" s="136"/>
      <c r="R597" s="145"/>
      <c r="S597" s="146"/>
      <c r="AG597" s="179"/>
      <c r="AH597" s="136"/>
      <c r="AI597" s="136"/>
      <c r="AJ597" s="136"/>
    </row>
    <row r="598" spans="16:36" x14ac:dyDescent="0.2">
      <c r="P598" s="132"/>
      <c r="Q598" s="136"/>
      <c r="R598" s="145"/>
      <c r="S598" s="146"/>
      <c r="AG598" s="179"/>
      <c r="AH598" s="136"/>
      <c r="AI598" s="136"/>
      <c r="AJ598" s="136"/>
    </row>
    <row r="599" spans="16:36" x14ac:dyDescent="0.2">
      <c r="P599" s="132"/>
      <c r="Q599" s="136"/>
      <c r="R599" s="145"/>
      <c r="S599" s="146"/>
      <c r="AG599" s="179"/>
      <c r="AH599" s="136"/>
      <c r="AI599" s="136"/>
      <c r="AJ599" s="136"/>
    </row>
    <row r="600" spans="16:36" x14ac:dyDescent="0.2">
      <c r="P600" s="132"/>
      <c r="Q600" s="136"/>
      <c r="R600" s="145"/>
      <c r="S600" s="146"/>
      <c r="AG600" s="179"/>
      <c r="AH600" s="136"/>
      <c r="AI600" s="136"/>
      <c r="AJ600" s="136"/>
    </row>
    <row r="601" spans="16:36" x14ac:dyDescent="0.2">
      <c r="P601" s="132"/>
      <c r="Q601" s="136"/>
      <c r="R601" s="145"/>
      <c r="S601" s="146"/>
      <c r="AG601" s="179"/>
      <c r="AH601" s="136"/>
      <c r="AI601" s="136"/>
      <c r="AJ601" s="136"/>
    </row>
    <row r="602" spans="16:36" x14ac:dyDescent="0.2">
      <c r="P602" s="132"/>
      <c r="Q602" s="136"/>
      <c r="R602" s="145"/>
      <c r="S602" s="146"/>
      <c r="AG602" s="179"/>
      <c r="AH602" s="136"/>
      <c r="AI602" s="136"/>
      <c r="AJ602" s="136"/>
    </row>
    <row r="603" spans="16:36" x14ac:dyDescent="0.2">
      <c r="P603" s="132"/>
      <c r="Q603" s="136"/>
      <c r="R603" s="145"/>
      <c r="S603" s="146"/>
      <c r="AG603" s="179"/>
      <c r="AH603" s="136"/>
      <c r="AI603" s="136"/>
      <c r="AJ603" s="136"/>
    </row>
    <row r="604" spans="16:36" x14ac:dyDescent="0.2">
      <c r="P604" s="132"/>
      <c r="Q604" s="136"/>
      <c r="R604" s="145"/>
      <c r="S604" s="146"/>
      <c r="AG604" s="179"/>
      <c r="AH604" s="136"/>
      <c r="AI604" s="136"/>
      <c r="AJ604" s="136"/>
    </row>
    <row r="605" spans="16:36" x14ac:dyDescent="0.2">
      <c r="P605" s="132"/>
      <c r="Q605" s="136"/>
      <c r="R605" s="145"/>
      <c r="S605" s="146"/>
      <c r="AG605" s="179"/>
      <c r="AH605" s="136"/>
      <c r="AI605" s="136"/>
      <c r="AJ605" s="136"/>
    </row>
    <row r="606" spans="16:36" x14ac:dyDescent="0.2">
      <c r="P606" s="132"/>
      <c r="Q606" s="136"/>
      <c r="R606" s="145"/>
      <c r="S606" s="146"/>
      <c r="AG606" s="179"/>
      <c r="AH606" s="136"/>
      <c r="AI606" s="136"/>
      <c r="AJ606" s="136"/>
    </row>
    <row r="607" spans="16:36" x14ac:dyDescent="0.2">
      <c r="P607" s="132"/>
      <c r="Q607" s="136"/>
      <c r="R607" s="145"/>
      <c r="S607" s="146"/>
      <c r="AG607" s="179"/>
      <c r="AH607" s="136"/>
      <c r="AI607" s="136"/>
      <c r="AJ607" s="136"/>
    </row>
    <row r="608" spans="16:36" x14ac:dyDescent="0.2">
      <c r="P608" s="132"/>
      <c r="Q608" s="136"/>
      <c r="R608" s="145"/>
      <c r="S608" s="146"/>
      <c r="AG608" s="179"/>
      <c r="AH608" s="136"/>
      <c r="AI608" s="136"/>
      <c r="AJ608" s="136"/>
    </row>
    <row r="609" spans="16:36" x14ac:dyDescent="0.2">
      <c r="P609" s="132"/>
      <c r="Q609" s="136"/>
      <c r="R609" s="145"/>
      <c r="S609" s="146"/>
      <c r="AG609" s="179"/>
      <c r="AH609" s="136"/>
      <c r="AI609" s="136"/>
      <c r="AJ609" s="136"/>
    </row>
    <row r="610" spans="16:36" x14ac:dyDescent="0.2">
      <c r="P610" s="132"/>
      <c r="Q610" s="136"/>
      <c r="R610" s="145"/>
      <c r="S610" s="146"/>
      <c r="AG610" s="179"/>
      <c r="AH610" s="136"/>
      <c r="AI610" s="136"/>
      <c r="AJ610" s="136"/>
    </row>
    <row r="611" spans="16:36" x14ac:dyDescent="0.2">
      <c r="P611" s="132"/>
      <c r="Q611" s="136"/>
      <c r="R611" s="145"/>
      <c r="S611" s="146"/>
      <c r="AG611" s="179"/>
      <c r="AH611" s="136"/>
      <c r="AI611" s="136"/>
      <c r="AJ611" s="136"/>
    </row>
    <row r="612" spans="16:36" x14ac:dyDescent="0.2">
      <c r="P612" s="132"/>
      <c r="Q612" s="136"/>
      <c r="R612" s="145"/>
      <c r="S612" s="146"/>
      <c r="AG612" s="179"/>
      <c r="AH612" s="136"/>
      <c r="AI612" s="136"/>
      <c r="AJ612" s="136"/>
    </row>
    <row r="613" spans="16:36" x14ac:dyDescent="0.2">
      <c r="P613" s="132"/>
      <c r="Q613" s="136"/>
      <c r="R613" s="145"/>
      <c r="S613" s="146"/>
      <c r="AG613" s="179"/>
      <c r="AH613" s="136"/>
      <c r="AI613" s="136"/>
      <c r="AJ613" s="136"/>
    </row>
    <row r="614" spans="16:36" x14ac:dyDescent="0.2">
      <c r="P614" s="132"/>
      <c r="Q614" s="136"/>
      <c r="R614" s="145"/>
      <c r="S614" s="146"/>
      <c r="AG614" s="179"/>
      <c r="AH614" s="136"/>
      <c r="AI614" s="136"/>
      <c r="AJ614" s="136"/>
    </row>
    <row r="615" spans="16:36" x14ac:dyDescent="0.2">
      <c r="P615" s="132"/>
      <c r="Q615" s="136"/>
      <c r="R615" s="145"/>
      <c r="S615" s="146"/>
      <c r="AG615" s="179"/>
      <c r="AH615" s="136"/>
      <c r="AI615" s="136"/>
      <c r="AJ615" s="136"/>
    </row>
    <row r="616" spans="16:36" x14ac:dyDescent="0.2">
      <c r="P616" s="132"/>
      <c r="Q616" s="136"/>
      <c r="R616" s="145"/>
      <c r="S616" s="146"/>
      <c r="AG616" s="179"/>
      <c r="AH616" s="136"/>
      <c r="AI616" s="136"/>
      <c r="AJ616" s="136"/>
    </row>
    <row r="617" spans="16:36" x14ac:dyDescent="0.2">
      <c r="P617" s="132"/>
      <c r="Q617" s="136"/>
      <c r="R617" s="145"/>
      <c r="S617" s="146"/>
      <c r="AG617" s="179"/>
      <c r="AH617" s="136"/>
      <c r="AI617" s="136"/>
      <c r="AJ617" s="136"/>
    </row>
    <row r="618" spans="16:36" x14ac:dyDescent="0.2">
      <c r="P618" s="132"/>
      <c r="Q618" s="136"/>
      <c r="R618" s="145"/>
      <c r="S618" s="146"/>
      <c r="AG618" s="179"/>
      <c r="AH618" s="136"/>
      <c r="AI618" s="136"/>
      <c r="AJ618" s="136"/>
    </row>
    <row r="619" spans="16:36" x14ac:dyDescent="0.2">
      <c r="P619" s="132"/>
      <c r="Q619" s="136"/>
      <c r="R619" s="145"/>
      <c r="S619" s="146"/>
      <c r="AG619" s="179"/>
      <c r="AH619" s="136"/>
      <c r="AI619" s="136"/>
      <c r="AJ619" s="136"/>
    </row>
    <row r="620" spans="16:36" x14ac:dyDescent="0.2">
      <c r="P620" s="132"/>
      <c r="Q620" s="136"/>
      <c r="R620" s="145"/>
      <c r="S620" s="146"/>
      <c r="AG620" s="179"/>
      <c r="AH620" s="136"/>
      <c r="AI620" s="136"/>
      <c r="AJ620" s="136"/>
    </row>
    <row r="621" spans="16:36" x14ac:dyDescent="0.2">
      <c r="P621" s="132"/>
      <c r="Q621" s="136"/>
      <c r="R621" s="145"/>
      <c r="S621" s="146"/>
      <c r="AG621" s="179"/>
      <c r="AH621" s="136"/>
      <c r="AI621" s="136"/>
      <c r="AJ621" s="136"/>
    </row>
    <row r="622" spans="16:36" x14ac:dyDescent="0.2">
      <c r="P622" s="132"/>
      <c r="Q622" s="136"/>
      <c r="R622" s="145"/>
      <c r="S622" s="146"/>
      <c r="AG622" s="179"/>
      <c r="AH622" s="136"/>
      <c r="AI622" s="136"/>
      <c r="AJ622" s="136"/>
    </row>
    <row r="623" spans="16:36" x14ac:dyDescent="0.2">
      <c r="P623" s="132"/>
      <c r="Q623" s="136"/>
      <c r="R623" s="145"/>
      <c r="S623" s="146"/>
      <c r="AG623" s="179"/>
      <c r="AH623" s="136"/>
      <c r="AI623" s="136"/>
      <c r="AJ623" s="136"/>
    </row>
    <row r="624" spans="16:36" x14ac:dyDescent="0.2">
      <c r="P624" s="132"/>
      <c r="Q624" s="136"/>
      <c r="R624" s="145"/>
      <c r="S624" s="146"/>
      <c r="AG624" s="179"/>
      <c r="AH624" s="136"/>
      <c r="AI624" s="136"/>
      <c r="AJ624" s="136"/>
    </row>
    <row r="625" spans="16:36" x14ac:dyDescent="0.2">
      <c r="P625" s="132"/>
      <c r="Q625" s="136"/>
      <c r="R625" s="145"/>
      <c r="S625" s="146"/>
      <c r="AG625" s="179"/>
      <c r="AH625" s="136"/>
      <c r="AI625" s="136"/>
      <c r="AJ625" s="136"/>
    </row>
    <row r="626" spans="16:36" x14ac:dyDescent="0.2">
      <c r="P626" s="132"/>
      <c r="Q626" s="136"/>
      <c r="R626" s="145"/>
      <c r="S626" s="146"/>
      <c r="AG626" s="179"/>
      <c r="AH626" s="136"/>
      <c r="AI626" s="136"/>
      <c r="AJ626" s="136"/>
    </row>
    <row r="627" spans="16:36" x14ac:dyDescent="0.2">
      <c r="P627" s="132"/>
      <c r="Q627" s="136"/>
      <c r="R627" s="145"/>
      <c r="S627" s="146"/>
      <c r="AG627" s="179"/>
      <c r="AH627" s="136"/>
      <c r="AI627" s="136"/>
      <c r="AJ627" s="136"/>
    </row>
    <row r="628" spans="16:36" x14ac:dyDescent="0.2">
      <c r="P628" s="132"/>
      <c r="Q628" s="136"/>
      <c r="R628" s="145"/>
      <c r="S628" s="146"/>
      <c r="AG628" s="179"/>
      <c r="AH628" s="136"/>
      <c r="AI628" s="136"/>
      <c r="AJ628" s="136"/>
    </row>
    <row r="629" spans="16:36" x14ac:dyDescent="0.2">
      <c r="P629" s="132"/>
      <c r="Q629" s="136"/>
      <c r="R629" s="145"/>
      <c r="S629" s="146"/>
      <c r="AG629" s="179"/>
      <c r="AH629" s="136"/>
      <c r="AI629" s="136"/>
      <c r="AJ629" s="136"/>
    </row>
    <row r="630" spans="16:36" x14ac:dyDescent="0.2">
      <c r="P630" s="132"/>
      <c r="Q630" s="136"/>
      <c r="R630" s="145"/>
      <c r="S630" s="146"/>
      <c r="AG630" s="179"/>
      <c r="AH630" s="136"/>
      <c r="AI630" s="136"/>
      <c r="AJ630" s="136"/>
    </row>
    <row r="631" spans="16:36" x14ac:dyDescent="0.2">
      <c r="P631" s="132"/>
      <c r="Q631" s="136"/>
      <c r="R631" s="145"/>
      <c r="S631" s="146"/>
      <c r="AG631" s="179"/>
      <c r="AH631" s="136"/>
      <c r="AI631" s="136"/>
      <c r="AJ631" s="136"/>
    </row>
    <row r="632" spans="16:36" x14ac:dyDescent="0.2">
      <c r="P632" s="132"/>
      <c r="Q632" s="136"/>
      <c r="R632" s="145"/>
      <c r="S632" s="146"/>
      <c r="AG632" s="179"/>
      <c r="AH632" s="136"/>
      <c r="AI632" s="136"/>
      <c r="AJ632" s="136"/>
    </row>
    <row r="633" spans="16:36" x14ac:dyDescent="0.2">
      <c r="P633" s="132"/>
      <c r="Q633" s="136"/>
      <c r="R633" s="145"/>
      <c r="S633" s="146"/>
      <c r="AG633" s="179"/>
      <c r="AH633" s="136"/>
      <c r="AI633" s="136"/>
      <c r="AJ633" s="136"/>
    </row>
    <row r="634" spans="16:36" x14ac:dyDescent="0.2">
      <c r="P634" s="132"/>
      <c r="Q634" s="136"/>
      <c r="R634" s="145"/>
      <c r="S634" s="146"/>
      <c r="AG634" s="179"/>
      <c r="AH634" s="136"/>
      <c r="AI634" s="136"/>
      <c r="AJ634" s="136"/>
    </row>
    <row r="635" spans="16:36" x14ac:dyDescent="0.2">
      <c r="P635" s="132"/>
      <c r="Q635" s="136"/>
      <c r="R635" s="145"/>
      <c r="S635" s="146"/>
      <c r="AG635" s="179"/>
      <c r="AH635" s="136"/>
      <c r="AI635" s="136"/>
      <c r="AJ635" s="136"/>
    </row>
    <row r="636" spans="16:36" x14ac:dyDescent="0.2">
      <c r="P636" s="132"/>
      <c r="Q636" s="136"/>
      <c r="R636" s="145"/>
      <c r="S636" s="146"/>
      <c r="AG636" s="179"/>
      <c r="AH636" s="136"/>
      <c r="AI636" s="136"/>
      <c r="AJ636" s="136"/>
    </row>
    <row r="637" spans="16:36" x14ac:dyDescent="0.2">
      <c r="P637" s="132"/>
      <c r="Q637" s="136"/>
      <c r="R637" s="145"/>
      <c r="S637" s="146"/>
      <c r="AG637" s="179"/>
      <c r="AH637" s="136"/>
      <c r="AI637" s="136"/>
      <c r="AJ637" s="136"/>
    </row>
    <row r="638" spans="16:36" x14ac:dyDescent="0.2">
      <c r="P638" s="132"/>
      <c r="Q638" s="136"/>
      <c r="R638" s="145"/>
      <c r="S638" s="146"/>
      <c r="AG638" s="179"/>
      <c r="AH638" s="136"/>
      <c r="AI638" s="136"/>
      <c r="AJ638" s="136"/>
    </row>
    <row r="639" spans="16:36" x14ac:dyDescent="0.2">
      <c r="P639" s="132"/>
      <c r="Q639" s="136"/>
      <c r="R639" s="145"/>
      <c r="S639" s="146"/>
      <c r="AG639" s="179"/>
      <c r="AH639" s="136"/>
      <c r="AI639" s="136"/>
      <c r="AJ639" s="136"/>
    </row>
    <row r="640" spans="16:36" x14ac:dyDescent="0.2">
      <c r="P640" s="132"/>
      <c r="Q640" s="136"/>
      <c r="R640" s="145"/>
      <c r="S640" s="146"/>
      <c r="AG640" s="179"/>
      <c r="AH640" s="136"/>
      <c r="AI640" s="136"/>
      <c r="AJ640" s="136"/>
    </row>
    <row r="641" spans="16:36" x14ac:dyDescent="0.2">
      <c r="P641" s="132"/>
      <c r="Q641" s="136"/>
      <c r="R641" s="145"/>
      <c r="S641" s="146"/>
      <c r="AG641" s="179"/>
      <c r="AH641" s="136"/>
      <c r="AI641" s="136"/>
      <c r="AJ641" s="136"/>
    </row>
    <row r="642" spans="16:36" x14ac:dyDescent="0.2">
      <c r="P642" s="132"/>
      <c r="Q642" s="136"/>
      <c r="R642" s="145"/>
      <c r="S642" s="146"/>
      <c r="AG642" s="179"/>
      <c r="AH642" s="136"/>
      <c r="AI642" s="136"/>
      <c r="AJ642" s="136"/>
    </row>
    <row r="643" spans="16:36" x14ac:dyDescent="0.2">
      <c r="P643" s="132"/>
      <c r="Q643" s="136"/>
      <c r="R643" s="145"/>
      <c r="S643" s="146"/>
      <c r="AG643" s="179"/>
      <c r="AH643" s="136"/>
      <c r="AI643" s="136"/>
      <c r="AJ643" s="136"/>
    </row>
    <row r="644" spans="16:36" x14ac:dyDescent="0.2">
      <c r="P644" s="132"/>
      <c r="Q644" s="136"/>
      <c r="R644" s="145"/>
      <c r="S644" s="146"/>
      <c r="AG644" s="179"/>
      <c r="AH644" s="136"/>
      <c r="AI644" s="136"/>
      <c r="AJ644" s="136"/>
    </row>
    <row r="645" spans="16:36" x14ac:dyDescent="0.2">
      <c r="P645" s="132"/>
      <c r="Q645" s="136"/>
      <c r="R645" s="145"/>
      <c r="S645" s="146"/>
      <c r="AG645" s="179"/>
      <c r="AH645" s="136"/>
      <c r="AI645" s="136"/>
      <c r="AJ645" s="136"/>
    </row>
    <row r="646" spans="16:36" x14ac:dyDescent="0.2">
      <c r="P646" s="132"/>
      <c r="Q646" s="136"/>
      <c r="R646" s="145"/>
      <c r="S646" s="146"/>
      <c r="AG646" s="179"/>
      <c r="AH646" s="136"/>
      <c r="AI646" s="136"/>
      <c r="AJ646" s="136"/>
    </row>
    <row r="647" spans="16:36" x14ac:dyDescent="0.2">
      <c r="P647" s="132"/>
      <c r="Q647" s="136"/>
      <c r="R647" s="145"/>
      <c r="S647" s="146"/>
      <c r="AG647" s="179"/>
      <c r="AH647" s="136"/>
      <c r="AI647" s="136"/>
      <c r="AJ647" s="136"/>
    </row>
    <row r="648" spans="16:36" x14ac:dyDescent="0.2">
      <c r="P648" s="132"/>
      <c r="Q648" s="136"/>
      <c r="R648" s="145"/>
      <c r="S648" s="146"/>
      <c r="AG648" s="179"/>
      <c r="AH648" s="136"/>
      <c r="AI648" s="136"/>
      <c r="AJ648" s="136"/>
    </row>
    <row r="649" spans="16:36" x14ac:dyDescent="0.2">
      <c r="P649" s="132"/>
      <c r="Q649" s="136"/>
      <c r="R649" s="145"/>
      <c r="S649" s="146"/>
      <c r="AG649" s="179"/>
      <c r="AH649" s="136"/>
      <c r="AI649" s="136"/>
      <c r="AJ649" s="136"/>
    </row>
    <row r="650" spans="16:36" x14ac:dyDescent="0.2">
      <c r="P650" s="132"/>
      <c r="Q650" s="136"/>
      <c r="R650" s="145"/>
      <c r="S650" s="146"/>
      <c r="AG650" s="179"/>
      <c r="AH650" s="136"/>
      <c r="AI650" s="136"/>
      <c r="AJ650" s="136"/>
    </row>
    <row r="651" spans="16:36" x14ac:dyDescent="0.2">
      <c r="P651" s="132"/>
      <c r="Q651" s="136"/>
      <c r="R651" s="145"/>
      <c r="S651" s="146"/>
      <c r="AG651" s="179"/>
      <c r="AH651" s="136"/>
      <c r="AI651" s="136"/>
      <c r="AJ651" s="136"/>
    </row>
    <row r="652" spans="16:36" x14ac:dyDescent="0.2">
      <c r="P652" s="132"/>
      <c r="Q652" s="136"/>
      <c r="R652" s="145"/>
      <c r="S652" s="146"/>
      <c r="AG652" s="179"/>
      <c r="AH652" s="136"/>
      <c r="AI652" s="136"/>
      <c r="AJ652" s="136"/>
    </row>
    <row r="653" spans="16:36" x14ac:dyDescent="0.2">
      <c r="P653" s="132"/>
      <c r="Q653" s="136"/>
      <c r="R653" s="145"/>
      <c r="S653" s="146"/>
      <c r="AG653" s="179"/>
      <c r="AH653" s="136"/>
      <c r="AI653" s="136"/>
      <c r="AJ653" s="136"/>
    </row>
    <row r="654" spans="16:36" x14ac:dyDescent="0.2">
      <c r="P654" s="132"/>
      <c r="Q654" s="136"/>
      <c r="R654" s="145"/>
      <c r="S654" s="146"/>
      <c r="AG654" s="179"/>
      <c r="AH654" s="136"/>
      <c r="AI654" s="136"/>
      <c r="AJ654" s="136"/>
    </row>
    <row r="655" spans="16:36" x14ac:dyDescent="0.2">
      <c r="P655" s="132"/>
      <c r="Q655" s="136"/>
      <c r="R655" s="145"/>
      <c r="S655" s="146"/>
      <c r="AG655" s="179"/>
      <c r="AH655" s="136"/>
      <c r="AI655" s="136"/>
      <c r="AJ655" s="136"/>
    </row>
    <row r="656" spans="16:36" x14ac:dyDescent="0.2">
      <c r="P656" s="132"/>
      <c r="Q656" s="136"/>
      <c r="R656" s="145"/>
      <c r="S656" s="146"/>
      <c r="AG656" s="179"/>
      <c r="AH656" s="136"/>
      <c r="AI656" s="136"/>
      <c r="AJ656" s="136"/>
    </row>
    <row r="657" spans="16:36" x14ac:dyDescent="0.2">
      <c r="P657" s="132"/>
      <c r="Q657" s="136"/>
      <c r="R657" s="145"/>
      <c r="S657" s="146"/>
      <c r="AG657" s="179"/>
      <c r="AH657" s="136"/>
      <c r="AI657" s="136"/>
      <c r="AJ657" s="136"/>
    </row>
    <row r="658" spans="16:36" x14ac:dyDescent="0.2">
      <c r="P658" s="132"/>
      <c r="Q658" s="136"/>
      <c r="R658" s="145"/>
      <c r="S658" s="146"/>
      <c r="AG658" s="179"/>
      <c r="AH658" s="136"/>
      <c r="AI658" s="136"/>
      <c r="AJ658" s="136"/>
    </row>
    <row r="659" spans="16:36" x14ac:dyDescent="0.2">
      <c r="P659" s="132"/>
      <c r="Q659" s="136"/>
      <c r="R659" s="145"/>
      <c r="S659" s="146"/>
      <c r="AG659" s="179"/>
      <c r="AH659" s="136"/>
      <c r="AI659" s="136"/>
      <c r="AJ659" s="136"/>
    </row>
    <row r="660" spans="16:36" x14ac:dyDescent="0.2">
      <c r="P660" s="132"/>
      <c r="Q660" s="136"/>
      <c r="R660" s="145"/>
      <c r="S660" s="146"/>
      <c r="AG660" s="179"/>
      <c r="AH660" s="136"/>
      <c r="AI660" s="136"/>
      <c r="AJ660" s="136"/>
    </row>
    <row r="661" spans="16:36" x14ac:dyDescent="0.2">
      <c r="P661" s="132"/>
      <c r="Q661" s="136"/>
      <c r="R661" s="145"/>
      <c r="S661" s="146"/>
      <c r="AG661" s="179"/>
      <c r="AH661" s="136"/>
      <c r="AI661" s="136"/>
      <c r="AJ661" s="136"/>
    </row>
    <row r="662" spans="16:36" x14ac:dyDescent="0.2">
      <c r="P662" s="132"/>
      <c r="Q662" s="136"/>
      <c r="R662" s="145"/>
      <c r="S662" s="146"/>
      <c r="AG662" s="179"/>
      <c r="AH662" s="136"/>
      <c r="AI662" s="136"/>
      <c r="AJ662" s="136"/>
    </row>
    <row r="663" spans="16:36" x14ac:dyDescent="0.2">
      <c r="P663" s="132"/>
      <c r="Q663" s="136"/>
      <c r="R663" s="145"/>
      <c r="S663" s="146"/>
      <c r="AG663" s="179"/>
      <c r="AH663" s="136"/>
      <c r="AI663" s="136"/>
      <c r="AJ663" s="136"/>
    </row>
    <row r="664" spans="16:36" x14ac:dyDescent="0.2">
      <c r="P664" s="132"/>
      <c r="Q664" s="136"/>
      <c r="R664" s="145"/>
      <c r="S664" s="146"/>
      <c r="AG664" s="179"/>
      <c r="AH664" s="136"/>
      <c r="AI664" s="136"/>
      <c r="AJ664" s="136"/>
    </row>
    <row r="665" spans="16:36" x14ac:dyDescent="0.2">
      <c r="P665" s="132"/>
      <c r="Q665" s="136"/>
      <c r="R665" s="145"/>
      <c r="S665" s="146"/>
      <c r="AG665" s="179"/>
      <c r="AH665" s="136"/>
      <c r="AI665" s="136"/>
      <c r="AJ665" s="136"/>
    </row>
    <row r="666" spans="16:36" x14ac:dyDescent="0.2">
      <c r="P666" s="132"/>
      <c r="Q666" s="136"/>
      <c r="R666" s="145"/>
      <c r="S666" s="146"/>
      <c r="AG666" s="179"/>
      <c r="AH666" s="136"/>
      <c r="AI666" s="136"/>
      <c r="AJ666" s="136"/>
    </row>
    <row r="667" spans="16:36" x14ac:dyDescent="0.2">
      <c r="P667" s="132"/>
      <c r="Q667" s="136"/>
      <c r="R667" s="145"/>
      <c r="S667" s="146"/>
      <c r="AG667" s="179"/>
      <c r="AH667" s="136"/>
      <c r="AI667" s="136"/>
      <c r="AJ667" s="136"/>
    </row>
    <row r="668" spans="16:36" x14ac:dyDescent="0.2">
      <c r="P668" s="132"/>
      <c r="Q668" s="136"/>
      <c r="R668" s="145"/>
      <c r="S668" s="146"/>
      <c r="AG668" s="179"/>
      <c r="AH668" s="136"/>
      <c r="AI668" s="136"/>
      <c r="AJ668" s="136"/>
    </row>
    <row r="669" spans="16:36" x14ac:dyDescent="0.2">
      <c r="P669" s="132"/>
      <c r="Q669" s="136"/>
      <c r="R669" s="145"/>
      <c r="S669" s="146"/>
      <c r="AG669" s="179"/>
      <c r="AH669" s="136"/>
      <c r="AI669" s="136"/>
      <c r="AJ669" s="136"/>
    </row>
    <row r="670" spans="16:36" x14ac:dyDescent="0.2">
      <c r="P670" s="132"/>
      <c r="Q670" s="136"/>
      <c r="R670" s="145"/>
      <c r="S670" s="146"/>
      <c r="AG670" s="179"/>
      <c r="AH670" s="136"/>
      <c r="AI670" s="136"/>
      <c r="AJ670" s="136"/>
    </row>
    <row r="671" spans="16:36" x14ac:dyDescent="0.2">
      <c r="P671" s="132"/>
      <c r="Q671" s="136"/>
      <c r="R671" s="145"/>
      <c r="S671" s="146"/>
      <c r="AG671" s="179"/>
      <c r="AH671" s="136"/>
      <c r="AI671" s="136"/>
      <c r="AJ671" s="136"/>
    </row>
    <row r="672" spans="16:36" x14ac:dyDescent="0.2">
      <c r="P672" s="132"/>
      <c r="Q672" s="136"/>
      <c r="R672" s="145"/>
      <c r="S672" s="146"/>
      <c r="AG672" s="179"/>
      <c r="AH672" s="136"/>
      <c r="AI672" s="136"/>
      <c r="AJ672" s="136"/>
    </row>
    <row r="673" spans="16:36" x14ac:dyDescent="0.2">
      <c r="P673" s="132"/>
      <c r="Q673" s="136"/>
      <c r="R673" s="145"/>
      <c r="S673" s="146"/>
      <c r="AG673" s="179"/>
      <c r="AH673" s="136"/>
      <c r="AI673" s="136"/>
      <c r="AJ673" s="136"/>
    </row>
    <row r="674" spans="16:36" x14ac:dyDescent="0.2">
      <c r="P674" s="132"/>
      <c r="Q674" s="136"/>
      <c r="R674" s="145"/>
      <c r="S674" s="146"/>
      <c r="AG674" s="179"/>
      <c r="AH674" s="136"/>
      <c r="AI674" s="136"/>
      <c r="AJ674" s="136"/>
    </row>
    <row r="675" spans="16:36" x14ac:dyDescent="0.2">
      <c r="P675" s="132"/>
      <c r="Q675" s="136"/>
      <c r="R675" s="145"/>
      <c r="S675" s="146"/>
      <c r="AG675" s="179"/>
      <c r="AH675" s="136"/>
      <c r="AI675" s="136"/>
      <c r="AJ675" s="136"/>
    </row>
    <row r="676" spans="16:36" x14ac:dyDescent="0.2">
      <c r="P676" s="132"/>
      <c r="Q676" s="136"/>
      <c r="R676" s="145"/>
      <c r="S676" s="146"/>
      <c r="AG676" s="179"/>
      <c r="AH676" s="136"/>
      <c r="AI676" s="136"/>
      <c r="AJ676" s="136"/>
    </row>
    <row r="677" spans="16:36" x14ac:dyDescent="0.2">
      <c r="P677" s="132"/>
      <c r="Q677" s="136"/>
      <c r="R677" s="145"/>
      <c r="S677" s="146"/>
      <c r="AG677" s="179"/>
      <c r="AH677" s="136"/>
      <c r="AI677" s="136"/>
      <c r="AJ677" s="136"/>
    </row>
    <row r="678" spans="16:36" x14ac:dyDescent="0.2">
      <c r="P678" s="132"/>
      <c r="Q678" s="136"/>
      <c r="R678" s="145"/>
      <c r="S678" s="146"/>
      <c r="AG678" s="179"/>
      <c r="AH678" s="136"/>
      <c r="AI678" s="136"/>
      <c r="AJ678" s="136"/>
    </row>
    <row r="679" spans="16:36" x14ac:dyDescent="0.2">
      <c r="P679" s="132"/>
      <c r="Q679" s="136"/>
      <c r="R679" s="145"/>
      <c r="S679" s="146"/>
      <c r="AG679" s="179"/>
      <c r="AH679" s="136"/>
      <c r="AI679" s="136"/>
      <c r="AJ679" s="136"/>
    </row>
    <row r="680" spans="16:36" x14ac:dyDescent="0.2">
      <c r="P680" s="132"/>
      <c r="Q680" s="136"/>
      <c r="R680" s="145"/>
      <c r="S680" s="146"/>
      <c r="AG680" s="179"/>
      <c r="AH680" s="136"/>
      <c r="AI680" s="136"/>
      <c r="AJ680" s="136"/>
    </row>
    <row r="681" spans="16:36" x14ac:dyDescent="0.2">
      <c r="P681" s="132"/>
      <c r="Q681" s="136"/>
      <c r="R681" s="145"/>
      <c r="S681" s="146"/>
      <c r="AG681" s="179"/>
      <c r="AH681" s="136"/>
      <c r="AI681" s="136"/>
      <c r="AJ681" s="136"/>
    </row>
    <row r="682" spans="16:36" x14ac:dyDescent="0.2">
      <c r="P682" s="132"/>
      <c r="Q682" s="136"/>
      <c r="R682" s="145"/>
      <c r="S682" s="146"/>
      <c r="AG682" s="179"/>
      <c r="AH682" s="136"/>
      <c r="AI682" s="136"/>
      <c r="AJ682" s="136"/>
    </row>
    <row r="683" spans="16:36" x14ac:dyDescent="0.2">
      <c r="P683" s="132"/>
      <c r="Q683" s="136"/>
      <c r="R683" s="145"/>
      <c r="S683" s="146"/>
      <c r="AG683" s="179"/>
      <c r="AH683" s="136"/>
      <c r="AI683" s="136"/>
      <c r="AJ683" s="136"/>
    </row>
    <row r="684" spans="16:36" x14ac:dyDescent="0.2">
      <c r="P684" s="132"/>
      <c r="Q684" s="136"/>
      <c r="R684" s="145"/>
      <c r="S684" s="146"/>
      <c r="AG684" s="179"/>
      <c r="AH684" s="136"/>
      <c r="AI684" s="136"/>
      <c r="AJ684" s="136"/>
    </row>
    <row r="685" spans="16:36" x14ac:dyDescent="0.2">
      <c r="P685" s="132"/>
      <c r="Q685" s="136"/>
      <c r="R685" s="145"/>
      <c r="S685" s="146"/>
      <c r="AG685" s="179"/>
      <c r="AH685" s="136"/>
      <c r="AI685" s="136"/>
      <c r="AJ685" s="136"/>
    </row>
    <row r="686" spans="16:36" x14ac:dyDescent="0.2">
      <c r="P686" s="132"/>
      <c r="Q686" s="136"/>
      <c r="R686" s="145"/>
      <c r="S686" s="146"/>
      <c r="AG686" s="179"/>
      <c r="AH686" s="136"/>
      <c r="AI686" s="136"/>
      <c r="AJ686" s="136"/>
    </row>
    <row r="687" spans="16:36" x14ac:dyDescent="0.2">
      <c r="P687" s="132"/>
      <c r="Q687" s="136"/>
      <c r="R687" s="145"/>
      <c r="S687" s="146"/>
      <c r="AG687" s="179"/>
      <c r="AH687" s="136"/>
      <c r="AI687" s="136"/>
      <c r="AJ687" s="136"/>
    </row>
    <row r="688" spans="16:36" x14ac:dyDescent="0.2">
      <c r="P688" s="132"/>
      <c r="Q688" s="136"/>
      <c r="R688" s="145"/>
      <c r="S688" s="146"/>
      <c r="AG688" s="179"/>
      <c r="AH688" s="136"/>
      <c r="AI688" s="136"/>
      <c r="AJ688" s="136"/>
    </row>
    <row r="689" spans="16:36" x14ac:dyDescent="0.2">
      <c r="P689" s="132"/>
      <c r="Q689" s="136"/>
      <c r="R689" s="145"/>
      <c r="S689" s="146"/>
      <c r="AG689" s="179"/>
      <c r="AH689" s="136"/>
      <c r="AI689" s="136"/>
      <c r="AJ689" s="136"/>
    </row>
    <row r="690" spans="16:36" x14ac:dyDescent="0.2">
      <c r="P690" s="132"/>
      <c r="Q690" s="136"/>
      <c r="R690" s="145"/>
      <c r="S690" s="146"/>
      <c r="AG690" s="179"/>
      <c r="AH690" s="136"/>
      <c r="AI690" s="136"/>
      <c r="AJ690" s="136"/>
    </row>
    <row r="691" spans="16:36" x14ac:dyDescent="0.2">
      <c r="P691" s="132"/>
      <c r="Q691" s="136"/>
      <c r="R691" s="145"/>
      <c r="S691" s="146"/>
      <c r="AG691" s="179"/>
      <c r="AH691" s="136"/>
      <c r="AI691" s="136"/>
      <c r="AJ691" s="136"/>
    </row>
    <row r="692" spans="16:36" x14ac:dyDescent="0.2">
      <c r="P692" s="132"/>
      <c r="Q692" s="136"/>
      <c r="R692" s="145"/>
      <c r="S692" s="146"/>
      <c r="AG692" s="179"/>
      <c r="AH692" s="136"/>
      <c r="AI692" s="136"/>
      <c r="AJ692" s="136"/>
    </row>
    <row r="693" spans="16:36" x14ac:dyDescent="0.2">
      <c r="P693" s="132"/>
      <c r="Q693" s="136"/>
      <c r="R693" s="145"/>
      <c r="S693" s="146"/>
      <c r="AG693" s="179"/>
      <c r="AH693" s="136"/>
      <c r="AI693" s="136"/>
      <c r="AJ693" s="136"/>
    </row>
    <row r="694" spans="16:36" x14ac:dyDescent="0.2">
      <c r="P694" s="132"/>
      <c r="Q694" s="136"/>
      <c r="R694" s="145"/>
      <c r="S694" s="146"/>
      <c r="AG694" s="179"/>
      <c r="AH694" s="136"/>
      <c r="AI694" s="136"/>
      <c r="AJ694" s="136"/>
    </row>
    <row r="695" spans="16:36" x14ac:dyDescent="0.2">
      <c r="P695" s="132"/>
      <c r="Q695" s="136"/>
      <c r="R695" s="145"/>
      <c r="S695" s="146"/>
      <c r="AG695" s="179"/>
      <c r="AH695" s="136"/>
      <c r="AI695" s="136"/>
      <c r="AJ695" s="136"/>
    </row>
    <row r="696" spans="16:36" x14ac:dyDescent="0.2">
      <c r="P696" s="132"/>
      <c r="Q696" s="136"/>
      <c r="R696" s="145"/>
      <c r="S696" s="146"/>
      <c r="AG696" s="179"/>
      <c r="AH696" s="136"/>
      <c r="AI696" s="136"/>
      <c r="AJ696" s="136"/>
    </row>
    <row r="697" spans="16:36" x14ac:dyDescent="0.2">
      <c r="P697" s="132"/>
      <c r="Q697" s="136"/>
      <c r="R697" s="145"/>
      <c r="S697" s="146"/>
      <c r="AG697" s="179"/>
      <c r="AH697" s="136"/>
      <c r="AI697" s="136"/>
      <c r="AJ697" s="136"/>
    </row>
    <row r="698" spans="16:36" x14ac:dyDescent="0.2">
      <c r="P698" s="132"/>
      <c r="Q698" s="136"/>
      <c r="R698" s="145"/>
      <c r="S698" s="146"/>
      <c r="AG698" s="179"/>
      <c r="AH698" s="136"/>
      <c r="AI698" s="136"/>
      <c r="AJ698" s="136"/>
    </row>
    <row r="699" spans="16:36" x14ac:dyDescent="0.2">
      <c r="P699" s="132"/>
      <c r="Q699" s="136"/>
      <c r="R699" s="145"/>
      <c r="S699" s="146"/>
      <c r="AG699" s="179"/>
      <c r="AH699" s="136"/>
      <c r="AI699" s="136"/>
      <c r="AJ699" s="136"/>
    </row>
    <row r="700" spans="16:36" x14ac:dyDescent="0.2">
      <c r="P700" s="132"/>
      <c r="Q700" s="136"/>
      <c r="R700" s="145"/>
      <c r="S700" s="146"/>
      <c r="AG700" s="179"/>
      <c r="AH700" s="136"/>
      <c r="AI700" s="136"/>
      <c r="AJ700" s="136"/>
    </row>
    <row r="701" spans="16:36" x14ac:dyDescent="0.2">
      <c r="P701" s="132"/>
      <c r="Q701" s="136"/>
      <c r="R701" s="145"/>
      <c r="S701" s="146"/>
      <c r="AG701" s="179"/>
      <c r="AH701" s="136"/>
      <c r="AI701" s="136"/>
      <c r="AJ701" s="136"/>
    </row>
    <row r="702" spans="16:36" x14ac:dyDescent="0.2">
      <c r="P702" s="132"/>
      <c r="Q702" s="136"/>
      <c r="R702" s="145"/>
      <c r="S702" s="146"/>
      <c r="AG702" s="179"/>
      <c r="AH702" s="136"/>
      <c r="AI702" s="136"/>
      <c r="AJ702" s="136"/>
    </row>
    <row r="703" spans="16:36" x14ac:dyDescent="0.2">
      <c r="P703" s="132"/>
      <c r="Q703" s="136"/>
      <c r="R703" s="145"/>
      <c r="S703" s="146"/>
      <c r="AG703" s="179"/>
      <c r="AH703" s="136"/>
      <c r="AI703" s="136"/>
      <c r="AJ703" s="136"/>
    </row>
    <row r="704" spans="16:36" x14ac:dyDescent="0.2">
      <c r="P704" s="132"/>
      <c r="Q704" s="136"/>
      <c r="R704" s="145"/>
      <c r="S704" s="146"/>
      <c r="AG704" s="179"/>
      <c r="AH704" s="136"/>
      <c r="AI704" s="136"/>
      <c r="AJ704" s="136"/>
    </row>
    <row r="705" spans="16:36" x14ac:dyDescent="0.2">
      <c r="P705" s="132"/>
      <c r="Q705" s="136"/>
      <c r="R705" s="145"/>
      <c r="S705" s="146"/>
      <c r="AG705" s="179"/>
      <c r="AH705" s="136"/>
      <c r="AI705" s="136"/>
      <c r="AJ705" s="136"/>
    </row>
    <row r="706" spans="16:36" x14ac:dyDescent="0.2">
      <c r="P706" s="132"/>
      <c r="Q706" s="136"/>
      <c r="R706" s="145"/>
      <c r="S706" s="146"/>
      <c r="AG706" s="179"/>
      <c r="AH706" s="136"/>
      <c r="AI706" s="136"/>
      <c r="AJ706" s="136"/>
    </row>
    <row r="707" spans="16:36" x14ac:dyDescent="0.2">
      <c r="P707" s="132"/>
      <c r="Q707" s="136"/>
      <c r="R707" s="145"/>
      <c r="S707" s="146"/>
      <c r="AG707" s="179"/>
      <c r="AH707" s="136"/>
      <c r="AI707" s="136"/>
      <c r="AJ707" s="136"/>
    </row>
    <row r="708" spans="16:36" x14ac:dyDescent="0.2">
      <c r="P708" s="132"/>
      <c r="Q708" s="136"/>
      <c r="R708" s="145"/>
      <c r="S708" s="146"/>
      <c r="AG708" s="179"/>
      <c r="AH708" s="136"/>
      <c r="AI708" s="136"/>
      <c r="AJ708" s="136"/>
    </row>
    <row r="709" spans="16:36" x14ac:dyDescent="0.2">
      <c r="P709" s="132"/>
      <c r="Q709" s="136"/>
      <c r="R709" s="145"/>
      <c r="S709" s="146"/>
      <c r="AG709" s="179"/>
      <c r="AH709" s="136"/>
      <c r="AI709" s="136"/>
      <c r="AJ709" s="136"/>
    </row>
    <row r="710" spans="16:36" x14ac:dyDescent="0.2">
      <c r="P710" s="132"/>
      <c r="Q710" s="136"/>
      <c r="R710" s="145"/>
      <c r="S710" s="146"/>
      <c r="AG710" s="179"/>
      <c r="AH710" s="136"/>
      <c r="AI710" s="136"/>
      <c r="AJ710" s="136"/>
    </row>
    <row r="711" spans="16:36" x14ac:dyDescent="0.2">
      <c r="P711" s="132"/>
      <c r="Q711" s="136"/>
      <c r="R711" s="145"/>
      <c r="S711" s="146"/>
      <c r="AG711" s="179"/>
      <c r="AH711" s="136"/>
      <c r="AI711" s="136"/>
      <c r="AJ711" s="136"/>
    </row>
    <row r="712" spans="16:36" x14ac:dyDescent="0.2">
      <c r="P712" s="132"/>
      <c r="Q712" s="136"/>
      <c r="R712" s="145"/>
      <c r="S712" s="146"/>
      <c r="AG712" s="179"/>
      <c r="AH712" s="136"/>
      <c r="AI712" s="136"/>
      <c r="AJ712" s="136"/>
    </row>
    <row r="713" spans="16:36" x14ac:dyDescent="0.2">
      <c r="P713" s="132"/>
      <c r="Q713" s="136"/>
      <c r="R713" s="145"/>
      <c r="S713" s="146"/>
      <c r="AG713" s="179"/>
      <c r="AH713" s="136"/>
      <c r="AI713" s="136"/>
      <c r="AJ713" s="136"/>
    </row>
    <row r="714" spans="16:36" x14ac:dyDescent="0.2">
      <c r="P714" s="132"/>
      <c r="Q714" s="136"/>
      <c r="R714" s="145"/>
      <c r="S714" s="146"/>
      <c r="AG714" s="179"/>
      <c r="AH714" s="136"/>
      <c r="AI714" s="136"/>
      <c r="AJ714" s="136"/>
    </row>
    <row r="715" spans="16:36" x14ac:dyDescent="0.2">
      <c r="P715" s="132"/>
      <c r="Q715" s="136"/>
      <c r="R715" s="145"/>
      <c r="S715" s="146"/>
      <c r="AG715" s="179"/>
      <c r="AH715" s="136"/>
      <c r="AI715" s="136"/>
      <c r="AJ715" s="136"/>
    </row>
    <row r="716" spans="16:36" x14ac:dyDescent="0.2">
      <c r="P716" s="132"/>
      <c r="Q716" s="136"/>
      <c r="R716" s="145"/>
      <c r="S716" s="146"/>
      <c r="AG716" s="179"/>
      <c r="AH716" s="136"/>
      <c r="AI716" s="136"/>
      <c r="AJ716" s="136"/>
    </row>
    <row r="717" spans="16:36" x14ac:dyDescent="0.2">
      <c r="P717" s="132"/>
      <c r="Q717" s="136"/>
      <c r="R717" s="145"/>
      <c r="S717" s="146"/>
      <c r="AG717" s="179"/>
      <c r="AH717" s="136"/>
      <c r="AI717" s="136"/>
      <c r="AJ717" s="136"/>
    </row>
    <row r="718" spans="16:36" x14ac:dyDescent="0.2">
      <c r="P718" s="132"/>
      <c r="Q718" s="136"/>
      <c r="R718" s="145"/>
      <c r="S718" s="146"/>
      <c r="AG718" s="179"/>
      <c r="AH718" s="136"/>
      <c r="AI718" s="136"/>
      <c r="AJ718" s="136"/>
    </row>
    <row r="719" spans="16:36" x14ac:dyDescent="0.2">
      <c r="P719" s="132"/>
      <c r="Q719" s="136"/>
      <c r="R719" s="145"/>
      <c r="S719" s="146"/>
      <c r="AG719" s="179"/>
      <c r="AH719" s="136"/>
      <c r="AI719" s="136"/>
      <c r="AJ719" s="136"/>
    </row>
    <row r="720" spans="16:36" x14ac:dyDescent="0.2">
      <c r="P720" s="132"/>
      <c r="Q720" s="136"/>
      <c r="R720" s="145"/>
      <c r="S720" s="146"/>
      <c r="AG720" s="179"/>
      <c r="AH720" s="136"/>
      <c r="AI720" s="136"/>
      <c r="AJ720" s="136"/>
    </row>
    <row r="721" spans="16:36" x14ac:dyDescent="0.2">
      <c r="P721" s="132"/>
      <c r="Q721" s="136"/>
      <c r="R721" s="145"/>
      <c r="S721" s="146"/>
      <c r="AG721" s="179"/>
      <c r="AH721" s="136"/>
      <c r="AI721" s="136"/>
      <c r="AJ721" s="136"/>
    </row>
    <row r="722" spans="16:36" x14ac:dyDescent="0.2">
      <c r="P722" s="132"/>
      <c r="Q722" s="136"/>
      <c r="R722" s="145"/>
      <c r="S722" s="146"/>
      <c r="AG722" s="179"/>
      <c r="AH722" s="136"/>
      <c r="AI722" s="136"/>
      <c r="AJ722" s="136"/>
    </row>
    <row r="723" spans="16:36" x14ac:dyDescent="0.2">
      <c r="P723" s="132"/>
      <c r="Q723" s="136"/>
      <c r="R723" s="145"/>
      <c r="S723" s="146"/>
      <c r="AG723" s="179"/>
      <c r="AH723" s="136"/>
      <c r="AI723" s="136"/>
      <c r="AJ723" s="136"/>
    </row>
    <row r="724" spans="16:36" x14ac:dyDescent="0.2">
      <c r="P724" s="132"/>
      <c r="Q724" s="136"/>
      <c r="R724" s="145"/>
      <c r="S724" s="146"/>
      <c r="AG724" s="179"/>
      <c r="AH724" s="136"/>
      <c r="AI724" s="136"/>
      <c r="AJ724" s="136"/>
    </row>
    <row r="725" spans="16:36" x14ac:dyDescent="0.2">
      <c r="P725" s="132"/>
      <c r="Q725" s="136"/>
      <c r="R725" s="145"/>
      <c r="S725" s="146"/>
      <c r="AG725" s="179"/>
      <c r="AH725" s="136"/>
      <c r="AI725" s="136"/>
      <c r="AJ725" s="136"/>
    </row>
    <row r="726" spans="16:36" x14ac:dyDescent="0.2">
      <c r="P726" s="132"/>
      <c r="Q726" s="136"/>
      <c r="R726" s="145"/>
      <c r="S726" s="146"/>
      <c r="AG726" s="179"/>
      <c r="AH726" s="136"/>
      <c r="AI726" s="136"/>
      <c r="AJ726" s="136"/>
    </row>
    <row r="727" spans="16:36" x14ac:dyDescent="0.2">
      <c r="P727" s="132"/>
      <c r="Q727" s="136"/>
      <c r="R727" s="145"/>
      <c r="S727" s="146"/>
      <c r="AG727" s="179"/>
      <c r="AH727" s="136"/>
      <c r="AI727" s="136"/>
      <c r="AJ727" s="136"/>
    </row>
    <row r="728" spans="16:36" x14ac:dyDescent="0.2">
      <c r="P728" s="132"/>
      <c r="Q728" s="136"/>
      <c r="R728" s="145"/>
      <c r="S728" s="146"/>
      <c r="AG728" s="179"/>
      <c r="AH728" s="136"/>
      <c r="AI728" s="136"/>
      <c r="AJ728" s="136"/>
    </row>
    <row r="729" spans="16:36" x14ac:dyDescent="0.2">
      <c r="P729" s="132"/>
      <c r="Q729" s="136"/>
      <c r="R729" s="145"/>
      <c r="S729" s="146"/>
      <c r="AG729" s="179"/>
      <c r="AH729" s="136"/>
      <c r="AI729" s="136"/>
      <c r="AJ729" s="136"/>
    </row>
    <row r="730" spans="16:36" x14ac:dyDescent="0.2">
      <c r="P730" s="132"/>
      <c r="Q730" s="136"/>
      <c r="R730" s="145"/>
      <c r="S730" s="146"/>
      <c r="AG730" s="179"/>
      <c r="AH730" s="136"/>
      <c r="AI730" s="136"/>
      <c r="AJ730" s="136"/>
    </row>
    <row r="731" spans="16:36" x14ac:dyDescent="0.2">
      <c r="P731" s="132"/>
      <c r="Q731" s="136"/>
      <c r="R731" s="145"/>
      <c r="S731" s="146"/>
      <c r="AG731" s="179"/>
      <c r="AH731" s="136"/>
      <c r="AI731" s="136"/>
      <c r="AJ731" s="136"/>
    </row>
    <row r="732" spans="16:36" x14ac:dyDescent="0.2">
      <c r="P732" s="132"/>
      <c r="Q732" s="136"/>
      <c r="R732" s="145"/>
      <c r="S732" s="146"/>
      <c r="AG732" s="179"/>
      <c r="AH732" s="136"/>
      <c r="AI732" s="136"/>
      <c r="AJ732" s="136"/>
    </row>
    <row r="733" spans="16:36" x14ac:dyDescent="0.2">
      <c r="P733" s="132"/>
      <c r="Q733" s="136"/>
      <c r="R733" s="145"/>
      <c r="S733" s="146"/>
      <c r="AG733" s="179"/>
      <c r="AH733" s="136"/>
      <c r="AI733" s="136"/>
      <c r="AJ733" s="136"/>
    </row>
    <row r="734" spans="16:36" x14ac:dyDescent="0.2">
      <c r="P734" s="132"/>
      <c r="Q734" s="136"/>
      <c r="R734" s="145"/>
      <c r="S734" s="146"/>
      <c r="AG734" s="179"/>
      <c r="AH734" s="136"/>
      <c r="AI734" s="136"/>
      <c r="AJ734" s="136"/>
    </row>
    <row r="735" spans="16:36" x14ac:dyDescent="0.2">
      <c r="P735" s="132"/>
      <c r="Q735" s="136"/>
      <c r="R735" s="145"/>
      <c r="S735" s="146"/>
      <c r="AG735" s="179"/>
      <c r="AH735" s="136"/>
      <c r="AI735" s="136"/>
      <c r="AJ735" s="136"/>
    </row>
    <row r="736" spans="16:36" x14ac:dyDescent="0.2">
      <c r="P736" s="132"/>
      <c r="Q736" s="136"/>
      <c r="R736" s="145"/>
      <c r="S736" s="146"/>
      <c r="AG736" s="179"/>
      <c r="AH736" s="136"/>
      <c r="AI736" s="136"/>
      <c r="AJ736" s="136"/>
    </row>
    <row r="737" spans="16:36" x14ac:dyDescent="0.2">
      <c r="P737" s="132"/>
      <c r="Q737" s="136"/>
      <c r="R737" s="145"/>
      <c r="S737" s="146"/>
      <c r="AG737" s="179"/>
      <c r="AH737" s="136"/>
      <c r="AI737" s="136"/>
      <c r="AJ737" s="136"/>
    </row>
    <row r="738" spans="16:36" x14ac:dyDescent="0.2">
      <c r="P738" s="132"/>
      <c r="Q738" s="136"/>
      <c r="R738" s="145"/>
      <c r="S738" s="146"/>
      <c r="AG738" s="179"/>
      <c r="AH738" s="136"/>
      <c r="AI738" s="136"/>
      <c r="AJ738" s="136"/>
    </row>
    <row r="739" spans="16:36" x14ac:dyDescent="0.2">
      <c r="P739" s="132"/>
      <c r="Q739" s="136"/>
      <c r="R739" s="145"/>
      <c r="S739" s="146"/>
      <c r="AG739" s="179"/>
      <c r="AH739" s="136"/>
      <c r="AI739" s="136"/>
      <c r="AJ739" s="136"/>
    </row>
    <row r="740" spans="16:36" x14ac:dyDescent="0.2">
      <c r="P740" s="132"/>
      <c r="Q740" s="136"/>
      <c r="R740" s="145"/>
      <c r="S740" s="146"/>
      <c r="AG740" s="179"/>
      <c r="AH740" s="136"/>
      <c r="AI740" s="136"/>
      <c r="AJ740" s="136"/>
    </row>
    <row r="741" spans="16:36" x14ac:dyDescent="0.2">
      <c r="P741" s="132"/>
      <c r="Q741" s="136"/>
      <c r="R741" s="145"/>
      <c r="S741" s="146"/>
      <c r="AG741" s="179"/>
      <c r="AH741" s="136"/>
      <c r="AI741" s="136"/>
      <c r="AJ741" s="136"/>
    </row>
    <row r="742" spans="16:36" x14ac:dyDescent="0.2">
      <c r="P742" s="132"/>
      <c r="Q742" s="136"/>
      <c r="R742" s="145"/>
      <c r="S742" s="146"/>
      <c r="AG742" s="179"/>
      <c r="AH742" s="136"/>
      <c r="AI742" s="136"/>
      <c r="AJ742" s="136"/>
    </row>
    <row r="743" spans="16:36" x14ac:dyDescent="0.2">
      <c r="P743" s="132"/>
      <c r="Q743" s="136"/>
      <c r="R743" s="145"/>
      <c r="S743" s="146"/>
      <c r="AG743" s="179"/>
      <c r="AH743" s="136"/>
      <c r="AI743" s="136"/>
      <c r="AJ743" s="136"/>
    </row>
    <row r="744" spans="16:36" x14ac:dyDescent="0.2">
      <c r="P744" s="132"/>
      <c r="Q744" s="136"/>
      <c r="R744" s="145"/>
      <c r="S744" s="146"/>
      <c r="AG744" s="179"/>
      <c r="AH744" s="136"/>
      <c r="AI744" s="136"/>
      <c r="AJ744" s="136"/>
    </row>
    <row r="745" spans="16:36" x14ac:dyDescent="0.2">
      <c r="P745" s="132"/>
      <c r="Q745" s="136"/>
      <c r="R745" s="145"/>
      <c r="S745" s="146"/>
      <c r="AG745" s="179"/>
      <c r="AH745" s="136"/>
      <c r="AI745" s="136"/>
      <c r="AJ745" s="136"/>
    </row>
    <row r="746" spans="16:36" x14ac:dyDescent="0.2">
      <c r="P746" s="132"/>
      <c r="Q746" s="136"/>
      <c r="R746" s="145"/>
      <c r="S746" s="146"/>
      <c r="AG746" s="179"/>
      <c r="AH746" s="136"/>
      <c r="AI746" s="136"/>
      <c r="AJ746" s="136"/>
    </row>
    <row r="747" spans="16:36" x14ac:dyDescent="0.2">
      <c r="P747" s="132"/>
      <c r="Q747" s="136"/>
      <c r="R747" s="145"/>
      <c r="S747" s="146"/>
      <c r="AG747" s="179"/>
      <c r="AH747" s="136"/>
      <c r="AI747" s="136"/>
      <c r="AJ747" s="136"/>
    </row>
    <row r="748" spans="16:36" x14ac:dyDescent="0.2">
      <c r="P748" s="132"/>
      <c r="Q748" s="136"/>
      <c r="R748" s="145"/>
      <c r="S748" s="146"/>
      <c r="AG748" s="179"/>
      <c r="AH748" s="136"/>
      <c r="AI748" s="136"/>
      <c r="AJ748" s="136"/>
    </row>
    <row r="749" spans="16:36" x14ac:dyDescent="0.2">
      <c r="P749" s="132"/>
      <c r="Q749" s="136"/>
      <c r="R749" s="145"/>
      <c r="S749" s="146"/>
      <c r="AG749" s="179"/>
      <c r="AH749" s="136"/>
      <c r="AI749" s="136"/>
      <c r="AJ749" s="136"/>
    </row>
    <row r="750" spans="16:36" x14ac:dyDescent="0.2">
      <c r="P750" s="132"/>
      <c r="Q750" s="136"/>
      <c r="R750" s="145"/>
      <c r="S750" s="146"/>
      <c r="AG750" s="179"/>
      <c r="AH750" s="136"/>
      <c r="AI750" s="136"/>
      <c r="AJ750" s="136"/>
    </row>
    <row r="751" spans="16:36" x14ac:dyDescent="0.2">
      <c r="P751" s="132"/>
      <c r="Q751" s="136"/>
      <c r="R751" s="145"/>
      <c r="S751" s="146"/>
      <c r="AG751" s="179"/>
      <c r="AH751" s="136"/>
      <c r="AI751" s="136"/>
      <c r="AJ751" s="136"/>
    </row>
    <row r="752" spans="16:36" x14ac:dyDescent="0.2">
      <c r="P752" s="132"/>
      <c r="Q752" s="136"/>
      <c r="R752" s="145"/>
      <c r="S752" s="146"/>
      <c r="AG752" s="179"/>
      <c r="AH752" s="136"/>
      <c r="AI752" s="136"/>
      <c r="AJ752" s="136"/>
    </row>
    <row r="753" spans="16:36" x14ac:dyDescent="0.2">
      <c r="P753" s="132"/>
      <c r="Q753" s="136"/>
      <c r="R753" s="145"/>
      <c r="S753" s="146"/>
      <c r="AG753" s="179"/>
      <c r="AH753" s="136"/>
      <c r="AI753" s="136"/>
      <c r="AJ753" s="136"/>
    </row>
    <row r="754" spans="16:36" x14ac:dyDescent="0.2">
      <c r="P754" s="132"/>
      <c r="Q754" s="136"/>
      <c r="R754" s="145"/>
      <c r="S754" s="146"/>
      <c r="AG754" s="179"/>
      <c r="AH754" s="136"/>
      <c r="AI754" s="136"/>
      <c r="AJ754" s="136"/>
    </row>
    <row r="755" spans="16:36" x14ac:dyDescent="0.2">
      <c r="P755" s="132"/>
      <c r="Q755" s="136"/>
      <c r="R755" s="145"/>
      <c r="S755" s="146"/>
      <c r="AG755" s="179"/>
      <c r="AH755" s="136"/>
      <c r="AI755" s="136"/>
      <c r="AJ755" s="136"/>
    </row>
    <row r="756" spans="16:36" x14ac:dyDescent="0.2">
      <c r="P756" s="132"/>
      <c r="Q756" s="136"/>
      <c r="R756" s="145"/>
      <c r="S756" s="146"/>
      <c r="AG756" s="179"/>
      <c r="AH756" s="136"/>
      <c r="AI756" s="136"/>
      <c r="AJ756" s="136"/>
    </row>
    <row r="757" spans="16:36" x14ac:dyDescent="0.2">
      <c r="P757" s="132"/>
      <c r="Q757" s="136"/>
      <c r="R757" s="145"/>
      <c r="S757" s="146"/>
      <c r="AG757" s="179"/>
      <c r="AH757" s="136"/>
      <c r="AI757" s="136"/>
      <c r="AJ757" s="136"/>
    </row>
    <row r="758" spans="16:36" x14ac:dyDescent="0.2">
      <c r="P758" s="132"/>
      <c r="Q758" s="136"/>
      <c r="R758" s="145"/>
      <c r="S758" s="146"/>
      <c r="AG758" s="179"/>
      <c r="AH758" s="136"/>
      <c r="AI758" s="136"/>
      <c r="AJ758" s="136"/>
    </row>
    <row r="759" spans="16:36" x14ac:dyDescent="0.2">
      <c r="P759" s="132"/>
      <c r="Q759" s="136"/>
      <c r="R759" s="145"/>
      <c r="S759" s="146"/>
      <c r="AG759" s="179"/>
      <c r="AH759" s="136"/>
      <c r="AI759" s="136"/>
      <c r="AJ759" s="136"/>
    </row>
    <row r="760" spans="16:36" x14ac:dyDescent="0.2">
      <c r="P760" s="132"/>
      <c r="Q760" s="136"/>
      <c r="R760" s="145"/>
      <c r="S760" s="146"/>
      <c r="AG760" s="179"/>
      <c r="AH760" s="136"/>
      <c r="AI760" s="136"/>
      <c r="AJ760" s="136"/>
    </row>
    <row r="761" spans="16:36" x14ac:dyDescent="0.2">
      <c r="P761" s="132"/>
      <c r="Q761" s="136"/>
      <c r="R761" s="145"/>
      <c r="S761" s="146"/>
      <c r="AG761" s="179"/>
      <c r="AH761" s="136"/>
      <c r="AI761" s="136"/>
      <c r="AJ761" s="136"/>
    </row>
    <row r="762" spans="16:36" x14ac:dyDescent="0.2">
      <c r="P762" s="132"/>
      <c r="Q762" s="136"/>
      <c r="R762" s="145"/>
      <c r="S762" s="146"/>
      <c r="AG762" s="179"/>
      <c r="AH762" s="136"/>
      <c r="AI762" s="136"/>
      <c r="AJ762" s="136"/>
    </row>
    <row r="763" spans="16:36" x14ac:dyDescent="0.2">
      <c r="P763" s="132"/>
      <c r="Q763" s="136"/>
      <c r="R763" s="145"/>
      <c r="S763" s="146"/>
      <c r="AG763" s="179"/>
      <c r="AH763" s="136"/>
      <c r="AI763" s="136"/>
      <c r="AJ763" s="136"/>
    </row>
    <row r="764" spans="16:36" x14ac:dyDescent="0.2">
      <c r="P764" s="132"/>
      <c r="Q764" s="136"/>
      <c r="R764" s="145"/>
      <c r="S764" s="146"/>
      <c r="AG764" s="179"/>
      <c r="AH764" s="136"/>
      <c r="AI764" s="136"/>
      <c r="AJ764" s="136"/>
    </row>
    <row r="765" spans="16:36" x14ac:dyDescent="0.2">
      <c r="P765" s="132"/>
      <c r="Q765" s="136"/>
      <c r="R765" s="145"/>
      <c r="S765" s="146"/>
      <c r="AG765" s="179"/>
      <c r="AH765" s="136"/>
      <c r="AI765" s="136"/>
      <c r="AJ765" s="136"/>
    </row>
    <row r="766" spans="16:36" x14ac:dyDescent="0.2">
      <c r="P766" s="132"/>
      <c r="Q766" s="136"/>
      <c r="R766" s="145"/>
      <c r="S766" s="146"/>
      <c r="AG766" s="179"/>
      <c r="AH766" s="136"/>
      <c r="AI766" s="136"/>
      <c r="AJ766" s="136"/>
    </row>
    <row r="767" spans="16:36" x14ac:dyDescent="0.2">
      <c r="P767" s="132"/>
      <c r="Q767" s="136"/>
      <c r="R767" s="145"/>
      <c r="S767" s="146"/>
      <c r="AG767" s="179"/>
      <c r="AH767" s="136"/>
      <c r="AI767" s="136"/>
      <c r="AJ767" s="136"/>
    </row>
    <row r="768" spans="16:36" x14ac:dyDescent="0.2">
      <c r="P768" s="132"/>
      <c r="Q768" s="136"/>
      <c r="R768" s="145"/>
      <c r="S768" s="146"/>
      <c r="AG768" s="179"/>
      <c r="AH768" s="136"/>
      <c r="AI768" s="136"/>
      <c r="AJ768" s="136"/>
    </row>
    <row r="769" spans="16:36" x14ac:dyDescent="0.2">
      <c r="P769" s="132"/>
      <c r="Q769" s="136"/>
      <c r="R769" s="145"/>
      <c r="S769" s="146"/>
      <c r="AG769" s="179"/>
      <c r="AH769" s="136"/>
      <c r="AI769" s="136"/>
      <c r="AJ769" s="136"/>
    </row>
    <row r="770" spans="16:36" x14ac:dyDescent="0.2">
      <c r="P770" s="132"/>
      <c r="Q770" s="136"/>
      <c r="R770" s="145"/>
      <c r="S770" s="146"/>
      <c r="AG770" s="179"/>
      <c r="AH770" s="136"/>
      <c r="AI770" s="136"/>
      <c r="AJ770" s="136"/>
    </row>
    <row r="771" spans="16:36" x14ac:dyDescent="0.2">
      <c r="P771" s="132"/>
      <c r="Q771" s="136"/>
      <c r="R771" s="145"/>
      <c r="S771" s="146"/>
      <c r="AG771" s="179"/>
      <c r="AH771" s="136"/>
      <c r="AI771" s="136"/>
      <c r="AJ771" s="136"/>
    </row>
    <row r="772" spans="16:36" x14ac:dyDescent="0.2">
      <c r="P772" s="132"/>
      <c r="Q772" s="136"/>
      <c r="R772" s="145"/>
      <c r="S772" s="146"/>
      <c r="AG772" s="179"/>
      <c r="AH772" s="136"/>
      <c r="AI772" s="136"/>
      <c r="AJ772" s="136"/>
    </row>
    <row r="773" spans="16:36" x14ac:dyDescent="0.2">
      <c r="P773" s="132"/>
      <c r="Q773" s="136"/>
      <c r="R773" s="145"/>
      <c r="S773" s="146"/>
      <c r="AG773" s="179"/>
      <c r="AH773" s="136"/>
      <c r="AI773" s="136"/>
      <c r="AJ773" s="136"/>
    </row>
    <row r="774" spans="16:36" x14ac:dyDescent="0.2">
      <c r="P774" s="132"/>
      <c r="Q774" s="136"/>
      <c r="R774" s="145"/>
      <c r="S774" s="146"/>
      <c r="AG774" s="179"/>
      <c r="AH774" s="136"/>
      <c r="AI774" s="136"/>
      <c r="AJ774" s="136"/>
    </row>
    <row r="775" spans="16:36" x14ac:dyDescent="0.2">
      <c r="P775" s="132"/>
      <c r="Q775" s="136"/>
      <c r="R775" s="145"/>
      <c r="S775" s="146"/>
      <c r="AG775" s="179"/>
      <c r="AH775" s="136"/>
      <c r="AI775" s="136"/>
      <c r="AJ775" s="136"/>
    </row>
    <row r="776" spans="16:36" x14ac:dyDescent="0.2">
      <c r="P776" s="132"/>
      <c r="Q776" s="136"/>
      <c r="R776" s="145"/>
      <c r="S776" s="146"/>
      <c r="AG776" s="179"/>
      <c r="AH776" s="136"/>
      <c r="AI776" s="136"/>
      <c r="AJ776" s="136"/>
    </row>
    <row r="777" spans="16:36" x14ac:dyDescent="0.2">
      <c r="P777" s="132"/>
      <c r="Q777" s="136"/>
      <c r="R777" s="145"/>
      <c r="S777" s="146"/>
      <c r="AG777" s="179"/>
      <c r="AH777" s="136"/>
      <c r="AI777" s="136"/>
      <c r="AJ777" s="136"/>
    </row>
    <row r="778" spans="16:36" x14ac:dyDescent="0.2">
      <c r="P778" s="132"/>
      <c r="Q778" s="136"/>
      <c r="R778" s="145"/>
      <c r="S778" s="146"/>
      <c r="AG778" s="179"/>
      <c r="AH778" s="136"/>
      <c r="AI778" s="136"/>
      <c r="AJ778" s="136"/>
    </row>
    <row r="779" spans="16:36" x14ac:dyDescent="0.2">
      <c r="P779" s="132"/>
      <c r="Q779" s="136"/>
      <c r="R779" s="145"/>
      <c r="S779" s="146"/>
      <c r="AG779" s="179"/>
      <c r="AH779" s="136"/>
      <c r="AI779" s="136"/>
      <c r="AJ779" s="136"/>
    </row>
    <row r="780" spans="16:36" x14ac:dyDescent="0.2">
      <c r="P780" s="132"/>
      <c r="Q780" s="136"/>
      <c r="R780" s="145"/>
      <c r="S780" s="146"/>
      <c r="AG780" s="179"/>
      <c r="AH780" s="136"/>
      <c r="AI780" s="136"/>
      <c r="AJ780" s="136"/>
    </row>
    <row r="781" spans="16:36" x14ac:dyDescent="0.2">
      <c r="P781" s="132"/>
      <c r="Q781" s="136"/>
      <c r="R781" s="145"/>
      <c r="S781" s="146"/>
      <c r="AG781" s="179"/>
      <c r="AH781" s="136"/>
      <c r="AI781" s="136"/>
      <c r="AJ781" s="136"/>
    </row>
    <row r="782" spans="16:36" x14ac:dyDescent="0.2">
      <c r="P782" s="132"/>
      <c r="Q782" s="136"/>
      <c r="R782" s="145"/>
      <c r="S782" s="146"/>
      <c r="AG782" s="179"/>
      <c r="AH782" s="136"/>
      <c r="AI782" s="136"/>
      <c r="AJ782" s="136"/>
    </row>
    <row r="783" spans="16:36" x14ac:dyDescent="0.2">
      <c r="P783" s="132"/>
      <c r="Q783" s="136"/>
      <c r="R783" s="145"/>
      <c r="S783" s="146"/>
      <c r="AG783" s="179"/>
      <c r="AH783" s="136"/>
      <c r="AI783" s="136"/>
      <c r="AJ783" s="136"/>
    </row>
    <row r="784" spans="16:36" x14ac:dyDescent="0.2">
      <c r="P784" s="132"/>
      <c r="Q784" s="136"/>
      <c r="R784" s="145"/>
      <c r="S784" s="146"/>
      <c r="AG784" s="179"/>
      <c r="AH784" s="136"/>
      <c r="AI784" s="136"/>
      <c r="AJ784" s="136"/>
    </row>
    <row r="785" spans="16:36" x14ac:dyDescent="0.2">
      <c r="P785" s="132"/>
      <c r="Q785" s="136"/>
      <c r="R785" s="145"/>
      <c r="S785" s="146"/>
      <c r="AG785" s="179"/>
      <c r="AH785" s="136"/>
      <c r="AI785" s="136"/>
      <c r="AJ785" s="136"/>
    </row>
    <row r="786" spans="16:36" x14ac:dyDescent="0.2">
      <c r="P786" s="132"/>
      <c r="Q786" s="136"/>
      <c r="R786" s="145"/>
      <c r="S786" s="146"/>
      <c r="AG786" s="179"/>
      <c r="AH786" s="136"/>
      <c r="AI786" s="136"/>
      <c r="AJ786" s="136"/>
    </row>
    <row r="787" spans="16:36" x14ac:dyDescent="0.2">
      <c r="P787" s="132"/>
      <c r="Q787" s="136"/>
      <c r="R787" s="145"/>
      <c r="S787" s="146"/>
      <c r="AG787" s="179"/>
      <c r="AH787" s="136"/>
      <c r="AI787" s="136"/>
      <c r="AJ787" s="136"/>
    </row>
    <row r="788" spans="16:36" x14ac:dyDescent="0.2">
      <c r="P788" s="132"/>
      <c r="Q788" s="136"/>
      <c r="R788" s="145"/>
      <c r="S788" s="146"/>
      <c r="AG788" s="179"/>
      <c r="AH788" s="136"/>
      <c r="AI788" s="136"/>
      <c r="AJ788" s="136"/>
    </row>
    <row r="789" spans="16:36" x14ac:dyDescent="0.2">
      <c r="P789" s="132"/>
      <c r="Q789" s="136"/>
      <c r="R789" s="145"/>
      <c r="S789" s="146"/>
      <c r="AG789" s="179"/>
      <c r="AH789" s="136"/>
      <c r="AI789" s="136"/>
      <c r="AJ789" s="136"/>
    </row>
    <row r="790" spans="16:36" x14ac:dyDescent="0.2">
      <c r="P790" s="132"/>
      <c r="Q790" s="136"/>
      <c r="R790" s="145"/>
      <c r="S790" s="146"/>
      <c r="AG790" s="179"/>
      <c r="AH790" s="136"/>
      <c r="AI790" s="136"/>
      <c r="AJ790" s="136"/>
    </row>
    <row r="791" spans="16:36" x14ac:dyDescent="0.2">
      <c r="P791" s="132"/>
      <c r="Q791" s="136"/>
      <c r="R791" s="145"/>
      <c r="S791" s="146"/>
      <c r="AG791" s="179"/>
      <c r="AH791" s="136"/>
      <c r="AI791" s="136"/>
      <c r="AJ791" s="136"/>
    </row>
    <row r="792" spans="16:36" x14ac:dyDescent="0.2">
      <c r="P792" s="132"/>
      <c r="Q792" s="136"/>
      <c r="R792" s="145"/>
      <c r="S792" s="146"/>
      <c r="AG792" s="179"/>
      <c r="AH792" s="136"/>
      <c r="AI792" s="136"/>
      <c r="AJ792" s="136"/>
    </row>
    <row r="793" spans="16:36" x14ac:dyDescent="0.2">
      <c r="P793" s="132"/>
      <c r="Q793" s="136"/>
      <c r="R793" s="145"/>
      <c r="S793" s="146"/>
      <c r="AG793" s="179"/>
      <c r="AH793" s="136"/>
      <c r="AI793" s="136"/>
      <c r="AJ793" s="136"/>
    </row>
    <row r="794" spans="16:36" x14ac:dyDescent="0.2">
      <c r="P794" s="132"/>
      <c r="Q794" s="136"/>
      <c r="R794" s="145"/>
      <c r="S794" s="146"/>
      <c r="AG794" s="179"/>
      <c r="AH794" s="136"/>
      <c r="AI794" s="136"/>
      <c r="AJ794" s="136"/>
    </row>
    <row r="795" spans="16:36" x14ac:dyDescent="0.2">
      <c r="P795" s="132"/>
      <c r="Q795" s="136"/>
      <c r="R795" s="145"/>
      <c r="S795" s="146"/>
      <c r="AG795" s="179"/>
      <c r="AH795" s="136"/>
      <c r="AI795" s="136"/>
      <c r="AJ795" s="136"/>
    </row>
    <row r="796" spans="16:36" x14ac:dyDescent="0.2">
      <c r="P796" s="132"/>
      <c r="Q796" s="136"/>
      <c r="R796" s="145"/>
      <c r="S796" s="146"/>
      <c r="AG796" s="179"/>
      <c r="AH796" s="136"/>
      <c r="AI796" s="136"/>
      <c r="AJ796" s="136"/>
    </row>
    <row r="797" spans="16:36" x14ac:dyDescent="0.2">
      <c r="P797" s="132"/>
      <c r="Q797" s="136"/>
      <c r="R797" s="145"/>
      <c r="S797" s="146"/>
      <c r="AG797" s="179"/>
      <c r="AH797" s="136"/>
      <c r="AI797" s="136"/>
      <c r="AJ797" s="136"/>
    </row>
    <row r="798" spans="16:36" x14ac:dyDescent="0.2">
      <c r="P798" s="132"/>
      <c r="Q798" s="136"/>
      <c r="R798" s="145"/>
      <c r="S798" s="146"/>
      <c r="AG798" s="179"/>
      <c r="AH798" s="136"/>
      <c r="AI798" s="136"/>
      <c r="AJ798" s="136"/>
    </row>
    <row r="799" spans="16:36" x14ac:dyDescent="0.2">
      <c r="P799" s="132"/>
      <c r="Q799" s="136"/>
      <c r="R799" s="145"/>
      <c r="S799" s="146"/>
      <c r="AG799" s="179"/>
      <c r="AH799" s="136"/>
      <c r="AI799" s="136"/>
      <c r="AJ799" s="136"/>
    </row>
    <row r="800" spans="16:36" x14ac:dyDescent="0.2">
      <c r="P800" s="132"/>
      <c r="Q800" s="136"/>
      <c r="R800" s="145"/>
      <c r="S800" s="146"/>
      <c r="AG800" s="179"/>
      <c r="AH800" s="136"/>
      <c r="AI800" s="136"/>
      <c r="AJ800" s="136"/>
    </row>
    <row r="801" spans="16:36" x14ac:dyDescent="0.2">
      <c r="P801" s="132"/>
      <c r="Q801" s="136"/>
      <c r="R801" s="145"/>
      <c r="S801" s="146"/>
      <c r="AG801" s="179"/>
      <c r="AH801" s="136"/>
      <c r="AI801" s="136"/>
      <c r="AJ801" s="136"/>
    </row>
    <row r="802" spans="16:36" x14ac:dyDescent="0.2">
      <c r="P802" s="132"/>
      <c r="Q802" s="136"/>
      <c r="R802" s="145"/>
      <c r="S802" s="146"/>
      <c r="AG802" s="179"/>
      <c r="AH802" s="136"/>
      <c r="AI802" s="136"/>
      <c r="AJ802" s="136"/>
    </row>
    <row r="803" spans="16:36" x14ac:dyDescent="0.2">
      <c r="P803" s="132"/>
      <c r="Q803" s="136"/>
      <c r="R803" s="145"/>
      <c r="S803" s="146"/>
      <c r="AG803" s="179"/>
      <c r="AH803" s="136"/>
      <c r="AI803" s="136"/>
      <c r="AJ803" s="136"/>
    </row>
    <row r="804" spans="16:36" x14ac:dyDescent="0.2">
      <c r="P804" s="132"/>
      <c r="Q804" s="136"/>
      <c r="R804" s="145"/>
      <c r="S804" s="146"/>
      <c r="AG804" s="179"/>
      <c r="AH804" s="136"/>
      <c r="AI804" s="136"/>
      <c r="AJ804" s="136"/>
    </row>
    <row r="805" spans="16:36" x14ac:dyDescent="0.2">
      <c r="P805" s="132"/>
      <c r="Q805" s="136"/>
      <c r="R805" s="145"/>
      <c r="S805" s="146"/>
      <c r="AG805" s="179"/>
      <c r="AH805" s="136"/>
      <c r="AI805" s="136"/>
      <c r="AJ805" s="136"/>
    </row>
    <row r="806" spans="16:36" x14ac:dyDescent="0.2">
      <c r="P806" s="132"/>
      <c r="Q806" s="136"/>
      <c r="R806" s="145"/>
      <c r="S806" s="146"/>
      <c r="AG806" s="179"/>
      <c r="AH806" s="136"/>
      <c r="AI806" s="136"/>
      <c r="AJ806" s="136"/>
    </row>
    <row r="807" spans="16:36" x14ac:dyDescent="0.2">
      <c r="P807" s="132"/>
      <c r="Q807" s="136"/>
      <c r="R807" s="145"/>
      <c r="S807" s="146"/>
      <c r="AG807" s="179"/>
      <c r="AH807" s="136"/>
      <c r="AI807" s="136"/>
      <c r="AJ807" s="136"/>
    </row>
    <row r="808" spans="16:36" x14ac:dyDescent="0.2">
      <c r="P808" s="132"/>
      <c r="Q808" s="136"/>
      <c r="R808" s="145"/>
      <c r="S808" s="146"/>
      <c r="AG808" s="179"/>
      <c r="AH808" s="136"/>
      <c r="AI808" s="136"/>
      <c r="AJ808" s="136"/>
    </row>
    <row r="809" spans="16:36" x14ac:dyDescent="0.2">
      <c r="P809" s="132"/>
      <c r="Q809" s="136"/>
      <c r="R809" s="145"/>
      <c r="S809" s="146"/>
      <c r="AG809" s="179"/>
      <c r="AH809" s="136"/>
      <c r="AI809" s="136"/>
      <c r="AJ809" s="136"/>
    </row>
    <row r="810" spans="16:36" x14ac:dyDescent="0.2">
      <c r="P810" s="132"/>
      <c r="Q810" s="136"/>
      <c r="R810" s="145"/>
      <c r="S810" s="146"/>
      <c r="AG810" s="179"/>
      <c r="AH810" s="136"/>
      <c r="AI810" s="136"/>
      <c r="AJ810" s="136"/>
    </row>
    <row r="811" spans="16:36" x14ac:dyDescent="0.2">
      <c r="P811" s="132"/>
      <c r="Q811" s="136"/>
      <c r="R811" s="145"/>
      <c r="S811" s="146"/>
      <c r="AG811" s="179"/>
      <c r="AH811" s="136"/>
      <c r="AI811" s="136"/>
      <c r="AJ811" s="136"/>
    </row>
    <row r="812" spans="16:36" x14ac:dyDescent="0.2">
      <c r="P812" s="132"/>
      <c r="Q812" s="136"/>
      <c r="R812" s="145"/>
      <c r="S812" s="146"/>
      <c r="AG812" s="179"/>
      <c r="AH812" s="136"/>
      <c r="AI812" s="136"/>
      <c r="AJ812" s="136"/>
    </row>
    <row r="813" spans="16:36" x14ac:dyDescent="0.2">
      <c r="P813" s="132"/>
      <c r="Q813" s="136"/>
      <c r="R813" s="145"/>
      <c r="S813" s="146"/>
      <c r="AG813" s="179"/>
      <c r="AH813" s="136"/>
      <c r="AI813" s="136"/>
      <c r="AJ813" s="136"/>
    </row>
    <row r="814" spans="16:36" x14ac:dyDescent="0.2">
      <c r="P814" s="132"/>
      <c r="Q814" s="136"/>
      <c r="R814" s="145"/>
      <c r="S814" s="146"/>
      <c r="AG814" s="179"/>
      <c r="AH814" s="136"/>
      <c r="AI814" s="136"/>
      <c r="AJ814" s="136"/>
    </row>
    <row r="815" spans="16:36" x14ac:dyDescent="0.2">
      <c r="P815" s="132"/>
      <c r="Q815" s="136"/>
      <c r="R815" s="145"/>
      <c r="S815" s="146"/>
      <c r="AG815" s="179"/>
      <c r="AH815" s="136"/>
      <c r="AI815" s="136"/>
      <c r="AJ815" s="136"/>
    </row>
    <row r="816" spans="16:36" x14ac:dyDescent="0.2">
      <c r="P816" s="132"/>
      <c r="Q816" s="136"/>
      <c r="R816" s="145"/>
      <c r="S816" s="146"/>
      <c r="AG816" s="179"/>
      <c r="AH816" s="136"/>
      <c r="AI816" s="136"/>
      <c r="AJ816" s="136"/>
    </row>
    <row r="817" spans="16:36" x14ac:dyDescent="0.2">
      <c r="P817" s="132"/>
      <c r="Q817" s="136"/>
      <c r="R817" s="145"/>
      <c r="S817" s="146"/>
      <c r="AG817" s="179"/>
      <c r="AH817" s="136"/>
      <c r="AI817" s="136"/>
      <c r="AJ817" s="136"/>
    </row>
    <row r="818" spans="16:36" x14ac:dyDescent="0.2">
      <c r="P818" s="132"/>
      <c r="Q818" s="136"/>
      <c r="R818" s="145"/>
      <c r="S818" s="146"/>
      <c r="AG818" s="179"/>
      <c r="AH818" s="136"/>
      <c r="AI818" s="136"/>
      <c r="AJ818" s="136"/>
    </row>
    <row r="819" spans="16:36" x14ac:dyDescent="0.2">
      <c r="P819" s="132"/>
      <c r="Q819" s="136"/>
      <c r="R819" s="145"/>
      <c r="S819" s="146"/>
      <c r="AG819" s="179"/>
      <c r="AH819" s="136"/>
      <c r="AI819" s="136"/>
      <c r="AJ819" s="136"/>
    </row>
    <row r="820" spans="16:36" x14ac:dyDescent="0.2">
      <c r="P820" s="132"/>
      <c r="Q820" s="136"/>
      <c r="R820" s="145"/>
      <c r="S820" s="146"/>
      <c r="AG820" s="179"/>
      <c r="AH820" s="136"/>
      <c r="AI820" s="136"/>
      <c r="AJ820" s="136"/>
    </row>
    <row r="821" spans="16:36" x14ac:dyDescent="0.2">
      <c r="P821" s="132"/>
      <c r="Q821" s="136"/>
      <c r="R821" s="145"/>
      <c r="S821" s="146"/>
      <c r="AG821" s="179"/>
      <c r="AH821" s="136"/>
      <c r="AI821" s="136"/>
      <c r="AJ821" s="136"/>
    </row>
    <row r="822" spans="16:36" x14ac:dyDescent="0.2">
      <c r="P822" s="132"/>
      <c r="Q822" s="136"/>
      <c r="R822" s="145"/>
      <c r="S822" s="146"/>
      <c r="AG822" s="179"/>
      <c r="AH822" s="136"/>
      <c r="AI822" s="136"/>
      <c r="AJ822" s="136"/>
    </row>
    <row r="823" spans="16:36" x14ac:dyDescent="0.2">
      <c r="P823" s="132"/>
      <c r="Q823" s="136"/>
      <c r="R823" s="145"/>
      <c r="S823" s="146"/>
      <c r="AG823" s="179"/>
      <c r="AH823" s="136"/>
      <c r="AI823" s="136"/>
      <c r="AJ823" s="136"/>
    </row>
    <row r="824" spans="16:36" x14ac:dyDescent="0.2">
      <c r="P824" s="132"/>
      <c r="Q824" s="136"/>
      <c r="R824" s="145"/>
      <c r="S824" s="146"/>
      <c r="AG824" s="179"/>
      <c r="AH824" s="136"/>
      <c r="AI824" s="136"/>
      <c r="AJ824" s="136"/>
    </row>
    <row r="825" spans="16:36" x14ac:dyDescent="0.2">
      <c r="P825" s="132"/>
      <c r="Q825" s="136"/>
      <c r="R825" s="145"/>
      <c r="S825" s="146"/>
      <c r="AG825" s="179"/>
      <c r="AH825" s="136"/>
      <c r="AI825" s="136"/>
      <c r="AJ825" s="136"/>
    </row>
    <row r="826" spans="16:36" x14ac:dyDescent="0.2">
      <c r="P826" s="132"/>
      <c r="Q826" s="136"/>
      <c r="R826" s="145"/>
      <c r="S826" s="146"/>
      <c r="AG826" s="179"/>
      <c r="AH826" s="136"/>
      <c r="AI826" s="136"/>
      <c r="AJ826" s="136"/>
    </row>
    <row r="827" spans="16:36" x14ac:dyDescent="0.2">
      <c r="P827" s="132"/>
      <c r="Q827" s="136"/>
      <c r="R827" s="145"/>
      <c r="S827" s="146"/>
      <c r="AG827" s="179"/>
      <c r="AH827" s="136"/>
      <c r="AI827" s="136"/>
      <c r="AJ827" s="136"/>
    </row>
    <row r="828" spans="16:36" x14ac:dyDescent="0.2">
      <c r="P828" s="132"/>
      <c r="Q828" s="136"/>
      <c r="R828" s="145"/>
      <c r="S828" s="146"/>
      <c r="AG828" s="179"/>
      <c r="AH828" s="136"/>
      <c r="AI828" s="136"/>
      <c r="AJ828" s="136"/>
    </row>
    <row r="829" spans="16:36" x14ac:dyDescent="0.2">
      <c r="P829" s="132"/>
      <c r="Q829" s="136"/>
      <c r="R829" s="145"/>
      <c r="S829" s="146"/>
      <c r="AG829" s="179"/>
      <c r="AH829" s="136"/>
      <c r="AI829" s="136"/>
      <c r="AJ829" s="136"/>
    </row>
    <row r="830" spans="16:36" x14ac:dyDescent="0.2">
      <c r="P830" s="132"/>
      <c r="Q830" s="136"/>
      <c r="R830" s="145"/>
      <c r="S830" s="146"/>
      <c r="AG830" s="179"/>
      <c r="AH830" s="136"/>
      <c r="AI830" s="136"/>
      <c r="AJ830" s="136"/>
    </row>
    <row r="831" spans="16:36" x14ac:dyDescent="0.2">
      <c r="P831" s="132"/>
      <c r="Q831" s="136"/>
      <c r="R831" s="145"/>
      <c r="S831" s="146"/>
      <c r="AG831" s="179"/>
      <c r="AH831" s="136"/>
      <c r="AI831" s="136"/>
      <c r="AJ831" s="136"/>
    </row>
    <row r="832" spans="16:36" x14ac:dyDescent="0.2">
      <c r="P832" s="132"/>
      <c r="Q832" s="136"/>
      <c r="R832" s="145"/>
      <c r="S832" s="146"/>
      <c r="AG832" s="179"/>
      <c r="AH832" s="136"/>
      <c r="AI832" s="136"/>
      <c r="AJ832" s="136"/>
    </row>
    <row r="833" spans="16:36" x14ac:dyDescent="0.2">
      <c r="P833" s="132"/>
      <c r="Q833" s="136"/>
      <c r="R833" s="145"/>
      <c r="S833" s="146"/>
      <c r="AG833" s="179"/>
      <c r="AH833" s="136"/>
      <c r="AI833" s="136"/>
      <c r="AJ833" s="136"/>
    </row>
    <row r="834" spans="16:36" x14ac:dyDescent="0.2">
      <c r="P834" s="132"/>
      <c r="Q834" s="136"/>
      <c r="R834" s="145"/>
      <c r="S834" s="146"/>
      <c r="AG834" s="179"/>
      <c r="AH834" s="136"/>
      <c r="AI834" s="136"/>
      <c r="AJ834" s="136"/>
    </row>
    <row r="835" spans="16:36" x14ac:dyDescent="0.2">
      <c r="P835" s="132"/>
      <c r="Q835" s="136"/>
      <c r="R835" s="145"/>
      <c r="S835" s="146"/>
      <c r="AG835" s="179"/>
      <c r="AH835" s="136"/>
      <c r="AI835" s="136"/>
      <c r="AJ835" s="136"/>
    </row>
    <row r="836" spans="16:36" x14ac:dyDescent="0.2">
      <c r="P836" s="132"/>
      <c r="Q836" s="136"/>
      <c r="R836" s="145"/>
      <c r="S836" s="146"/>
      <c r="AG836" s="179"/>
      <c r="AH836" s="136"/>
      <c r="AI836" s="136"/>
      <c r="AJ836" s="136"/>
    </row>
    <row r="837" spans="16:36" x14ac:dyDescent="0.2">
      <c r="P837" s="132"/>
      <c r="Q837" s="136"/>
      <c r="R837" s="145"/>
      <c r="S837" s="146"/>
      <c r="AG837" s="179"/>
      <c r="AH837" s="136"/>
      <c r="AI837" s="136"/>
      <c r="AJ837" s="136"/>
    </row>
    <row r="838" spans="16:36" x14ac:dyDescent="0.2">
      <c r="P838" s="132"/>
      <c r="Q838" s="136"/>
      <c r="R838" s="145"/>
      <c r="S838" s="146"/>
      <c r="AG838" s="179"/>
      <c r="AH838" s="136"/>
      <c r="AI838" s="136"/>
      <c r="AJ838" s="136"/>
    </row>
    <row r="839" spans="16:36" x14ac:dyDescent="0.2">
      <c r="P839" s="132"/>
      <c r="Q839" s="136"/>
      <c r="R839" s="145"/>
      <c r="S839" s="146"/>
      <c r="AG839" s="179"/>
      <c r="AH839" s="136"/>
      <c r="AI839" s="136"/>
      <c r="AJ839" s="136"/>
    </row>
    <row r="840" spans="16:36" x14ac:dyDescent="0.2">
      <c r="P840" s="132"/>
      <c r="Q840" s="136"/>
      <c r="R840" s="145"/>
      <c r="S840" s="146"/>
      <c r="AG840" s="179"/>
      <c r="AH840" s="136"/>
      <c r="AI840" s="136"/>
      <c r="AJ840" s="136"/>
    </row>
    <row r="841" spans="16:36" x14ac:dyDescent="0.2">
      <c r="P841" s="132"/>
      <c r="Q841" s="136"/>
      <c r="R841" s="145"/>
      <c r="S841" s="146"/>
      <c r="AG841" s="179"/>
      <c r="AH841" s="136"/>
      <c r="AI841" s="136"/>
      <c r="AJ841" s="136"/>
    </row>
    <row r="842" spans="16:36" x14ac:dyDescent="0.2">
      <c r="P842" s="132"/>
      <c r="Q842" s="136"/>
      <c r="R842" s="145"/>
      <c r="S842" s="146"/>
      <c r="AG842" s="179"/>
      <c r="AH842" s="136"/>
      <c r="AI842" s="136"/>
      <c r="AJ842" s="136"/>
    </row>
    <row r="843" spans="16:36" x14ac:dyDescent="0.2">
      <c r="P843" s="132"/>
      <c r="Q843" s="136"/>
      <c r="R843" s="145"/>
      <c r="S843" s="146"/>
      <c r="AG843" s="179"/>
      <c r="AH843" s="136"/>
      <c r="AI843" s="136"/>
      <c r="AJ843" s="136"/>
    </row>
    <row r="844" spans="16:36" x14ac:dyDescent="0.2">
      <c r="P844" s="132"/>
      <c r="Q844" s="136"/>
      <c r="R844" s="145"/>
      <c r="S844" s="146"/>
      <c r="AG844" s="179"/>
      <c r="AH844" s="136"/>
      <c r="AI844" s="136"/>
      <c r="AJ844" s="136"/>
    </row>
    <row r="845" spans="16:36" x14ac:dyDescent="0.2">
      <c r="P845" s="132"/>
      <c r="Q845" s="136"/>
      <c r="R845" s="145"/>
      <c r="S845" s="146"/>
      <c r="AG845" s="179"/>
      <c r="AH845" s="136"/>
      <c r="AI845" s="136"/>
      <c r="AJ845" s="136"/>
    </row>
    <row r="846" spans="16:36" x14ac:dyDescent="0.2">
      <c r="P846" s="132"/>
      <c r="Q846" s="136"/>
      <c r="R846" s="145"/>
      <c r="S846" s="146"/>
      <c r="AG846" s="179"/>
      <c r="AH846" s="136"/>
      <c r="AI846" s="136"/>
      <c r="AJ846" s="136"/>
    </row>
    <row r="847" spans="16:36" x14ac:dyDescent="0.2">
      <c r="P847" s="132"/>
      <c r="Q847" s="136"/>
      <c r="R847" s="145"/>
      <c r="S847" s="146"/>
      <c r="AG847" s="179"/>
      <c r="AH847" s="136"/>
      <c r="AI847" s="136"/>
      <c r="AJ847" s="136"/>
    </row>
    <row r="848" spans="16:36" x14ac:dyDescent="0.2">
      <c r="P848" s="132"/>
      <c r="Q848" s="136"/>
      <c r="R848" s="145"/>
      <c r="S848" s="146"/>
      <c r="AG848" s="179"/>
      <c r="AH848" s="136"/>
      <c r="AI848" s="136"/>
      <c r="AJ848" s="136"/>
    </row>
    <row r="849" spans="16:36" x14ac:dyDescent="0.2">
      <c r="P849" s="132"/>
      <c r="Q849" s="136"/>
      <c r="R849" s="145"/>
      <c r="S849" s="146"/>
      <c r="AG849" s="179"/>
      <c r="AH849" s="136"/>
      <c r="AI849" s="136"/>
      <c r="AJ849" s="136"/>
    </row>
    <row r="850" spans="16:36" x14ac:dyDescent="0.2">
      <c r="P850" s="132"/>
      <c r="Q850" s="136"/>
      <c r="R850" s="145"/>
      <c r="S850" s="146"/>
      <c r="AG850" s="179"/>
      <c r="AH850" s="136"/>
      <c r="AI850" s="136"/>
      <c r="AJ850" s="136"/>
    </row>
    <row r="851" spans="16:36" x14ac:dyDescent="0.2">
      <c r="P851" s="132"/>
      <c r="Q851" s="136"/>
      <c r="R851" s="145"/>
      <c r="S851" s="146"/>
      <c r="AG851" s="179"/>
      <c r="AH851" s="136"/>
      <c r="AI851" s="136"/>
      <c r="AJ851" s="136"/>
    </row>
    <row r="852" spans="16:36" x14ac:dyDescent="0.2">
      <c r="P852" s="132"/>
      <c r="Q852" s="136"/>
      <c r="R852" s="145"/>
      <c r="S852" s="146"/>
      <c r="AG852" s="179"/>
      <c r="AH852" s="136"/>
      <c r="AI852" s="136"/>
      <c r="AJ852" s="136"/>
    </row>
    <row r="853" spans="16:36" x14ac:dyDescent="0.2">
      <c r="P853" s="132"/>
      <c r="Q853" s="136"/>
      <c r="R853" s="145"/>
      <c r="S853" s="146"/>
      <c r="AG853" s="179"/>
      <c r="AH853" s="136"/>
      <c r="AI853" s="136"/>
      <c r="AJ853" s="136"/>
    </row>
    <row r="854" spans="16:36" x14ac:dyDescent="0.2">
      <c r="P854" s="132"/>
      <c r="Q854" s="136"/>
      <c r="R854" s="145"/>
      <c r="S854" s="146"/>
      <c r="AG854" s="179"/>
      <c r="AH854" s="136"/>
      <c r="AI854" s="136"/>
      <c r="AJ854" s="136"/>
    </row>
    <row r="855" spans="16:36" x14ac:dyDescent="0.2">
      <c r="P855" s="132"/>
      <c r="Q855" s="136"/>
      <c r="R855" s="145"/>
      <c r="S855" s="146"/>
      <c r="AG855" s="179"/>
      <c r="AH855" s="136"/>
      <c r="AI855" s="136"/>
      <c r="AJ855" s="136"/>
    </row>
    <row r="856" spans="16:36" x14ac:dyDescent="0.2">
      <c r="P856" s="132"/>
      <c r="Q856" s="136"/>
      <c r="R856" s="145"/>
      <c r="S856" s="146"/>
      <c r="AG856" s="179"/>
      <c r="AH856" s="136"/>
      <c r="AI856" s="136"/>
      <c r="AJ856" s="136"/>
    </row>
    <row r="857" spans="16:36" x14ac:dyDescent="0.2">
      <c r="P857" s="132"/>
      <c r="Q857" s="136"/>
      <c r="R857" s="145"/>
      <c r="S857" s="146"/>
      <c r="AG857" s="179"/>
      <c r="AH857" s="136"/>
      <c r="AI857" s="136"/>
      <c r="AJ857" s="136"/>
    </row>
    <row r="858" spans="16:36" x14ac:dyDescent="0.2">
      <c r="P858" s="132"/>
      <c r="Q858" s="136"/>
      <c r="R858" s="145"/>
      <c r="S858" s="146"/>
      <c r="AG858" s="179"/>
      <c r="AH858" s="136"/>
      <c r="AI858" s="136"/>
      <c r="AJ858" s="136"/>
    </row>
    <row r="859" spans="16:36" x14ac:dyDescent="0.2">
      <c r="P859" s="132"/>
      <c r="Q859" s="136"/>
      <c r="R859" s="145"/>
      <c r="S859" s="146"/>
      <c r="AG859" s="179"/>
      <c r="AH859" s="136"/>
      <c r="AI859" s="136"/>
      <c r="AJ859" s="136"/>
    </row>
    <row r="860" spans="16:36" x14ac:dyDescent="0.2">
      <c r="P860" s="132"/>
      <c r="Q860" s="136"/>
      <c r="R860" s="145"/>
      <c r="S860" s="146"/>
      <c r="AG860" s="179"/>
      <c r="AH860" s="136"/>
      <c r="AI860" s="136"/>
      <c r="AJ860" s="136"/>
    </row>
    <row r="861" spans="16:36" x14ac:dyDescent="0.2">
      <c r="P861" s="132"/>
      <c r="Q861" s="136"/>
      <c r="R861" s="145"/>
      <c r="S861" s="146"/>
      <c r="AG861" s="179"/>
      <c r="AH861" s="136"/>
      <c r="AI861" s="136"/>
      <c r="AJ861" s="136"/>
    </row>
    <row r="862" spans="16:36" x14ac:dyDescent="0.2">
      <c r="P862" s="132"/>
      <c r="Q862" s="136"/>
      <c r="R862" s="145"/>
      <c r="S862" s="146"/>
      <c r="AG862" s="179"/>
      <c r="AH862" s="136"/>
      <c r="AI862" s="136"/>
      <c r="AJ862" s="136"/>
    </row>
    <row r="863" spans="16:36" x14ac:dyDescent="0.2">
      <c r="P863" s="132"/>
      <c r="Q863" s="136"/>
      <c r="R863" s="145"/>
      <c r="S863" s="146"/>
      <c r="AG863" s="179"/>
      <c r="AH863" s="136"/>
      <c r="AI863" s="136"/>
      <c r="AJ863" s="136"/>
    </row>
    <row r="864" spans="16:36" x14ac:dyDescent="0.2">
      <c r="P864" s="132"/>
      <c r="Q864" s="136"/>
      <c r="R864" s="145"/>
      <c r="S864" s="146"/>
      <c r="AG864" s="179"/>
      <c r="AH864" s="136"/>
      <c r="AI864" s="136"/>
      <c r="AJ864" s="136"/>
    </row>
    <row r="865" spans="16:36" x14ac:dyDescent="0.2">
      <c r="P865" s="132"/>
      <c r="Q865" s="136"/>
      <c r="R865" s="145"/>
      <c r="S865" s="146"/>
      <c r="AG865" s="179"/>
      <c r="AH865" s="136"/>
      <c r="AI865" s="136"/>
      <c r="AJ865" s="136"/>
    </row>
    <row r="866" spans="16:36" x14ac:dyDescent="0.2">
      <c r="P866" s="132"/>
      <c r="Q866" s="136"/>
      <c r="R866" s="145"/>
      <c r="S866" s="146"/>
      <c r="AG866" s="179"/>
      <c r="AH866" s="136"/>
      <c r="AI866" s="136"/>
      <c r="AJ866" s="136"/>
    </row>
    <row r="867" spans="16:36" x14ac:dyDescent="0.2">
      <c r="P867" s="132"/>
      <c r="Q867" s="136"/>
      <c r="R867" s="145"/>
      <c r="S867" s="146"/>
      <c r="AG867" s="179"/>
      <c r="AH867" s="136"/>
      <c r="AI867" s="136"/>
      <c r="AJ867" s="136"/>
    </row>
    <row r="868" spans="16:36" x14ac:dyDescent="0.2">
      <c r="P868" s="132"/>
      <c r="Q868" s="136"/>
      <c r="R868" s="145"/>
      <c r="S868" s="146"/>
      <c r="AG868" s="179"/>
      <c r="AH868" s="136"/>
      <c r="AI868" s="136"/>
      <c r="AJ868" s="136"/>
    </row>
    <row r="869" spans="16:36" x14ac:dyDescent="0.2">
      <c r="P869" s="132"/>
      <c r="Q869" s="136"/>
      <c r="R869" s="145"/>
      <c r="S869" s="146"/>
      <c r="AG869" s="179"/>
      <c r="AH869" s="136"/>
      <c r="AI869" s="136"/>
      <c r="AJ869" s="136"/>
    </row>
    <row r="870" spans="16:36" x14ac:dyDescent="0.2">
      <c r="P870" s="132"/>
      <c r="Q870" s="136"/>
      <c r="R870" s="145"/>
      <c r="S870" s="146"/>
      <c r="AG870" s="179"/>
      <c r="AH870" s="136"/>
      <c r="AI870" s="136"/>
      <c r="AJ870" s="136"/>
    </row>
    <row r="871" spans="16:36" x14ac:dyDescent="0.2">
      <c r="P871" s="132"/>
      <c r="Q871" s="136"/>
      <c r="R871" s="145"/>
      <c r="S871" s="146"/>
      <c r="AG871" s="179"/>
      <c r="AH871" s="136"/>
      <c r="AI871" s="136"/>
      <c r="AJ871" s="136"/>
    </row>
    <row r="872" spans="16:36" x14ac:dyDescent="0.2">
      <c r="P872" s="132"/>
      <c r="Q872" s="136"/>
      <c r="R872" s="145"/>
      <c r="S872" s="146"/>
      <c r="AG872" s="179"/>
      <c r="AH872" s="136"/>
      <c r="AI872" s="136"/>
      <c r="AJ872" s="136"/>
    </row>
    <row r="873" spans="16:36" x14ac:dyDescent="0.2">
      <c r="P873" s="132"/>
      <c r="Q873" s="136"/>
      <c r="R873" s="145"/>
      <c r="S873" s="146"/>
      <c r="AG873" s="179"/>
      <c r="AH873" s="136"/>
      <c r="AI873" s="136"/>
      <c r="AJ873" s="136"/>
    </row>
    <row r="874" spans="16:36" x14ac:dyDescent="0.2">
      <c r="P874" s="132"/>
      <c r="Q874" s="136"/>
      <c r="R874" s="145"/>
      <c r="S874" s="146"/>
      <c r="AG874" s="179"/>
      <c r="AH874" s="136"/>
      <c r="AI874" s="136"/>
      <c r="AJ874" s="136"/>
    </row>
    <row r="875" spans="16:36" x14ac:dyDescent="0.2">
      <c r="P875" s="132"/>
      <c r="Q875" s="136"/>
      <c r="R875" s="145"/>
      <c r="S875" s="146"/>
      <c r="AG875" s="179"/>
      <c r="AH875" s="136"/>
      <c r="AI875" s="136"/>
      <c r="AJ875" s="136"/>
    </row>
    <row r="876" spans="16:36" x14ac:dyDescent="0.2">
      <c r="P876" s="132"/>
      <c r="Q876" s="136"/>
      <c r="R876" s="145"/>
      <c r="S876" s="146"/>
      <c r="AG876" s="179"/>
      <c r="AH876" s="136"/>
      <c r="AI876" s="136"/>
      <c r="AJ876" s="136"/>
    </row>
    <row r="877" spans="16:36" x14ac:dyDescent="0.2">
      <c r="P877" s="132"/>
      <c r="Q877" s="136"/>
      <c r="R877" s="145"/>
      <c r="S877" s="146"/>
      <c r="AG877" s="179"/>
      <c r="AH877" s="136"/>
      <c r="AI877" s="136"/>
      <c r="AJ877" s="136"/>
    </row>
    <row r="878" spans="16:36" x14ac:dyDescent="0.2">
      <c r="P878" s="132"/>
      <c r="Q878" s="136"/>
      <c r="R878" s="145"/>
      <c r="S878" s="146"/>
      <c r="AG878" s="179"/>
      <c r="AH878" s="136"/>
      <c r="AI878" s="136"/>
      <c r="AJ878" s="136"/>
    </row>
    <row r="879" spans="16:36" x14ac:dyDescent="0.2">
      <c r="P879" s="132"/>
      <c r="Q879" s="136"/>
      <c r="R879" s="145"/>
      <c r="S879" s="146"/>
      <c r="AG879" s="179"/>
      <c r="AH879" s="136"/>
      <c r="AI879" s="136"/>
      <c r="AJ879" s="136"/>
    </row>
    <row r="880" spans="16:36" x14ac:dyDescent="0.2">
      <c r="P880" s="132"/>
      <c r="Q880" s="136"/>
      <c r="R880" s="145"/>
      <c r="S880" s="146"/>
      <c r="AG880" s="179"/>
      <c r="AH880" s="136"/>
      <c r="AI880" s="136"/>
      <c r="AJ880" s="136"/>
    </row>
    <row r="881" spans="16:36" x14ac:dyDescent="0.2">
      <c r="P881" s="132"/>
      <c r="Q881" s="136"/>
      <c r="R881" s="145"/>
      <c r="S881" s="146"/>
      <c r="AG881" s="179"/>
      <c r="AH881" s="136"/>
      <c r="AI881" s="136"/>
      <c r="AJ881" s="136"/>
    </row>
    <row r="882" spans="16:36" x14ac:dyDescent="0.2">
      <c r="P882" s="132"/>
      <c r="Q882" s="136"/>
      <c r="R882" s="145"/>
      <c r="S882" s="146"/>
      <c r="AG882" s="179"/>
      <c r="AH882" s="136"/>
      <c r="AI882" s="136"/>
      <c r="AJ882" s="136"/>
    </row>
    <row r="883" spans="16:36" x14ac:dyDescent="0.2">
      <c r="P883" s="132"/>
      <c r="Q883" s="136"/>
      <c r="R883" s="145"/>
      <c r="S883" s="146"/>
      <c r="AG883" s="179"/>
      <c r="AH883" s="136"/>
      <c r="AI883" s="136"/>
      <c r="AJ883" s="136"/>
    </row>
    <row r="884" spans="16:36" x14ac:dyDescent="0.2">
      <c r="P884" s="132"/>
      <c r="Q884" s="136"/>
      <c r="R884" s="145"/>
      <c r="S884" s="146"/>
      <c r="AG884" s="179"/>
      <c r="AH884" s="136"/>
      <c r="AI884" s="136"/>
      <c r="AJ884" s="136"/>
    </row>
    <row r="885" spans="16:36" x14ac:dyDescent="0.2">
      <c r="P885" s="132"/>
      <c r="Q885" s="136"/>
      <c r="R885" s="145"/>
      <c r="S885" s="146"/>
      <c r="AG885" s="179"/>
      <c r="AH885" s="136"/>
      <c r="AI885" s="136"/>
      <c r="AJ885" s="136"/>
    </row>
    <row r="886" spans="16:36" x14ac:dyDescent="0.2">
      <c r="P886" s="132"/>
      <c r="Q886" s="136"/>
      <c r="R886" s="145"/>
      <c r="S886" s="146"/>
      <c r="AG886" s="179"/>
      <c r="AH886" s="136"/>
      <c r="AI886" s="136"/>
      <c r="AJ886" s="136"/>
    </row>
    <row r="887" spans="16:36" x14ac:dyDescent="0.2">
      <c r="P887" s="132"/>
      <c r="Q887" s="136"/>
      <c r="R887" s="145"/>
      <c r="S887" s="146"/>
      <c r="AG887" s="179"/>
      <c r="AH887" s="136"/>
      <c r="AI887" s="136"/>
      <c r="AJ887" s="136"/>
    </row>
    <row r="888" spans="16:36" x14ac:dyDescent="0.2">
      <c r="P888" s="132"/>
      <c r="Q888" s="136"/>
      <c r="R888" s="145"/>
      <c r="S888" s="146"/>
      <c r="AG888" s="179"/>
      <c r="AH888" s="136"/>
      <c r="AI888" s="136"/>
      <c r="AJ888" s="136"/>
    </row>
    <row r="889" spans="16:36" x14ac:dyDescent="0.2">
      <c r="P889" s="132"/>
      <c r="Q889" s="136"/>
      <c r="R889" s="145"/>
      <c r="S889" s="146"/>
      <c r="AG889" s="179"/>
      <c r="AH889" s="136"/>
      <c r="AI889" s="136"/>
      <c r="AJ889" s="136"/>
    </row>
    <row r="890" spans="16:36" x14ac:dyDescent="0.2">
      <c r="P890" s="132"/>
      <c r="Q890" s="136"/>
      <c r="R890" s="145"/>
      <c r="S890" s="146"/>
      <c r="AG890" s="179"/>
      <c r="AH890" s="136"/>
      <c r="AI890" s="136"/>
      <c r="AJ890" s="136"/>
    </row>
    <row r="891" spans="16:36" x14ac:dyDescent="0.2">
      <c r="P891" s="132"/>
      <c r="Q891" s="136"/>
      <c r="R891" s="145"/>
      <c r="S891" s="146"/>
      <c r="AG891" s="179"/>
      <c r="AH891" s="136"/>
      <c r="AI891" s="136"/>
      <c r="AJ891" s="136"/>
    </row>
    <row r="892" spans="16:36" x14ac:dyDescent="0.2">
      <c r="P892" s="132"/>
      <c r="Q892" s="136"/>
      <c r="R892" s="145"/>
      <c r="S892" s="146"/>
      <c r="AG892" s="179"/>
      <c r="AH892" s="136"/>
      <c r="AI892" s="136"/>
      <c r="AJ892" s="136"/>
    </row>
    <row r="893" spans="16:36" x14ac:dyDescent="0.2">
      <c r="P893" s="132"/>
      <c r="Q893" s="136"/>
      <c r="R893" s="145"/>
      <c r="S893" s="146"/>
      <c r="AG893" s="179"/>
      <c r="AH893" s="136"/>
      <c r="AI893" s="136"/>
      <c r="AJ893" s="136"/>
    </row>
    <row r="894" spans="16:36" x14ac:dyDescent="0.2">
      <c r="P894" s="132"/>
      <c r="Q894" s="136"/>
      <c r="R894" s="145"/>
      <c r="S894" s="146"/>
      <c r="AG894" s="179"/>
      <c r="AH894" s="136"/>
      <c r="AI894" s="136"/>
      <c r="AJ894" s="136"/>
    </row>
    <row r="895" spans="16:36" x14ac:dyDescent="0.2">
      <c r="P895" s="132"/>
      <c r="Q895" s="136"/>
      <c r="R895" s="145"/>
      <c r="S895" s="146"/>
      <c r="AG895" s="179"/>
      <c r="AH895" s="136"/>
      <c r="AI895" s="136"/>
      <c r="AJ895" s="136"/>
    </row>
    <row r="896" spans="16:36" x14ac:dyDescent="0.2">
      <c r="P896" s="132"/>
      <c r="Q896" s="136"/>
      <c r="R896" s="145"/>
      <c r="S896" s="146"/>
      <c r="AG896" s="179"/>
      <c r="AH896" s="136"/>
      <c r="AI896" s="136"/>
      <c r="AJ896" s="136"/>
    </row>
    <row r="897" spans="16:36" x14ac:dyDescent="0.2">
      <c r="P897" s="132"/>
      <c r="Q897" s="136"/>
      <c r="R897" s="145"/>
      <c r="S897" s="146"/>
      <c r="AG897" s="179"/>
      <c r="AH897" s="136"/>
      <c r="AI897" s="136"/>
      <c r="AJ897" s="136"/>
    </row>
    <row r="898" spans="16:36" x14ac:dyDescent="0.2">
      <c r="P898" s="132"/>
      <c r="Q898" s="136"/>
      <c r="R898" s="145"/>
      <c r="S898" s="146"/>
      <c r="AG898" s="179"/>
      <c r="AH898" s="136"/>
      <c r="AI898" s="136"/>
      <c r="AJ898" s="136"/>
    </row>
    <row r="899" spans="16:36" x14ac:dyDescent="0.2">
      <c r="P899" s="132"/>
      <c r="Q899" s="136"/>
      <c r="R899" s="145"/>
      <c r="S899" s="146"/>
      <c r="AG899" s="179"/>
      <c r="AH899" s="136"/>
      <c r="AI899" s="136"/>
      <c r="AJ899" s="136"/>
    </row>
    <row r="900" spans="16:36" x14ac:dyDescent="0.2">
      <c r="P900" s="132"/>
      <c r="Q900" s="136"/>
      <c r="R900" s="145"/>
      <c r="S900" s="146"/>
      <c r="AG900" s="179"/>
      <c r="AH900" s="136"/>
      <c r="AI900" s="136"/>
      <c r="AJ900" s="136"/>
    </row>
    <row r="901" spans="16:36" x14ac:dyDescent="0.2">
      <c r="P901" s="132"/>
      <c r="Q901" s="136"/>
      <c r="R901" s="145"/>
      <c r="S901" s="146"/>
      <c r="AG901" s="179"/>
      <c r="AH901" s="136"/>
      <c r="AI901" s="136"/>
      <c r="AJ901" s="136"/>
    </row>
    <row r="902" spans="16:36" x14ac:dyDescent="0.2">
      <c r="P902" s="132"/>
      <c r="Q902" s="136"/>
      <c r="R902" s="145"/>
      <c r="S902" s="146"/>
      <c r="AG902" s="179"/>
      <c r="AH902" s="136"/>
      <c r="AI902" s="136"/>
      <c r="AJ902" s="136"/>
    </row>
    <row r="903" spans="16:36" x14ac:dyDescent="0.2">
      <c r="P903" s="132"/>
      <c r="Q903" s="136"/>
      <c r="R903" s="145"/>
      <c r="S903" s="146"/>
      <c r="AG903" s="179"/>
      <c r="AH903" s="136"/>
      <c r="AI903" s="136"/>
      <c r="AJ903" s="136"/>
    </row>
    <row r="904" spans="16:36" x14ac:dyDescent="0.2">
      <c r="P904" s="132"/>
      <c r="Q904" s="136"/>
      <c r="R904" s="145"/>
      <c r="S904" s="146"/>
      <c r="AG904" s="179"/>
      <c r="AH904" s="136"/>
      <c r="AI904" s="136"/>
      <c r="AJ904" s="136"/>
    </row>
    <row r="905" spans="16:36" x14ac:dyDescent="0.2">
      <c r="P905" s="132"/>
      <c r="Q905" s="136"/>
      <c r="R905" s="145"/>
      <c r="S905" s="146"/>
      <c r="AG905" s="179"/>
      <c r="AH905" s="136"/>
      <c r="AI905" s="136"/>
      <c r="AJ905" s="136"/>
    </row>
    <row r="906" spans="16:36" x14ac:dyDescent="0.2">
      <c r="P906" s="132"/>
      <c r="Q906" s="136"/>
      <c r="R906" s="145"/>
      <c r="S906" s="146"/>
      <c r="AG906" s="179"/>
      <c r="AH906" s="136"/>
      <c r="AI906" s="136"/>
      <c r="AJ906" s="136"/>
    </row>
    <row r="907" spans="16:36" x14ac:dyDescent="0.2">
      <c r="P907" s="132"/>
      <c r="Q907" s="136"/>
      <c r="R907" s="145"/>
      <c r="S907" s="146"/>
      <c r="AG907" s="179"/>
      <c r="AH907" s="136"/>
      <c r="AI907" s="136"/>
      <c r="AJ907" s="136"/>
    </row>
    <row r="908" spans="16:36" x14ac:dyDescent="0.2">
      <c r="P908" s="132"/>
      <c r="Q908" s="136"/>
      <c r="R908" s="145"/>
      <c r="S908" s="146"/>
      <c r="AG908" s="179"/>
      <c r="AH908" s="136"/>
      <c r="AI908" s="136"/>
      <c r="AJ908" s="136"/>
    </row>
    <row r="909" spans="16:36" x14ac:dyDescent="0.2">
      <c r="P909" s="132"/>
      <c r="Q909" s="136"/>
      <c r="R909" s="145"/>
      <c r="S909" s="146"/>
      <c r="AG909" s="179"/>
      <c r="AH909" s="136"/>
      <c r="AI909" s="136"/>
      <c r="AJ909" s="136"/>
    </row>
    <row r="910" spans="16:36" x14ac:dyDescent="0.2">
      <c r="P910" s="132"/>
      <c r="Q910" s="136"/>
      <c r="R910" s="145"/>
      <c r="S910" s="146"/>
      <c r="AG910" s="179"/>
      <c r="AH910" s="136"/>
      <c r="AI910" s="136"/>
      <c r="AJ910" s="136"/>
    </row>
    <row r="911" spans="16:36" x14ac:dyDescent="0.2">
      <c r="P911" s="132"/>
      <c r="Q911" s="136"/>
      <c r="R911" s="145"/>
      <c r="S911" s="146"/>
      <c r="AG911" s="179"/>
      <c r="AH911" s="136"/>
      <c r="AI911" s="136"/>
      <c r="AJ911" s="136"/>
    </row>
    <row r="912" spans="16:36" x14ac:dyDescent="0.2">
      <c r="P912" s="132"/>
      <c r="Q912" s="136"/>
      <c r="R912" s="145"/>
      <c r="S912" s="146"/>
      <c r="AG912" s="179"/>
      <c r="AH912" s="136"/>
      <c r="AI912" s="136"/>
      <c r="AJ912" s="136"/>
    </row>
    <row r="913" spans="16:36" x14ac:dyDescent="0.2">
      <c r="P913" s="132"/>
      <c r="Q913" s="136"/>
      <c r="R913" s="145"/>
      <c r="S913" s="146"/>
      <c r="AG913" s="179"/>
      <c r="AH913" s="136"/>
      <c r="AI913" s="136"/>
      <c r="AJ913" s="136"/>
    </row>
    <row r="914" spans="16:36" x14ac:dyDescent="0.2">
      <c r="P914" s="132"/>
      <c r="Q914" s="136"/>
      <c r="R914" s="145"/>
      <c r="S914" s="146"/>
      <c r="AG914" s="179"/>
      <c r="AH914" s="136"/>
      <c r="AI914" s="136"/>
      <c r="AJ914" s="136"/>
    </row>
    <row r="915" spans="16:36" x14ac:dyDescent="0.2">
      <c r="P915" s="132"/>
      <c r="Q915" s="136"/>
      <c r="R915" s="145"/>
      <c r="S915" s="146"/>
      <c r="AG915" s="179"/>
      <c r="AH915" s="136"/>
      <c r="AI915" s="136"/>
      <c r="AJ915" s="136"/>
    </row>
    <row r="916" spans="16:36" x14ac:dyDescent="0.2">
      <c r="P916" s="132"/>
      <c r="Q916" s="136"/>
      <c r="R916" s="145"/>
      <c r="S916" s="146"/>
      <c r="AG916" s="179"/>
      <c r="AH916" s="136"/>
      <c r="AI916" s="136"/>
      <c r="AJ916" s="136"/>
    </row>
    <row r="917" spans="16:36" x14ac:dyDescent="0.2">
      <c r="P917" s="132"/>
      <c r="Q917" s="136"/>
      <c r="R917" s="145"/>
      <c r="S917" s="146"/>
      <c r="AG917" s="179"/>
      <c r="AH917" s="136"/>
      <c r="AI917" s="136"/>
      <c r="AJ917" s="136"/>
    </row>
    <row r="918" spans="16:36" x14ac:dyDescent="0.2">
      <c r="P918" s="132"/>
      <c r="Q918" s="136"/>
      <c r="R918" s="145"/>
      <c r="S918" s="146"/>
      <c r="AG918" s="179"/>
      <c r="AH918" s="136"/>
      <c r="AI918" s="136"/>
      <c r="AJ918" s="136"/>
    </row>
    <row r="919" spans="16:36" x14ac:dyDescent="0.2">
      <c r="P919" s="132"/>
      <c r="Q919" s="136"/>
      <c r="R919" s="145"/>
      <c r="S919" s="146"/>
      <c r="AG919" s="179"/>
      <c r="AH919" s="136"/>
      <c r="AI919" s="136"/>
      <c r="AJ919" s="136"/>
    </row>
    <row r="920" spans="16:36" x14ac:dyDescent="0.2">
      <c r="P920" s="132"/>
      <c r="Q920" s="136"/>
      <c r="R920" s="145"/>
      <c r="S920" s="146"/>
      <c r="AG920" s="179"/>
      <c r="AH920" s="136"/>
      <c r="AI920" s="136"/>
      <c r="AJ920" s="136"/>
    </row>
    <row r="921" spans="16:36" x14ac:dyDescent="0.2">
      <c r="P921" s="132"/>
      <c r="Q921" s="136"/>
      <c r="R921" s="145"/>
      <c r="S921" s="146"/>
      <c r="AG921" s="179"/>
      <c r="AH921" s="136"/>
      <c r="AI921" s="136"/>
      <c r="AJ921" s="136"/>
    </row>
    <row r="922" spans="16:36" x14ac:dyDescent="0.2">
      <c r="P922" s="132"/>
      <c r="Q922" s="136"/>
      <c r="R922" s="145"/>
      <c r="S922" s="146"/>
      <c r="AG922" s="179"/>
      <c r="AH922" s="136"/>
      <c r="AI922" s="136"/>
      <c r="AJ922" s="136"/>
    </row>
    <row r="923" spans="16:36" x14ac:dyDescent="0.2">
      <c r="P923" s="132"/>
      <c r="Q923" s="136"/>
      <c r="R923" s="145"/>
      <c r="S923" s="146"/>
      <c r="AG923" s="179"/>
      <c r="AH923" s="136"/>
      <c r="AI923" s="136"/>
      <c r="AJ923" s="136"/>
    </row>
    <row r="924" spans="16:36" x14ac:dyDescent="0.2">
      <c r="P924" s="132"/>
      <c r="Q924" s="136"/>
      <c r="R924" s="145"/>
      <c r="S924" s="146"/>
      <c r="AG924" s="179"/>
      <c r="AH924" s="136"/>
      <c r="AI924" s="136"/>
      <c r="AJ924" s="136"/>
    </row>
    <row r="925" spans="16:36" x14ac:dyDescent="0.2">
      <c r="P925" s="132"/>
      <c r="Q925" s="136"/>
      <c r="R925" s="145"/>
      <c r="S925" s="146"/>
      <c r="AG925" s="179"/>
      <c r="AH925" s="136"/>
      <c r="AI925" s="136"/>
      <c r="AJ925" s="136"/>
    </row>
    <row r="926" spans="16:36" x14ac:dyDescent="0.2">
      <c r="P926" s="132"/>
      <c r="Q926" s="136"/>
      <c r="R926" s="145"/>
      <c r="S926" s="146"/>
      <c r="AG926" s="179"/>
      <c r="AH926" s="136"/>
      <c r="AI926" s="136"/>
      <c r="AJ926" s="136"/>
    </row>
    <row r="927" spans="16:36" x14ac:dyDescent="0.2">
      <c r="P927" s="132"/>
      <c r="Q927" s="136"/>
      <c r="R927" s="145"/>
      <c r="S927" s="146"/>
      <c r="AG927" s="179"/>
      <c r="AH927" s="136"/>
      <c r="AI927" s="136"/>
      <c r="AJ927" s="136"/>
    </row>
    <row r="928" spans="16:36" x14ac:dyDescent="0.2">
      <c r="P928" s="132"/>
      <c r="Q928" s="136"/>
      <c r="R928" s="145"/>
      <c r="S928" s="146"/>
      <c r="AG928" s="179"/>
      <c r="AH928" s="136"/>
      <c r="AI928" s="136"/>
      <c r="AJ928" s="136"/>
    </row>
    <row r="929" spans="16:36" x14ac:dyDescent="0.2">
      <c r="P929" s="132"/>
      <c r="Q929" s="136"/>
      <c r="R929" s="145"/>
      <c r="S929" s="146"/>
      <c r="AG929" s="179"/>
      <c r="AH929" s="136"/>
      <c r="AI929" s="136"/>
      <c r="AJ929" s="136"/>
    </row>
    <row r="930" spans="16:36" x14ac:dyDescent="0.2">
      <c r="P930" s="132"/>
      <c r="Q930" s="136"/>
      <c r="R930" s="145"/>
      <c r="S930" s="146"/>
      <c r="AG930" s="179"/>
      <c r="AH930" s="136"/>
      <c r="AI930" s="136"/>
      <c r="AJ930" s="136"/>
    </row>
    <row r="931" spans="16:36" x14ac:dyDescent="0.2">
      <c r="P931" s="132"/>
      <c r="Q931" s="136"/>
      <c r="R931" s="145"/>
      <c r="S931" s="146"/>
      <c r="AG931" s="179"/>
      <c r="AH931" s="136"/>
      <c r="AI931" s="136"/>
      <c r="AJ931" s="136"/>
    </row>
    <row r="932" spans="16:36" x14ac:dyDescent="0.2">
      <c r="P932" s="132"/>
      <c r="Q932" s="136"/>
      <c r="R932" s="145"/>
      <c r="S932" s="146"/>
      <c r="AG932" s="179"/>
      <c r="AH932" s="136"/>
      <c r="AI932" s="136"/>
      <c r="AJ932" s="136"/>
    </row>
    <row r="933" spans="16:36" x14ac:dyDescent="0.2">
      <c r="P933" s="132"/>
      <c r="Q933" s="136"/>
      <c r="R933" s="145"/>
      <c r="S933" s="146"/>
      <c r="AG933" s="179"/>
      <c r="AH933" s="136"/>
      <c r="AI933" s="136"/>
      <c r="AJ933" s="136"/>
    </row>
    <row r="934" spans="16:36" x14ac:dyDescent="0.2">
      <c r="P934" s="132"/>
      <c r="Q934" s="136"/>
      <c r="R934" s="145"/>
      <c r="S934" s="146"/>
      <c r="AG934" s="179"/>
      <c r="AH934" s="136"/>
      <c r="AI934" s="136"/>
      <c r="AJ934" s="136"/>
    </row>
    <row r="935" spans="16:36" x14ac:dyDescent="0.2">
      <c r="P935" s="132"/>
      <c r="Q935" s="136"/>
      <c r="R935" s="145"/>
      <c r="S935" s="146"/>
      <c r="AG935" s="179"/>
      <c r="AH935" s="136"/>
      <c r="AI935" s="136"/>
      <c r="AJ935" s="136"/>
    </row>
    <row r="936" spans="16:36" x14ac:dyDescent="0.2">
      <c r="P936" s="132"/>
      <c r="Q936" s="136"/>
      <c r="R936" s="145"/>
      <c r="S936" s="146"/>
      <c r="AG936" s="179"/>
      <c r="AH936" s="136"/>
      <c r="AI936" s="136"/>
      <c r="AJ936" s="136"/>
    </row>
    <row r="937" spans="16:36" x14ac:dyDescent="0.2">
      <c r="P937" s="132"/>
      <c r="Q937" s="136"/>
      <c r="R937" s="145"/>
      <c r="S937" s="146"/>
      <c r="AG937" s="179"/>
      <c r="AH937" s="136"/>
      <c r="AI937" s="136"/>
      <c r="AJ937" s="136"/>
    </row>
    <row r="938" spans="16:36" x14ac:dyDescent="0.2">
      <c r="P938" s="132"/>
      <c r="Q938" s="136"/>
      <c r="R938" s="145"/>
      <c r="S938" s="146"/>
      <c r="AG938" s="179"/>
      <c r="AH938" s="136"/>
      <c r="AI938" s="136"/>
      <c r="AJ938" s="136"/>
    </row>
    <row r="939" spans="16:36" x14ac:dyDescent="0.2">
      <c r="P939" s="132"/>
      <c r="Q939" s="136"/>
      <c r="R939" s="145"/>
      <c r="S939" s="146"/>
      <c r="AG939" s="179"/>
      <c r="AH939" s="136"/>
      <c r="AI939" s="136"/>
      <c r="AJ939" s="136"/>
    </row>
    <row r="940" spans="16:36" x14ac:dyDescent="0.2">
      <c r="P940" s="132"/>
      <c r="Q940" s="136"/>
      <c r="R940" s="145"/>
      <c r="S940" s="146"/>
      <c r="AG940" s="179"/>
      <c r="AH940" s="136"/>
      <c r="AI940" s="136"/>
      <c r="AJ940" s="136"/>
    </row>
    <row r="941" spans="16:36" x14ac:dyDescent="0.2">
      <c r="P941" s="132"/>
      <c r="Q941" s="136"/>
      <c r="R941" s="145"/>
      <c r="S941" s="146"/>
      <c r="AG941" s="179"/>
      <c r="AH941" s="136"/>
      <c r="AI941" s="136"/>
      <c r="AJ941" s="136"/>
    </row>
    <row r="942" spans="16:36" x14ac:dyDescent="0.2">
      <c r="P942" s="132"/>
      <c r="Q942" s="136"/>
      <c r="R942" s="145"/>
      <c r="S942" s="146"/>
      <c r="AG942" s="179"/>
      <c r="AH942" s="136"/>
      <c r="AI942" s="136"/>
      <c r="AJ942" s="136"/>
    </row>
    <row r="943" spans="16:36" x14ac:dyDescent="0.2">
      <c r="P943" s="132"/>
      <c r="Q943" s="136"/>
      <c r="R943" s="145"/>
      <c r="S943" s="146"/>
      <c r="AG943" s="179"/>
      <c r="AH943" s="136"/>
      <c r="AI943" s="136"/>
      <c r="AJ943" s="136"/>
    </row>
    <row r="944" spans="16:36" x14ac:dyDescent="0.2">
      <c r="P944" s="132"/>
      <c r="Q944" s="136"/>
      <c r="R944" s="145"/>
      <c r="S944" s="146"/>
      <c r="AG944" s="179"/>
      <c r="AH944" s="136"/>
      <c r="AI944" s="136"/>
      <c r="AJ944" s="136"/>
    </row>
    <row r="945" spans="16:36" x14ac:dyDescent="0.2">
      <c r="P945" s="132"/>
      <c r="Q945" s="136"/>
      <c r="R945" s="145"/>
      <c r="S945" s="146"/>
      <c r="AG945" s="179"/>
      <c r="AH945" s="136"/>
      <c r="AI945" s="136"/>
      <c r="AJ945" s="136"/>
    </row>
    <row r="946" spans="16:36" x14ac:dyDescent="0.2">
      <c r="P946" s="132"/>
      <c r="Q946" s="136"/>
      <c r="R946" s="145"/>
      <c r="S946" s="146"/>
      <c r="AG946" s="179"/>
      <c r="AH946" s="136"/>
      <c r="AI946" s="136"/>
      <c r="AJ946" s="136"/>
    </row>
    <row r="947" spans="16:36" x14ac:dyDescent="0.2">
      <c r="P947" s="132"/>
      <c r="Q947" s="136"/>
      <c r="R947" s="145"/>
      <c r="S947" s="146"/>
      <c r="AG947" s="179"/>
      <c r="AH947" s="136"/>
      <c r="AI947" s="136"/>
      <c r="AJ947" s="136"/>
    </row>
    <row r="948" spans="16:36" x14ac:dyDescent="0.2">
      <c r="P948" s="132"/>
      <c r="Q948" s="136"/>
      <c r="R948" s="145"/>
      <c r="S948" s="146"/>
      <c r="AG948" s="179"/>
      <c r="AH948" s="136"/>
      <c r="AI948" s="136"/>
      <c r="AJ948" s="136"/>
    </row>
    <row r="949" spans="16:36" x14ac:dyDescent="0.2">
      <c r="P949" s="132"/>
      <c r="Q949" s="136"/>
      <c r="R949" s="145"/>
      <c r="S949" s="146"/>
      <c r="AG949" s="179"/>
      <c r="AH949" s="136"/>
      <c r="AI949" s="136"/>
      <c r="AJ949" s="136"/>
    </row>
    <row r="950" spans="16:36" x14ac:dyDescent="0.2">
      <c r="P950" s="132"/>
      <c r="Q950" s="136"/>
      <c r="R950" s="145"/>
      <c r="S950" s="146"/>
      <c r="AG950" s="179"/>
      <c r="AH950" s="136"/>
      <c r="AI950" s="136"/>
      <c r="AJ950" s="136"/>
    </row>
    <row r="951" spans="16:36" x14ac:dyDescent="0.2">
      <c r="P951" s="132"/>
      <c r="Q951" s="136"/>
      <c r="R951" s="145"/>
      <c r="S951" s="146"/>
      <c r="AG951" s="179"/>
      <c r="AH951" s="136"/>
      <c r="AI951" s="136"/>
      <c r="AJ951" s="136"/>
    </row>
    <row r="952" spans="16:36" x14ac:dyDescent="0.2">
      <c r="P952" s="132"/>
      <c r="Q952" s="136"/>
      <c r="R952" s="145"/>
      <c r="S952" s="146"/>
      <c r="AG952" s="179"/>
      <c r="AH952" s="136"/>
      <c r="AI952" s="136"/>
      <c r="AJ952" s="136"/>
    </row>
    <row r="953" spans="16:36" x14ac:dyDescent="0.2">
      <c r="P953" s="132"/>
      <c r="Q953" s="136"/>
      <c r="R953" s="145"/>
      <c r="S953" s="146"/>
      <c r="AG953" s="179"/>
      <c r="AH953" s="136"/>
      <c r="AI953" s="136"/>
      <c r="AJ953" s="136"/>
    </row>
    <row r="954" spans="16:36" x14ac:dyDescent="0.2">
      <c r="P954" s="132"/>
      <c r="Q954" s="136"/>
      <c r="R954" s="145"/>
      <c r="S954" s="146"/>
      <c r="AG954" s="179"/>
      <c r="AH954" s="136"/>
      <c r="AI954" s="136"/>
      <c r="AJ954" s="136"/>
    </row>
    <row r="955" spans="16:36" x14ac:dyDescent="0.2">
      <c r="P955" s="132"/>
      <c r="Q955" s="136"/>
      <c r="R955" s="145"/>
      <c r="S955" s="146"/>
      <c r="AG955" s="179"/>
      <c r="AH955" s="136"/>
      <c r="AI955" s="136"/>
      <c r="AJ955" s="136"/>
    </row>
    <row r="956" spans="16:36" x14ac:dyDescent="0.2">
      <c r="P956" s="132"/>
      <c r="Q956" s="136"/>
      <c r="R956" s="145"/>
      <c r="S956" s="146"/>
      <c r="AG956" s="179"/>
      <c r="AH956" s="136"/>
      <c r="AI956" s="136"/>
      <c r="AJ956" s="136"/>
    </row>
    <row r="957" spans="16:36" x14ac:dyDescent="0.2">
      <c r="P957" s="132"/>
      <c r="Q957" s="136"/>
      <c r="R957" s="145"/>
      <c r="S957" s="146"/>
      <c r="AG957" s="179"/>
      <c r="AH957" s="136"/>
      <c r="AI957" s="136"/>
      <c r="AJ957" s="136"/>
    </row>
    <row r="958" spans="16:36" x14ac:dyDescent="0.2">
      <c r="P958" s="132"/>
      <c r="Q958" s="136"/>
      <c r="R958" s="145"/>
      <c r="S958" s="146"/>
      <c r="AG958" s="179"/>
      <c r="AH958" s="136"/>
      <c r="AI958" s="136"/>
      <c r="AJ958" s="136"/>
    </row>
    <row r="959" spans="16:36" x14ac:dyDescent="0.2">
      <c r="P959" s="132"/>
      <c r="Q959" s="136"/>
      <c r="R959" s="145"/>
      <c r="S959" s="146"/>
      <c r="AG959" s="179"/>
      <c r="AH959" s="136"/>
      <c r="AI959" s="136"/>
      <c r="AJ959" s="136"/>
    </row>
    <row r="960" spans="16:36" x14ac:dyDescent="0.2">
      <c r="P960" s="132"/>
      <c r="Q960" s="136"/>
      <c r="R960" s="145"/>
      <c r="S960" s="146"/>
      <c r="AG960" s="179"/>
      <c r="AH960" s="136"/>
      <c r="AI960" s="136"/>
      <c r="AJ960" s="136"/>
    </row>
    <row r="961" spans="16:36" x14ac:dyDescent="0.2">
      <c r="P961" s="132"/>
      <c r="Q961" s="136"/>
      <c r="R961" s="145"/>
      <c r="S961" s="146"/>
      <c r="AG961" s="179"/>
      <c r="AH961" s="136"/>
      <c r="AI961" s="136"/>
      <c r="AJ961" s="136"/>
    </row>
    <row r="962" spans="16:36" x14ac:dyDescent="0.2">
      <c r="P962" s="132"/>
      <c r="Q962" s="136"/>
      <c r="R962" s="145"/>
      <c r="S962" s="146"/>
      <c r="AG962" s="179"/>
      <c r="AH962" s="136"/>
      <c r="AI962" s="136"/>
      <c r="AJ962" s="136"/>
    </row>
    <row r="963" spans="16:36" x14ac:dyDescent="0.2">
      <c r="P963" s="132"/>
      <c r="Q963" s="136"/>
      <c r="R963" s="145"/>
      <c r="S963" s="146"/>
      <c r="AG963" s="179"/>
      <c r="AH963" s="136"/>
      <c r="AI963" s="136"/>
      <c r="AJ963" s="136"/>
    </row>
    <row r="964" spans="16:36" x14ac:dyDescent="0.2">
      <c r="P964" s="132"/>
      <c r="Q964" s="136"/>
      <c r="R964" s="145"/>
      <c r="S964" s="146"/>
      <c r="AG964" s="179"/>
      <c r="AH964" s="136"/>
      <c r="AI964" s="136"/>
      <c r="AJ964" s="136"/>
    </row>
    <row r="965" spans="16:36" x14ac:dyDescent="0.2">
      <c r="P965" s="132"/>
      <c r="Q965" s="136"/>
      <c r="R965" s="145"/>
      <c r="S965" s="146"/>
      <c r="AG965" s="179"/>
      <c r="AH965" s="136"/>
      <c r="AI965" s="136"/>
      <c r="AJ965" s="136"/>
    </row>
    <row r="966" spans="16:36" x14ac:dyDescent="0.2">
      <c r="P966" s="132"/>
      <c r="Q966" s="136"/>
      <c r="R966" s="145"/>
      <c r="S966" s="146"/>
      <c r="AG966" s="179"/>
      <c r="AH966" s="136"/>
      <c r="AI966" s="136"/>
      <c r="AJ966" s="136"/>
    </row>
    <row r="967" spans="16:36" x14ac:dyDescent="0.2">
      <c r="P967" s="132"/>
      <c r="Q967" s="136"/>
      <c r="R967" s="145"/>
      <c r="S967" s="146"/>
      <c r="AG967" s="179"/>
      <c r="AH967" s="136"/>
      <c r="AI967" s="136"/>
      <c r="AJ967" s="136"/>
    </row>
    <row r="968" spans="16:36" x14ac:dyDescent="0.2">
      <c r="P968" s="132"/>
      <c r="Q968" s="136"/>
      <c r="R968" s="145"/>
      <c r="S968" s="146"/>
      <c r="AG968" s="179"/>
      <c r="AH968" s="136"/>
      <c r="AI968" s="136"/>
      <c r="AJ968" s="136"/>
    </row>
    <row r="969" spans="16:36" x14ac:dyDescent="0.2">
      <c r="P969" s="132"/>
      <c r="Q969" s="136"/>
      <c r="R969" s="145"/>
      <c r="S969" s="146"/>
      <c r="AG969" s="179"/>
      <c r="AH969" s="136"/>
      <c r="AI969" s="136"/>
      <c r="AJ969" s="136"/>
    </row>
    <row r="970" spans="16:36" x14ac:dyDescent="0.2">
      <c r="P970" s="132"/>
      <c r="Q970" s="136"/>
      <c r="R970" s="145"/>
      <c r="S970" s="146"/>
      <c r="AG970" s="179"/>
      <c r="AH970" s="136"/>
      <c r="AI970" s="136"/>
      <c r="AJ970" s="136"/>
    </row>
    <row r="971" spans="16:36" x14ac:dyDescent="0.2">
      <c r="P971" s="132"/>
      <c r="Q971" s="136"/>
      <c r="R971" s="145"/>
      <c r="S971" s="146"/>
      <c r="AG971" s="179"/>
      <c r="AH971" s="136"/>
      <c r="AI971" s="136"/>
      <c r="AJ971" s="136"/>
    </row>
    <row r="972" spans="16:36" x14ac:dyDescent="0.2">
      <c r="P972" s="132"/>
      <c r="Q972" s="136"/>
      <c r="R972" s="145"/>
      <c r="S972" s="146"/>
      <c r="AG972" s="179"/>
      <c r="AH972" s="136"/>
      <c r="AI972" s="136"/>
      <c r="AJ972" s="136"/>
    </row>
    <row r="973" spans="16:36" x14ac:dyDescent="0.2">
      <c r="P973" s="132"/>
      <c r="Q973" s="136"/>
      <c r="R973" s="145"/>
      <c r="S973" s="146"/>
      <c r="AG973" s="179"/>
      <c r="AH973" s="136"/>
      <c r="AI973" s="136"/>
      <c r="AJ973" s="136"/>
    </row>
    <row r="974" spans="16:36" x14ac:dyDescent="0.2">
      <c r="P974" s="132"/>
      <c r="Q974" s="136"/>
      <c r="R974" s="145"/>
      <c r="S974" s="146"/>
      <c r="AG974" s="179"/>
      <c r="AH974" s="136"/>
      <c r="AI974" s="136"/>
      <c r="AJ974" s="136"/>
    </row>
    <row r="975" spans="16:36" x14ac:dyDescent="0.2">
      <c r="P975" s="132"/>
      <c r="Q975" s="136"/>
      <c r="R975" s="145"/>
      <c r="S975" s="146"/>
      <c r="AG975" s="179"/>
      <c r="AH975" s="136"/>
      <c r="AI975" s="136"/>
      <c r="AJ975" s="136"/>
    </row>
    <row r="976" spans="16:36" x14ac:dyDescent="0.2">
      <c r="P976" s="132"/>
      <c r="Q976" s="136"/>
      <c r="R976" s="145"/>
      <c r="S976" s="146"/>
      <c r="AG976" s="179"/>
      <c r="AH976" s="136"/>
      <c r="AI976" s="136"/>
      <c r="AJ976" s="136"/>
    </row>
    <row r="977" spans="16:36" x14ac:dyDescent="0.2">
      <c r="P977" s="132"/>
      <c r="Q977" s="136"/>
      <c r="R977" s="145"/>
      <c r="S977" s="146"/>
      <c r="AG977" s="179"/>
      <c r="AH977" s="136"/>
      <c r="AI977" s="136"/>
      <c r="AJ977" s="136"/>
    </row>
    <row r="978" spans="16:36" x14ac:dyDescent="0.2">
      <c r="P978" s="132"/>
      <c r="Q978" s="136"/>
      <c r="R978" s="145"/>
      <c r="S978" s="146"/>
      <c r="AG978" s="179"/>
      <c r="AH978" s="136"/>
      <c r="AI978" s="136"/>
      <c r="AJ978" s="136"/>
    </row>
    <row r="979" spans="16:36" x14ac:dyDescent="0.2">
      <c r="P979" s="132"/>
      <c r="Q979" s="136"/>
      <c r="R979" s="145"/>
      <c r="S979" s="146"/>
      <c r="AG979" s="179"/>
      <c r="AH979" s="136"/>
      <c r="AI979" s="136"/>
      <c r="AJ979" s="136"/>
    </row>
    <row r="980" spans="16:36" x14ac:dyDescent="0.2">
      <c r="P980" s="132"/>
      <c r="Q980" s="136"/>
      <c r="R980" s="145"/>
      <c r="S980" s="146"/>
      <c r="AG980" s="179"/>
      <c r="AH980" s="136"/>
      <c r="AI980" s="136"/>
      <c r="AJ980" s="136"/>
    </row>
    <row r="981" spans="16:36" x14ac:dyDescent="0.2">
      <c r="P981" s="132"/>
      <c r="Q981" s="136"/>
      <c r="R981" s="145"/>
      <c r="S981" s="146"/>
      <c r="AG981" s="179"/>
      <c r="AH981" s="136"/>
      <c r="AI981" s="136"/>
      <c r="AJ981" s="136"/>
    </row>
    <row r="982" spans="16:36" x14ac:dyDescent="0.2">
      <c r="P982" s="132"/>
      <c r="Q982" s="136"/>
      <c r="R982" s="145"/>
      <c r="S982" s="146"/>
      <c r="AG982" s="179"/>
      <c r="AH982" s="136"/>
      <c r="AI982" s="136"/>
      <c r="AJ982" s="136"/>
    </row>
    <row r="983" spans="16:36" x14ac:dyDescent="0.2">
      <c r="P983" s="132"/>
      <c r="Q983" s="136"/>
      <c r="R983" s="145"/>
      <c r="S983" s="146"/>
      <c r="AG983" s="179"/>
      <c r="AH983" s="136"/>
      <c r="AI983" s="136"/>
      <c r="AJ983" s="136"/>
    </row>
    <row r="984" spans="16:36" x14ac:dyDescent="0.2">
      <c r="P984" s="132"/>
      <c r="Q984" s="136"/>
      <c r="R984" s="145"/>
      <c r="S984" s="146"/>
      <c r="AG984" s="179"/>
      <c r="AH984" s="136"/>
      <c r="AI984" s="136"/>
      <c r="AJ984" s="136"/>
    </row>
    <row r="985" spans="16:36" x14ac:dyDescent="0.2">
      <c r="P985" s="132"/>
      <c r="Q985" s="136"/>
      <c r="R985" s="145"/>
      <c r="S985" s="146"/>
      <c r="AG985" s="179"/>
      <c r="AH985" s="136"/>
      <c r="AI985" s="136"/>
      <c r="AJ985" s="136"/>
    </row>
    <row r="986" spans="16:36" x14ac:dyDescent="0.2">
      <c r="P986" s="132"/>
      <c r="Q986" s="136"/>
      <c r="R986" s="145"/>
      <c r="S986" s="146"/>
      <c r="AG986" s="179"/>
      <c r="AH986" s="136"/>
      <c r="AI986" s="136"/>
      <c r="AJ986" s="136"/>
    </row>
    <row r="987" spans="16:36" x14ac:dyDescent="0.2">
      <c r="P987" s="132"/>
      <c r="Q987" s="136"/>
      <c r="R987" s="145"/>
      <c r="S987" s="146"/>
      <c r="AG987" s="179"/>
      <c r="AH987" s="136"/>
      <c r="AI987" s="136"/>
      <c r="AJ987" s="136"/>
    </row>
    <row r="988" spans="16:36" x14ac:dyDescent="0.2">
      <c r="P988" s="132"/>
      <c r="Q988" s="136"/>
      <c r="R988" s="145"/>
      <c r="S988" s="146"/>
      <c r="AG988" s="179"/>
      <c r="AH988" s="136"/>
      <c r="AI988" s="136"/>
      <c r="AJ988" s="136"/>
    </row>
    <row r="989" spans="16:36" x14ac:dyDescent="0.2">
      <c r="P989" s="132"/>
      <c r="Q989" s="136"/>
      <c r="R989" s="145"/>
      <c r="S989" s="146"/>
      <c r="AG989" s="179"/>
      <c r="AH989" s="136"/>
      <c r="AI989" s="136"/>
      <c r="AJ989" s="136"/>
    </row>
    <row r="990" spans="16:36" x14ac:dyDescent="0.2">
      <c r="P990" s="132"/>
      <c r="Q990" s="136"/>
      <c r="R990" s="145"/>
      <c r="S990" s="146"/>
      <c r="AG990" s="179"/>
      <c r="AH990" s="136"/>
      <c r="AI990" s="136"/>
      <c r="AJ990" s="136"/>
    </row>
    <row r="991" spans="16:36" x14ac:dyDescent="0.2">
      <c r="P991" s="132"/>
      <c r="Q991" s="136"/>
      <c r="R991" s="145"/>
      <c r="S991" s="146"/>
      <c r="AG991" s="179"/>
      <c r="AH991" s="136"/>
      <c r="AI991" s="136"/>
      <c r="AJ991" s="136"/>
    </row>
    <row r="992" spans="16:36" x14ac:dyDescent="0.2">
      <c r="P992" s="132"/>
      <c r="Q992" s="136"/>
      <c r="R992" s="145"/>
      <c r="S992" s="146"/>
      <c r="AG992" s="179"/>
      <c r="AH992" s="136"/>
      <c r="AI992" s="136"/>
      <c r="AJ992" s="136"/>
    </row>
    <row r="993" spans="16:36" x14ac:dyDescent="0.2">
      <c r="P993" s="132"/>
      <c r="Q993" s="136"/>
      <c r="R993" s="145"/>
      <c r="S993" s="146"/>
      <c r="AG993" s="179"/>
      <c r="AH993" s="136"/>
      <c r="AI993" s="136"/>
      <c r="AJ993" s="136"/>
    </row>
    <row r="994" spans="16:36" x14ac:dyDescent="0.2">
      <c r="P994" s="132"/>
      <c r="Q994" s="136"/>
      <c r="R994" s="145"/>
      <c r="S994" s="146"/>
      <c r="AG994" s="179"/>
      <c r="AH994" s="136"/>
      <c r="AI994" s="136"/>
      <c r="AJ994" s="136"/>
    </row>
    <row r="995" spans="16:36" x14ac:dyDescent="0.2">
      <c r="P995" s="132"/>
      <c r="Q995" s="136"/>
      <c r="R995" s="145"/>
      <c r="S995" s="146"/>
      <c r="AG995" s="179"/>
      <c r="AH995" s="136"/>
      <c r="AI995" s="136"/>
      <c r="AJ995" s="136"/>
    </row>
    <row r="996" spans="16:36" x14ac:dyDescent="0.2">
      <c r="P996" s="132"/>
      <c r="Q996" s="136"/>
      <c r="R996" s="145"/>
      <c r="S996" s="146"/>
      <c r="AG996" s="179"/>
      <c r="AH996" s="136"/>
      <c r="AI996" s="136"/>
      <c r="AJ996" s="136"/>
    </row>
    <row r="997" spans="16:36" x14ac:dyDescent="0.2">
      <c r="P997" s="132"/>
      <c r="Q997" s="136"/>
      <c r="R997" s="145"/>
      <c r="S997" s="146"/>
      <c r="AG997" s="179"/>
      <c r="AH997" s="136"/>
      <c r="AI997" s="136"/>
      <c r="AJ997" s="136"/>
    </row>
    <row r="998" spans="16:36" x14ac:dyDescent="0.2">
      <c r="P998" s="132"/>
      <c r="Q998" s="136"/>
      <c r="R998" s="145"/>
      <c r="S998" s="146"/>
    </row>
    <row r="999" spans="16:36" x14ac:dyDescent="0.2">
      <c r="P999" s="132"/>
      <c r="Q999" s="136"/>
      <c r="R999" s="145"/>
      <c r="S999" s="146"/>
    </row>
  </sheetData>
  <conditionalFormatting sqref="A1:F1048576">
    <cfRule type="containsText" dxfId="6" priority="1" operator="containsText" text="~?">
      <formula>NOT(ISERROR(SEARCH("~?",A1)))</formula>
    </cfRule>
  </conditionalFormatting>
  <hyperlinks>
    <hyperlink ref="A2" r:id="rId1" xr:uid="{589157D0-0E69-B545-AF01-D1CA20528342}"/>
    <hyperlink ref="A3" r:id="rId2" xr:uid="{6B7D85F5-2657-174A-AC25-37A3C5999207}"/>
    <hyperlink ref="A4" r:id="rId3" xr:uid="{14633218-BD53-C341-99BF-F40689D554A3}"/>
    <hyperlink ref="A5" r:id="rId4" xr:uid="{6468370B-7267-DE4C-80CF-9A02953402F4}"/>
    <hyperlink ref="A6" r:id="rId5" xr:uid="{8967DE07-8760-9849-BA65-D49D9A6189A3}"/>
    <hyperlink ref="A7" r:id="rId6" xr:uid="{FCD1A884-CD45-5B4E-AAC4-E9B0C8BA9418}"/>
    <hyperlink ref="A8" r:id="rId7" xr:uid="{FA43CF86-BB41-B34A-9935-C3A57F7E8B58}"/>
    <hyperlink ref="A9" r:id="rId8" xr:uid="{4ECCE909-3625-2947-8643-E98A66E3CB7F}"/>
    <hyperlink ref="A10" r:id="rId9" xr:uid="{5EDD8FC6-1F13-FD4D-9516-3E59BBDA637E}"/>
    <hyperlink ref="A11" r:id="rId10" xr:uid="{8DDB0EFC-E11C-6D4D-B138-0633DADE040C}"/>
    <hyperlink ref="A12" r:id="rId11" xr:uid="{56A05C3F-11FE-FF49-B43D-4E771AEEF266}"/>
    <hyperlink ref="A13" r:id="rId12" xr:uid="{C762FA63-D94D-F34B-AB48-F8464CF4225B}"/>
    <hyperlink ref="A14" r:id="rId13" xr:uid="{EAFF7214-5E88-A748-9928-A1E1E62A2FF9}"/>
    <hyperlink ref="A15" r:id="rId14" xr:uid="{E7A1A910-3B79-0241-AD41-603B18D0A991}"/>
    <hyperlink ref="A16" r:id="rId15" xr:uid="{75C81D9F-8166-6C49-B74A-8252D1EF3B3C}"/>
    <hyperlink ref="A17" r:id="rId16" xr:uid="{7FE79293-BF69-2147-AA23-A8B07235DFCC}"/>
    <hyperlink ref="A18" r:id="rId17" xr:uid="{B3F0C274-9B06-6B41-BA74-2F84944E3D4E}"/>
    <hyperlink ref="A19" r:id="rId18" xr:uid="{48605F3E-52D2-AF4C-B784-C3336641FC6B}"/>
    <hyperlink ref="A20" r:id="rId19" xr:uid="{55C4086E-8CD7-C34D-B7DB-54F8FD100732}"/>
    <hyperlink ref="A21" r:id="rId20" xr:uid="{09A6B1BD-95B3-A345-B2C0-DF9F853E0200}"/>
    <hyperlink ref="A22" r:id="rId21" xr:uid="{16B9992B-0F66-8E43-9350-0161014D3F80}"/>
    <hyperlink ref="A23" r:id="rId22" xr:uid="{69DBC5E6-C035-824D-8270-10B5E269F69D}"/>
    <hyperlink ref="A24" r:id="rId23" xr:uid="{5C48920F-2F10-F04D-B9E8-230F111324A0}"/>
    <hyperlink ref="A25" r:id="rId24" xr:uid="{EE5CCB79-2485-F943-AA30-5D29A28567FC}"/>
    <hyperlink ref="A26" r:id="rId25" xr:uid="{AA02DDD6-7FEB-5446-ABC7-D5D28C6EEE38}"/>
    <hyperlink ref="A27" r:id="rId26" xr:uid="{4CCDD0BD-2794-CA45-A08B-07D2F50B4BCE}"/>
    <hyperlink ref="A28" r:id="rId27" xr:uid="{9FEE4774-3198-DC4B-A5A4-B84AAB89A262}"/>
    <hyperlink ref="A29" r:id="rId28" xr:uid="{565F45E7-0B3D-414E-9D81-1142205935CA}"/>
    <hyperlink ref="A30" r:id="rId29" xr:uid="{059E6792-BD62-A449-910A-4846348CC35D}"/>
    <hyperlink ref="A31" r:id="rId30" xr:uid="{9A4E3762-A287-E941-9624-40CE76C01132}"/>
    <hyperlink ref="A32" r:id="rId31" xr:uid="{2F30B5A5-9C33-4B41-B08F-D79AF8187D50}"/>
    <hyperlink ref="A33" r:id="rId32" xr:uid="{F7187641-72C8-9E4F-BED6-19241F3E5EB7}"/>
    <hyperlink ref="A34" r:id="rId33" xr:uid="{4C40B4AF-8918-DE46-AF8F-8CF00532FD99}"/>
    <hyperlink ref="A35" r:id="rId34" xr:uid="{45B6F11E-AE98-7141-98F9-D0BE2B84A968}"/>
    <hyperlink ref="A36" r:id="rId35" xr:uid="{131ACE29-7A7C-2B4A-BECA-44A60DD86C4D}"/>
    <hyperlink ref="A37" r:id="rId36" xr:uid="{A696CBEC-D0C5-D842-A5B0-295FD7D03B59}"/>
    <hyperlink ref="A38" r:id="rId37" xr:uid="{99B8FE87-2AC3-B442-9DEF-64F9EC6D1028}"/>
    <hyperlink ref="A39" r:id="rId38" xr:uid="{920AFBC8-B047-2C44-BF0B-0BA07229FC54}"/>
    <hyperlink ref="A40" r:id="rId39" xr:uid="{4DA0FC3A-8786-D04A-BF5C-0AFAD4B76C74}"/>
    <hyperlink ref="A41" r:id="rId40" xr:uid="{0CE996EE-EBA7-CF4A-9A42-B85F4199E5B2}"/>
    <hyperlink ref="A42" r:id="rId41" xr:uid="{DFFB82CF-31A3-444C-87BD-605DFF76CCA4}"/>
    <hyperlink ref="A43" r:id="rId42" xr:uid="{A3A0C305-6758-AD46-A630-CE35D279CB39}"/>
    <hyperlink ref="A44" r:id="rId43" xr:uid="{467FE1A0-9F1C-9E4A-94F7-FA64D3571A5A}"/>
    <hyperlink ref="A45" r:id="rId44" xr:uid="{D0EB55EC-30D0-124D-BA8E-CF8ABA5F9008}"/>
    <hyperlink ref="A46" r:id="rId45" xr:uid="{75CF3FE0-C930-2440-BE25-7CB32E3DE239}"/>
    <hyperlink ref="A47" r:id="rId46" xr:uid="{BB87D707-6327-CA43-9C86-FD0C0695E3CC}"/>
    <hyperlink ref="A48" r:id="rId47" xr:uid="{5AB5CF9F-3954-C144-8818-72FAF331D966}"/>
    <hyperlink ref="A49" r:id="rId48" xr:uid="{E018409E-5E8E-274B-BB51-439ABC91F3B6}"/>
    <hyperlink ref="A50" r:id="rId49" xr:uid="{B5E71BA9-DEF3-4349-A4EE-F94C28F4812A}"/>
    <hyperlink ref="A51" r:id="rId50" xr:uid="{0EA86706-8CED-D447-8335-771299B5A95B}"/>
    <hyperlink ref="A52" r:id="rId51" xr:uid="{511B0913-0E4F-614B-B9E9-FF60A5880E17}"/>
    <hyperlink ref="F30" r:id="rId52" xr:uid="{11E9D747-9183-4C4C-94CA-343C1C0E0F6C}"/>
    <hyperlink ref="F49" r:id="rId53" xr:uid="{B3F4948F-519E-3F4B-A7F7-4376A8744BD5}"/>
    <hyperlink ref="F4" r:id="rId54" xr:uid="{51926C86-E587-1A46-B149-9AABE7B126B3}"/>
    <hyperlink ref="F31" r:id="rId55" xr:uid="{0FDF77B4-FA87-D644-993F-161FA1D15B5C}"/>
    <hyperlink ref="F25" r:id="rId56" xr:uid="{A129184C-60C3-C54A-A21D-523161DA8499}"/>
    <hyperlink ref="F50" r:id="rId57" xr:uid="{5EB27587-CB8F-4642-BFD4-C9DD7DAD088F}"/>
    <hyperlink ref="F21" r:id="rId58" xr:uid="{870BA16F-4ED5-F045-970F-7F84E5DABE2A}"/>
    <hyperlink ref="F9" r:id="rId59" xr:uid="{E61C1D65-521F-8246-B740-49B237F48144}"/>
    <hyperlink ref="F26" r:id="rId60" xr:uid="{E21CFC31-B134-2F42-B0E4-3692DEF1CAAE}"/>
    <hyperlink ref="F43" r:id="rId61" xr:uid="{41E74136-851E-EB41-9422-A086840DBC9D}"/>
    <hyperlink ref="F32" r:id="rId62" xr:uid="{9397EFF5-5AA3-2940-A7FA-1FF424FC5421}"/>
    <hyperlink ref="F27" r:id="rId63" xr:uid="{34629668-2866-4C49-97D4-327F17001EA5}"/>
    <hyperlink ref="F45" r:id="rId64" xr:uid="{B38AD54F-A785-4544-8E04-E40EA37990D1}"/>
    <hyperlink ref="F15" r:id="rId65" xr:uid="{59008901-6266-4249-A57E-F6FF942B2FB0}"/>
    <hyperlink ref="F13" r:id="rId66" xr:uid="{A27B6219-9F86-CA4C-9388-081CB04ED42F}"/>
    <hyperlink ref="F33" r:id="rId67" xr:uid="{AA689CED-40B5-E246-B084-B92FEB990F22}"/>
    <hyperlink ref="F42" r:id="rId68" xr:uid="{38CE6FB8-4E8F-AF45-B75E-52B17955D7F8}"/>
    <hyperlink ref="F20" r:id="rId69" xr:uid="{2CCD79C7-8117-3742-AC90-6AE94A931B99}"/>
    <hyperlink ref="F36" r:id="rId70" xr:uid="{D388D683-6854-5E44-88E3-6CCB102A3648}"/>
    <hyperlink ref="F7" r:id="rId71" xr:uid="{02F5CAEA-990A-8943-B054-E8082592C344}"/>
    <hyperlink ref="F19" r:id="rId72" xr:uid="{A1F830C0-F37A-5F4A-8E23-BE97B6DC5700}"/>
    <hyperlink ref="F39" r:id="rId73" xr:uid="{232A4EEA-4EF6-7C4B-BA41-9716FB6D40FD}"/>
    <hyperlink ref="F48" r:id="rId74" xr:uid="{E6612E6B-EF92-FA44-B412-6E270E1776A5}"/>
    <hyperlink ref="F16" r:id="rId75" xr:uid="{68A73990-ECD4-5C44-98A5-EA790A6F7FEC}"/>
    <hyperlink ref="F38" r:id="rId76" xr:uid="{FBC188A2-E15A-874E-8290-B1CD5AD0F54C}"/>
    <hyperlink ref="F41" r:id="rId77" xr:uid="{D45A3762-0A7B-FD4D-BBC4-4C654C81CE5F}"/>
    <hyperlink ref="F18" r:id="rId78" xr:uid="{ADCF0562-CD9C-F342-B07E-5312BC53F951}"/>
    <hyperlink ref="F40" r:id="rId79" xr:uid="{40EDE17D-D4CD-004D-9DA7-95C0C06527BC}"/>
    <hyperlink ref="F24" r:id="rId80" xr:uid="{8B88BBAC-5742-5849-BA1E-7A49D6A0C31C}"/>
    <hyperlink ref="F22" r:id="rId81" xr:uid="{4BE3AA7D-A4C2-284C-93E6-C7DD36029D55}"/>
    <hyperlink ref="F52" r:id="rId82" xr:uid="{C9AC5FD5-EDE0-DF48-9E56-6B17C1B98062}"/>
    <hyperlink ref="F11" r:id="rId83" xr:uid="{3EAC791B-8D58-3642-B9A7-2E92760DBF74}"/>
    <hyperlink ref="F12" r:id="rId84" xr:uid="{9C562921-A492-9342-BEA1-2D511BBC0BD8}"/>
    <hyperlink ref="F17" r:id="rId85" xr:uid="{BA67CD06-8B40-DB4E-9792-61B86E7DD0F3}"/>
    <hyperlink ref="F2" r:id="rId86" xr:uid="{294A5A0F-DEB7-604B-9D2D-4BCACD82D808}"/>
    <hyperlink ref="F3" r:id="rId87" xr:uid="{15C92AEA-2A69-E347-B716-3EDC094E7F61}"/>
    <hyperlink ref="F5" r:id="rId88" xr:uid="{9621F25B-CDCF-BF44-A2DF-0C98AB95AFFE}"/>
    <hyperlink ref="F6" r:id="rId89" xr:uid="{D980E009-1535-854A-87CD-2E842474F676}"/>
    <hyperlink ref="F8" r:id="rId90" xr:uid="{67D370CC-4D6A-A341-ACFD-3C5022657CA6}"/>
    <hyperlink ref="F10" r:id="rId91" xr:uid="{0891DB43-3694-3740-9056-BE089C5B1E09}"/>
    <hyperlink ref="F14" r:id="rId92" xr:uid="{915A9C9A-05FF-C040-895E-9D9DE9010783}"/>
    <hyperlink ref="F23" r:id="rId93" xr:uid="{0A6F683E-5773-8342-8861-725B9EFC3BEA}"/>
    <hyperlink ref="F28" r:id="rId94" xr:uid="{1C30AE36-A77A-004B-8724-9976CC42C5B1}"/>
    <hyperlink ref="F34" r:id="rId95" xr:uid="{F096BB3F-EBB3-AD41-953A-2C71E12B25BD}"/>
    <hyperlink ref="F35" r:id="rId96" xr:uid="{F20E0E5E-BAAB-9140-B422-BC58F9BF577E}"/>
    <hyperlink ref="F37" r:id="rId97" xr:uid="{2FD5ADA5-5F89-6343-AAFF-EC360C8697B5}"/>
    <hyperlink ref="F46" r:id="rId98" xr:uid="{A65B1994-730B-F949-B060-B08228D2745A}"/>
    <hyperlink ref="K30" r:id="rId99" xr:uid="{6657E135-3FAB-A146-ABCB-423EE7D9C28B}"/>
    <hyperlink ref="K49" r:id="rId100" xr:uid="{9C7C789D-8DE8-764D-B2E4-5B5B49E3FDBC}"/>
    <hyperlink ref="K4" r:id="rId101" xr:uid="{0BE9387C-627F-A043-80AB-E5D0774AB2D2}"/>
    <hyperlink ref="K31" r:id="rId102" xr:uid="{F86FE93C-9C9A-324C-8E3F-062C966F8511}"/>
    <hyperlink ref="K25" r:id="rId103" xr:uid="{2802A184-3FF3-4742-A49B-BE534B8F8B64}"/>
    <hyperlink ref="K50" r:id="rId104" xr:uid="{9CEDAD5D-8EAD-4649-B4CC-009D4C8EC087}"/>
    <hyperlink ref="K8" r:id="rId105" xr:uid="{2F46568B-3111-5342-816E-A3DD05AE8D29}"/>
    <hyperlink ref="K21" r:id="rId106" xr:uid="{A420AF3A-49EB-6847-8940-83BEECFF2CDB}"/>
    <hyperlink ref="K9" r:id="rId107" xr:uid="{B7EB6F6D-61CD-E646-B5C0-3A88A698C099}"/>
    <hyperlink ref="K26" r:id="rId108" xr:uid="{C2977810-4689-4241-BE58-D2148C5D6EE6}"/>
    <hyperlink ref="K43" r:id="rId109" xr:uid="{EA80E9B8-1861-BD4E-9D47-B7C5DE125E56}"/>
    <hyperlink ref="K32" r:id="rId110" xr:uid="{6C25F96B-CFF8-C84E-8126-0F3E09FE67F3}"/>
    <hyperlink ref="K27" r:id="rId111" xr:uid="{21EE566F-FC76-0145-8CB1-086B2196AA0B}"/>
    <hyperlink ref="K45" r:id="rId112" xr:uid="{29E94772-53AB-A14E-A059-566A595E2A35}"/>
    <hyperlink ref="K15" r:id="rId113" xr:uid="{7FF380ED-CEB5-C241-AF3C-C3ED3CCD4959}"/>
    <hyperlink ref="K13" r:id="rId114" xr:uid="{C0E4314E-1AF9-444E-8244-61110574D0AC}"/>
    <hyperlink ref="K33" r:id="rId115" xr:uid="{830407E7-6D38-2049-9A7C-645B26CBA7CA}"/>
    <hyperlink ref="K42" r:id="rId116" xr:uid="{43362CC8-0C12-5A4C-A161-D2B85837FC64}"/>
    <hyperlink ref="K20" r:id="rId117" xr:uid="{5D67F9E9-B3A4-0E4D-96B5-8964CDC6C6F0}"/>
    <hyperlink ref="K36" r:id="rId118" xr:uid="{C880B39A-CE1E-6042-80D3-A17997242749}"/>
    <hyperlink ref="K7" r:id="rId119" xr:uid="{71D4FB33-F296-3341-86FB-D2FFE7F73C6F}"/>
    <hyperlink ref="K19" r:id="rId120" xr:uid="{FD44AB2F-3C06-F947-B3E1-238742C9C0AC}"/>
    <hyperlink ref="K39" r:id="rId121" xr:uid="{52075D2A-7A7D-0042-B126-427094026557}"/>
    <hyperlink ref="K48" r:id="rId122" xr:uid="{F5F38035-53AE-AC49-A472-C73C64A8AB45}"/>
    <hyperlink ref="K16" r:id="rId123" xr:uid="{BB9A5E3C-35AA-4247-8E66-2D168F7AFA7D}"/>
    <hyperlink ref="K38" r:id="rId124" xr:uid="{CD9D45DC-49DD-0B46-A910-536C66FB08F7}"/>
    <hyperlink ref="K41" r:id="rId125" xr:uid="{9D9F29E4-B699-BE41-864A-2E0ED6960712}"/>
    <hyperlink ref="K18" r:id="rId126" xr:uid="{6BA967C8-1F7F-8743-8297-B5F4CB31C0CB}"/>
    <hyperlink ref="K40" r:id="rId127" xr:uid="{4187D557-9C2C-9E42-9198-460205C732A0}"/>
    <hyperlink ref="K24" r:id="rId128" xr:uid="{7FB51B22-4732-A64B-AB87-631686619AC7}"/>
    <hyperlink ref="K14" r:id="rId129" xr:uid="{00B8F1D7-7393-824F-B204-1A8AB1877723}"/>
    <hyperlink ref="K22" r:id="rId130" xr:uid="{F4C1B5A6-C451-AE45-9320-E04A69234677}"/>
    <hyperlink ref="K52" r:id="rId131" xr:uid="{7F18C600-96B9-D946-A202-4C69303D66BA}"/>
    <hyperlink ref="K11" r:id="rId132" xr:uid="{F930A8BD-56C5-8F45-A32A-53727C3238CF}"/>
    <hyperlink ref="K12" r:id="rId133" xr:uid="{3207F61E-ECDD-2942-AD92-7952253E7236}"/>
    <hyperlink ref="K17" r:id="rId134" xr:uid="{650E99B5-7F76-7143-A8B2-EEEF3397764B}"/>
    <hyperlink ref="P30" r:id="rId135" xr:uid="{D6DC4BE5-A821-2748-9967-B5C4D3F07184}"/>
    <hyperlink ref="P49" r:id="rId136" xr:uid="{FF389ED3-5638-B84D-BF02-BB457B1BCE96}"/>
    <hyperlink ref="P4" r:id="rId137" xr:uid="{8EF90AE8-B3C6-1147-BC07-AAF1D424EF73}"/>
    <hyperlink ref="P31" r:id="rId138" xr:uid="{1E1CEE02-DD5D-1B4A-9080-68E8C8C5CE39}"/>
    <hyperlink ref="P25" r:id="rId139" xr:uid="{4A552CF2-6B36-1A45-8FA1-521BE26588C5}"/>
    <hyperlink ref="P50" r:id="rId140" xr:uid="{A0697B0B-7705-D549-A79E-5443B9F8187A}"/>
    <hyperlink ref="P8" r:id="rId141" xr:uid="{20010BCD-37C5-E24A-88C4-C3C99441FD27}"/>
    <hyperlink ref="P21" r:id="rId142" xr:uid="{7F8D6EB1-E782-B64D-A44D-68A85A949212}"/>
    <hyperlink ref="P9" r:id="rId143" xr:uid="{68C8D5E5-A322-2A43-B0A0-786955201D35}"/>
    <hyperlink ref="P26" r:id="rId144" xr:uid="{9493BA71-147D-3942-9A16-FB04F5CEA85B}"/>
    <hyperlink ref="P43" r:id="rId145" xr:uid="{455476EC-8F3C-C343-8376-34C81C38EA46}"/>
    <hyperlink ref="P32" r:id="rId146" xr:uid="{8590D4AA-669E-D046-8DE7-8C180830B572}"/>
    <hyperlink ref="P27" r:id="rId147" xr:uid="{CA30718F-346B-EC42-9D21-BC343AFCD384}"/>
    <hyperlink ref="P45" r:id="rId148" xr:uid="{61527E66-2C37-0C47-B5C3-275456AF663B}"/>
    <hyperlink ref="P15" r:id="rId149" xr:uid="{FD4EBE2E-340F-AB4E-899C-5F9D8DA3AE4B}"/>
    <hyperlink ref="P13" r:id="rId150" xr:uid="{8474FA77-8514-1043-A6A1-507840B85310}"/>
    <hyperlink ref="P33" r:id="rId151" xr:uid="{3C8189CC-CCF9-8C41-9771-6FE025305B78}"/>
    <hyperlink ref="P42" r:id="rId152" xr:uid="{228F4B6D-34A3-EB4B-80A1-B01C19530082}"/>
    <hyperlink ref="P20" r:id="rId153" xr:uid="{F387D9D3-D19D-4441-AFC6-BBD6DA5048BB}"/>
    <hyperlink ref="P36" r:id="rId154" xr:uid="{061000CB-0E1F-5C44-A7F9-04ED7FA6F6B0}"/>
    <hyperlink ref="P17" r:id="rId155" xr:uid="{75B3F1D5-1E93-5E4C-B5BD-9408C512BE5E}"/>
    <hyperlink ref="P19" r:id="rId156" xr:uid="{D5ABBCC6-B06A-9E41-974F-E907A441D13A}"/>
    <hyperlink ref="P39" r:id="rId157" xr:uid="{9F2CABFE-9DAF-E34A-BA01-BC5CA1EC10F4}"/>
    <hyperlink ref="P48" r:id="rId158" xr:uid="{E7CF0B45-2FBC-074D-8A4D-ABA25CF371C8}"/>
    <hyperlink ref="P16" r:id="rId159" xr:uid="{506C1F2E-7A41-034B-A68E-9099C5A30491}"/>
    <hyperlink ref="P38" r:id="rId160" xr:uid="{C57545D8-D64C-884B-A200-5BBF32139876}"/>
    <hyperlink ref="P41" r:id="rId161" xr:uid="{272FA73E-B62B-4446-AD37-3E7EA653DDB7}"/>
    <hyperlink ref="P18" r:id="rId162" xr:uid="{E2D8FBF4-6B58-874C-86EE-85F42A09AC73}"/>
    <hyperlink ref="P40" r:id="rId163" xr:uid="{8B2EDB14-29E0-AA49-8123-8AC6D0809B89}"/>
    <hyperlink ref="P24" r:id="rId164" xr:uid="{C9B595C2-A203-2149-A546-D94792E11F1A}"/>
    <hyperlink ref="P14" r:id="rId165" xr:uid="{B86EF5FB-0934-9241-BAAC-542C91D8E2FD}"/>
    <hyperlink ref="P22" r:id="rId166" xr:uid="{4D7046B8-41A3-234D-9F16-4291149D6640}"/>
    <hyperlink ref="P52" r:id="rId167" xr:uid="{CDF20F1C-7958-DC49-A0A6-C50922798751}"/>
    <hyperlink ref="P11" r:id="rId168" xr:uid="{7C0822D9-4211-B945-A4AD-52ECC20D8E6B}"/>
    <hyperlink ref="P12" r:id="rId169" xr:uid="{F8025ACB-5CD9-F440-9EBE-6D01F39166C7}"/>
    <hyperlink ref="P7" r:id="rId170" xr:uid="{BA34C615-5970-E848-93BC-F816D4DF8518}"/>
    <hyperlink ref="AG4" r:id="rId171" xr:uid="{A834559E-4843-3644-997D-293893527359}"/>
    <hyperlink ref="AG5" r:id="rId172" xr:uid="{D0FB2F87-2A84-B74B-B946-23E4CB5EA5EB}"/>
    <hyperlink ref="AG7" r:id="rId173" xr:uid="{9161550A-911A-4645-9781-C862A4B4C9C7}"/>
    <hyperlink ref="AG8" r:id="rId174" xr:uid="{779A5969-B307-A543-8EA3-F63B5733DD25}"/>
    <hyperlink ref="AG9" r:id="rId175" xr:uid="{D502C817-3115-D74C-8D24-EBEAFDA80BF1}"/>
    <hyperlink ref="AG11" r:id="rId176" xr:uid="{7B5B3141-31E3-C24A-AEFA-047F05DC86DD}"/>
    <hyperlink ref="AG12" r:id="rId177" xr:uid="{0AC951D5-FFB3-6744-B5B6-792916EFDABB}"/>
    <hyperlink ref="AG13" r:id="rId178" xr:uid="{116B93CC-0609-D54E-8AFC-906B1B126417}"/>
    <hyperlink ref="AG14" r:id="rId179" xr:uid="{F821D731-9909-7A49-9314-B4F9259AB1AB}"/>
    <hyperlink ref="AG15" r:id="rId180" xr:uid="{05E38C23-0FD0-A743-BCBC-8241C8AAA542}"/>
    <hyperlink ref="AG16" r:id="rId181" xr:uid="{7AAA669C-80C6-8843-BD12-09B0BF70F17E}"/>
    <hyperlink ref="AG17" r:id="rId182" xr:uid="{9B933DD3-B24A-9F4A-AB95-55358FBE2738}"/>
    <hyperlink ref="AG18" r:id="rId183" xr:uid="{F6A097D2-9CED-7C40-90A4-6EF2DFD1BA5D}"/>
    <hyperlink ref="AG19" r:id="rId184" xr:uid="{9A841A2C-2FA7-3348-B9BB-AB8BA3C6249F}"/>
    <hyperlink ref="AG20" r:id="rId185" xr:uid="{82012FAB-1427-0D4C-AAC7-C807B0C358DF}"/>
    <hyperlink ref="AG21" r:id="rId186" xr:uid="{EF9D2128-94F3-DB41-BB36-DB812DEA60AD}"/>
    <hyperlink ref="AG22" r:id="rId187" xr:uid="{A7ED2D9D-C4E6-7442-99E8-20F8FC6255B6}"/>
    <hyperlink ref="AG24" r:id="rId188" xr:uid="{3387EA4F-E64A-BE44-9C07-DE5245EAA95E}"/>
    <hyperlink ref="AG25" r:id="rId189" xr:uid="{FA8B98E7-16F8-1B46-87F4-8F683AC03E84}"/>
    <hyperlink ref="AG26" r:id="rId190" xr:uid="{C44A7799-D857-834E-9961-8306884453C4}"/>
    <hyperlink ref="AG27" r:id="rId191" xr:uid="{1B53072F-081B-A740-8686-1AA7662CCDB2}"/>
    <hyperlink ref="AG28" r:id="rId192" xr:uid="{C64109C9-B48F-7347-A035-1D0F3D736D1B}"/>
    <hyperlink ref="AG30" r:id="rId193" xr:uid="{27563A75-E146-8440-8A67-55B7B4C6E208}"/>
    <hyperlink ref="AG31" r:id="rId194" xr:uid="{0A59FAA7-B209-E048-8667-E381C67271BE}"/>
    <hyperlink ref="AG32" r:id="rId195" xr:uid="{A8DA93AB-76F1-204F-8EFA-F1E6ABF1784D}"/>
    <hyperlink ref="AG33" r:id="rId196" xr:uid="{4596675B-B75A-8B43-A0D8-F6C3646172CD}"/>
    <hyperlink ref="AG34" r:id="rId197" xr:uid="{65E1353D-4095-C640-9AD7-FB7953FA777B}"/>
    <hyperlink ref="AG35" r:id="rId198" xr:uid="{1D6C836D-1279-F34D-8B32-05EE816A04BB}"/>
    <hyperlink ref="AG36" r:id="rId199" xr:uid="{C801CA96-85C8-3040-A394-796543488EA0}"/>
    <hyperlink ref="AG38" r:id="rId200" xr:uid="{4A206532-55E8-3448-B6E8-0F0905D6FD25}"/>
    <hyperlink ref="AG39" r:id="rId201" xr:uid="{1241B8B4-FA81-214C-AC1B-2353D2B1EDDF}"/>
    <hyperlink ref="AG40" r:id="rId202" xr:uid="{31FEFB92-0CD2-DD40-9711-34F172CB7E8E}"/>
    <hyperlink ref="AG41" r:id="rId203" xr:uid="{1DB2F74F-3F1A-BE46-98D2-54590B7B36A5}"/>
    <hyperlink ref="AG42" r:id="rId204" xr:uid="{C790C28D-F6CD-F740-97A8-44ECD20A1946}"/>
    <hyperlink ref="AG43" r:id="rId205" xr:uid="{2B27FE50-CEF2-4442-AE70-AFEC045867DE}"/>
    <hyperlink ref="AG44" r:id="rId206" xr:uid="{345545E2-6607-AD46-B6AA-FEA8B088F2FD}"/>
    <hyperlink ref="AG45" r:id="rId207" xr:uid="{81DF1304-1BC5-F640-AF11-EAB489F57D3A}"/>
    <hyperlink ref="AG48" r:id="rId208" xr:uid="{07C48A0A-EF6F-9041-ABE6-181BEC2C5520}"/>
    <hyperlink ref="AG49" r:id="rId209" xr:uid="{71D26EEB-D7EF-E14C-8E60-4E19868A338F}"/>
    <hyperlink ref="AG50" r:id="rId210" xr:uid="{CFE0BC3D-9232-4243-97BA-7D8B26998DB6}"/>
    <hyperlink ref="AG52" r:id="rId211" xr:uid="{A5DFAC7B-C07A-D547-A9A0-6317B2EC0CD3}"/>
  </hyperlinks>
  <pageMargins left="0.7" right="0.7" top="0.75" bottom="0.75" header="0.3" footer="0.3"/>
  <drawing r:id="rId2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7E7D-E81F-1142-BF4D-BF271DE86164}">
  <sheetPr codeName="Sheet3"/>
  <dimension ref="A1:AW154"/>
  <sheetViews>
    <sheetView workbookViewId="0">
      <selection activeCell="G19" sqref="G19"/>
    </sheetView>
  </sheetViews>
  <sheetFormatPr baseColWidth="10" defaultRowHeight="16" x14ac:dyDescent="0.2"/>
  <cols>
    <col min="2" max="2" width="15" bestFit="1" customWidth="1"/>
    <col min="6" max="6" width="22.6640625" bestFit="1" customWidth="1"/>
    <col min="7" max="8" width="22.6640625" customWidth="1"/>
    <col min="17" max="17" width="15" bestFit="1" customWidth="1"/>
    <col min="27" max="27" width="15" bestFit="1" customWidth="1"/>
    <col min="39" max="39" width="16.83203125" bestFit="1" customWidth="1"/>
    <col min="40" max="40" width="15" bestFit="1" customWidth="1"/>
    <col min="41" max="41" width="15" customWidth="1"/>
    <col min="45" max="45" width="19.5" bestFit="1" customWidth="1"/>
    <col min="46" max="46" width="15" bestFit="1" customWidth="1"/>
    <col min="47" max="47" width="15" customWidth="1"/>
  </cols>
  <sheetData>
    <row r="1" spans="1:49" ht="35" thickBot="1" x14ac:dyDescent="0.25">
      <c r="A1" s="64" t="s">
        <v>0</v>
      </c>
      <c r="B1" s="76" t="s">
        <v>89</v>
      </c>
      <c r="C1" s="77" t="s">
        <v>68</v>
      </c>
      <c r="D1" s="77" t="s">
        <v>87</v>
      </c>
      <c r="J1" t="s">
        <v>90</v>
      </c>
      <c r="P1" s="64" t="s">
        <v>0</v>
      </c>
      <c r="Q1" s="76" t="s">
        <v>89</v>
      </c>
      <c r="R1" s="77" t="s">
        <v>68</v>
      </c>
      <c r="S1" s="77" t="s">
        <v>87</v>
      </c>
      <c r="Y1" s="64" t="s">
        <v>0</v>
      </c>
      <c r="Z1" s="64" t="s">
        <v>109</v>
      </c>
      <c r="AA1" s="76" t="s">
        <v>89</v>
      </c>
      <c r="AB1" s="77" t="s">
        <v>68</v>
      </c>
      <c r="AC1" s="77" t="s">
        <v>87</v>
      </c>
      <c r="AD1" s="87" t="s">
        <v>110</v>
      </c>
      <c r="AL1" s="64" t="s">
        <v>0</v>
      </c>
      <c r="AM1" s="64" t="s">
        <v>109</v>
      </c>
      <c r="AN1" s="76" t="s">
        <v>89</v>
      </c>
      <c r="AO1" s="76" t="s">
        <v>117</v>
      </c>
      <c r="AP1" s="77"/>
      <c r="AQ1" t="s">
        <v>87</v>
      </c>
      <c r="AR1" t="s">
        <v>125</v>
      </c>
      <c r="AS1" s="87" t="s">
        <v>110</v>
      </c>
      <c r="AU1" t="s">
        <v>117</v>
      </c>
    </row>
    <row r="2" spans="1:49" ht="17" thickBot="1" x14ac:dyDescent="0.25">
      <c r="A2" s="65" t="s">
        <v>57</v>
      </c>
      <c r="B2" s="77" t="s">
        <v>68</v>
      </c>
      <c r="C2" s="6">
        <v>5</v>
      </c>
      <c r="D2" s="6">
        <v>0.55555555555555558</v>
      </c>
      <c r="F2" t="s">
        <v>114</v>
      </c>
      <c r="K2" t="s">
        <v>91</v>
      </c>
      <c r="L2" t="s">
        <v>102</v>
      </c>
      <c r="M2" t="s">
        <v>100</v>
      </c>
      <c r="P2" s="65" t="s">
        <v>57</v>
      </c>
      <c r="Q2" s="77" t="s">
        <v>68</v>
      </c>
      <c r="R2" s="6">
        <v>5</v>
      </c>
      <c r="S2" s="6">
        <v>0.55555555555555558</v>
      </c>
      <c r="T2" s="86" t="s">
        <v>88</v>
      </c>
      <c r="U2" s="9">
        <v>1</v>
      </c>
      <c r="V2" s="6">
        <v>6.6666666666666666E-2</v>
      </c>
      <c r="Y2" s="65" t="s">
        <v>57</v>
      </c>
      <c r="Z2" t="s">
        <v>115</v>
      </c>
      <c r="AA2" s="77" t="s">
        <v>68</v>
      </c>
      <c r="AB2" s="6">
        <v>5</v>
      </c>
      <c r="AC2" s="6">
        <v>0.55555555555555558</v>
      </c>
      <c r="AD2" t="s">
        <v>113</v>
      </c>
      <c r="AE2" s="86" t="s">
        <v>88</v>
      </c>
      <c r="AF2" s="9">
        <v>1</v>
      </c>
      <c r="AG2" s="6">
        <v>6.6666666666666666E-2</v>
      </c>
      <c r="AL2" s="65" t="s">
        <v>57</v>
      </c>
      <c r="AM2" t="s">
        <v>115</v>
      </c>
      <c r="AN2" s="77" t="s">
        <v>118</v>
      </c>
      <c r="AO2" s="104" t="s">
        <v>119</v>
      </c>
      <c r="AP2" s="6">
        <v>5</v>
      </c>
      <c r="AQ2">
        <v>0.55555555555555558</v>
      </c>
      <c r="AR2" t="s">
        <v>126</v>
      </c>
      <c r="AS2" t="s">
        <v>113</v>
      </c>
      <c r="AT2" s="86" t="s">
        <v>88</v>
      </c>
      <c r="AU2" s="104" t="s">
        <v>124</v>
      </c>
      <c r="AV2" s="9">
        <v>1</v>
      </c>
      <c r="AW2">
        <v>6.6666666666666666E-2</v>
      </c>
    </row>
    <row r="3" spans="1:49" ht="17" thickBot="1" x14ac:dyDescent="0.25">
      <c r="A3" s="65" t="s">
        <v>57</v>
      </c>
      <c r="B3" s="86" t="s">
        <v>69</v>
      </c>
      <c r="C3" s="9">
        <v>3</v>
      </c>
      <c r="D3" s="6">
        <v>0.33333333333333331</v>
      </c>
      <c r="F3" t="s">
        <v>111</v>
      </c>
      <c r="K3" t="s">
        <v>92</v>
      </c>
      <c r="L3" t="s">
        <v>98</v>
      </c>
      <c r="P3" s="65" t="s">
        <v>57</v>
      </c>
      <c r="Q3" s="86" t="s">
        <v>69</v>
      </c>
      <c r="R3" s="9">
        <v>3</v>
      </c>
      <c r="S3" s="6">
        <v>0.33333333333333331</v>
      </c>
      <c r="Y3" s="65"/>
      <c r="Z3" s="75"/>
      <c r="AA3" s="86"/>
      <c r="AB3" s="9"/>
      <c r="AC3" s="6"/>
      <c r="AD3" s="4"/>
      <c r="AL3" s="66" t="s">
        <v>51</v>
      </c>
      <c r="AM3" t="s">
        <v>115</v>
      </c>
      <c r="AN3" s="80" t="s">
        <v>88</v>
      </c>
      <c r="AO3" s="104" t="s">
        <v>121</v>
      </c>
      <c r="AP3" s="4">
        <v>11</v>
      </c>
      <c r="AQ3">
        <v>0.73333333333333328</v>
      </c>
      <c r="AR3" t="s">
        <v>126</v>
      </c>
      <c r="AS3" t="s">
        <v>113</v>
      </c>
      <c r="AT3" s="87" t="s">
        <v>118</v>
      </c>
      <c r="AU3" s="104" t="s">
        <v>119</v>
      </c>
      <c r="AV3" s="4">
        <v>4</v>
      </c>
      <c r="AW3">
        <v>0.44444444444444442</v>
      </c>
    </row>
    <row r="4" spans="1:49" ht="17" thickBot="1" x14ac:dyDescent="0.25">
      <c r="A4" s="65" t="s">
        <v>57</v>
      </c>
      <c r="B4" s="86" t="s">
        <v>88</v>
      </c>
      <c r="C4" s="9">
        <v>1</v>
      </c>
      <c r="D4" s="6">
        <v>6.6666666666666666E-2</v>
      </c>
      <c r="F4" t="s">
        <v>112</v>
      </c>
      <c r="K4" t="s">
        <v>93</v>
      </c>
      <c r="L4" t="s">
        <v>98</v>
      </c>
      <c r="P4" s="65" t="s">
        <v>57</v>
      </c>
      <c r="Y4" s="65"/>
      <c r="Z4" s="72"/>
      <c r="AK4" s="91"/>
      <c r="AL4" s="65" t="s">
        <v>19</v>
      </c>
      <c r="AM4" t="s">
        <v>111</v>
      </c>
      <c r="AN4" s="86" t="s">
        <v>88</v>
      </c>
      <c r="AO4" s="104" t="s">
        <v>121</v>
      </c>
      <c r="AP4" s="18">
        <v>15</v>
      </c>
      <c r="AQ4">
        <v>1</v>
      </c>
      <c r="AR4" t="s">
        <v>126</v>
      </c>
      <c r="AS4" t="s">
        <v>113</v>
      </c>
      <c r="AT4" s="87" t="s">
        <v>118</v>
      </c>
      <c r="AU4" s="104" t="s">
        <v>119</v>
      </c>
      <c r="AV4" s="18">
        <v>8</v>
      </c>
      <c r="AW4">
        <v>0.88888888888888884</v>
      </c>
    </row>
    <row r="5" spans="1:49" ht="17" thickBot="1" x14ac:dyDescent="0.25">
      <c r="A5" s="66" t="s">
        <v>51</v>
      </c>
      <c r="B5" s="86" t="s">
        <v>88</v>
      </c>
      <c r="C5" s="18">
        <v>11</v>
      </c>
      <c r="D5" s="6">
        <v>0.73333333333333328</v>
      </c>
      <c r="F5" t="s">
        <v>115</v>
      </c>
      <c r="K5" t="s">
        <v>94</v>
      </c>
      <c r="L5" t="s">
        <v>99</v>
      </c>
      <c r="M5" t="s">
        <v>101</v>
      </c>
      <c r="P5" s="66" t="s">
        <v>51</v>
      </c>
      <c r="Q5" s="86" t="s">
        <v>88</v>
      </c>
      <c r="R5" s="18">
        <v>11</v>
      </c>
      <c r="S5" s="6">
        <v>0.73333333333333328</v>
      </c>
      <c r="T5" s="77" t="s">
        <v>68</v>
      </c>
      <c r="U5" s="18">
        <v>4</v>
      </c>
      <c r="V5" s="6">
        <v>0.44444444444444442</v>
      </c>
      <c r="Y5" s="66" t="s">
        <v>51</v>
      </c>
      <c r="Z5" t="s">
        <v>115</v>
      </c>
      <c r="AA5" s="86" t="s">
        <v>88</v>
      </c>
      <c r="AB5" s="18">
        <v>11</v>
      </c>
      <c r="AC5" s="6">
        <v>0.73333333333333328</v>
      </c>
      <c r="AD5" t="s">
        <v>113</v>
      </c>
      <c r="AE5" s="77" t="s">
        <v>68</v>
      </c>
      <c r="AF5" s="18">
        <v>4</v>
      </c>
      <c r="AG5" s="6">
        <v>0.44444444444444442</v>
      </c>
      <c r="AL5" s="65" t="s">
        <v>45</v>
      </c>
      <c r="AM5" s="102" t="s">
        <v>112</v>
      </c>
      <c r="AN5" s="77" t="s">
        <v>118</v>
      </c>
      <c r="AO5" s="104" t="s">
        <v>119</v>
      </c>
      <c r="AP5" s="19">
        <v>7</v>
      </c>
      <c r="AQ5">
        <v>0.77777777777777779</v>
      </c>
      <c r="AR5" t="s">
        <v>126</v>
      </c>
      <c r="AS5" t="s">
        <v>113</v>
      </c>
      <c r="AT5" s="80" t="s">
        <v>88</v>
      </c>
      <c r="AU5" s="104" t="s">
        <v>124</v>
      </c>
      <c r="AV5" s="4">
        <v>6</v>
      </c>
      <c r="AW5">
        <v>0.4</v>
      </c>
    </row>
    <row r="6" spans="1:49" ht="17" thickBot="1" x14ac:dyDescent="0.25">
      <c r="A6" s="66" t="s">
        <v>51</v>
      </c>
      <c r="B6" s="86" t="s">
        <v>69</v>
      </c>
      <c r="C6" s="18">
        <v>6</v>
      </c>
      <c r="D6" s="6">
        <v>0.66666666666666663</v>
      </c>
      <c r="F6" t="s">
        <v>113</v>
      </c>
      <c r="K6" t="s">
        <v>95</v>
      </c>
      <c r="L6" t="s">
        <v>98</v>
      </c>
      <c r="P6" s="66" t="s">
        <v>51</v>
      </c>
      <c r="Q6" s="86" t="s">
        <v>69</v>
      </c>
      <c r="R6" s="18">
        <v>6</v>
      </c>
      <c r="S6" s="6">
        <v>0.66666666666666663</v>
      </c>
      <c r="Y6" s="66"/>
      <c r="Z6" s="95"/>
      <c r="AA6" s="86"/>
      <c r="AB6" s="18"/>
      <c r="AC6" s="6"/>
      <c r="AD6" s="4"/>
      <c r="AK6" s="91"/>
      <c r="AL6" s="68" t="s">
        <v>20</v>
      </c>
      <c r="AM6" t="s">
        <v>111</v>
      </c>
      <c r="AN6" s="80" t="s">
        <v>69</v>
      </c>
      <c r="AO6" s="104" t="s">
        <v>120</v>
      </c>
      <c r="AP6" s="46">
        <v>9</v>
      </c>
      <c r="AQ6">
        <v>1</v>
      </c>
      <c r="AR6" t="s">
        <v>126</v>
      </c>
      <c r="AS6" t="s">
        <v>113</v>
      </c>
      <c r="AT6" s="80" t="s">
        <v>88</v>
      </c>
      <c r="AU6" s="104" t="s">
        <v>124</v>
      </c>
      <c r="AV6" s="4">
        <v>14</v>
      </c>
      <c r="AW6">
        <v>0.93333333333333335</v>
      </c>
    </row>
    <row r="7" spans="1:49" ht="17" thickBot="1" x14ac:dyDescent="0.25">
      <c r="A7" s="66" t="s">
        <v>51</v>
      </c>
      <c r="B7" s="77" t="s">
        <v>68</v>
      </c>
      <c r="C7" s="18">
        <v>4</v>
      </c>
      <c r="D7" s="6">
        <v>0.44444444444444442</v>
      </c>
      <c r="F7" s="4" t="s">
        <v>116</v>
      </c>
      <c r="G7" s="4"/>
      <c r="H7" s="4"/>
      <c r="K7" t="s">
        <v>96</v>
      </c>
      <c r="L7" t="s">
        <v>98</v>
      </c>
      <c r="P7" s="66" t="s">
        <v>51</v>
      </c>
      <c r="Y7" s="66"/>
      <c r="Z7" s="5"/>
      <c r="AL7" s="69" t="s">
        <v>35</v>
      </c>
      <c r="AM7" t="s">
        <v>112</v>
      </c>
      <c r="AN7" s="77" t="s">
        <v>118</v>
      </c>
      <c r="AO7" s="104" t="s">
        <v>119</v>
      </c>
      <c r="AP7" s="10">
        <v>8</v>
      </c>
      <c r="AQ7">
        <v>0.88888888888888884</v>
      </c>
      <c r="AR7" t="s">
        <v>126</v>
      </c>
      <c r="AS7" t="s">
        <v>113</v>
      </c>
      <c r="AT7" s="86" t="s">
        <v>69</v>
      </c>
      <c r="AU7" s="104" t="s">
        <v>120</v>
      </c>
      <c r="AV7" s="10">
        <v>6</v>
      </c>
      <c r="AW7">
        <v>0.66666666666666663</v>
      </c>
    </row>
    <row r="8" spans="1:49" ht="17" thickBot="1" x14ac:dyDescent="0.25">
      <c r="A8" s="65" t="s">
        <v>19</v>
      </c>
      <c r="B8" s="86" t="s">
        <v>69</v>
      </c>
      <c r="C8" s="9">
        <v>9</v>
      </c>
      <c r="D8" s="6">
        <v>1</v>
      </c>
      <c r="P8" s="65" t="s">
        <v>19</v>
      </c>
      <c r="Q8" s="86" t="s">
        <v>69</v>
      </c>
      <c r="R8" s="9">
        <v>9</v>
      </c>
      <c r="S8" s="6">
        <v>1</v>
      </c>
      <c r="T8" s="77" t="s">
        <v>68</v>
      </c>
      <c r="U8" s="9">
        <v>8</v>
      </c>
      <c r="V8" s="6">
        <v>0.88888888888888884</v>
      </c>
      <c r="X8" s="91"/>
      <c r="Y8" s="65" t="s">
        <v>19</v>
      </c>
      <c r="Z8" t="s">
        <v>111</v>
      </c>
      <c r="AA8" s="86" t="s">
        <v>88</v>
      </c>
      <c r="AB8" s="9">
        <v>15</v>
      </c>
      <c r="AC8" s="6">
        <v>1</v>
      </c>
      <c r="AD8" t="s">
        <v>113</v>
      </c>
      <c r="AE8" s="77" t="s">
        <v>68</v>
      </c>
      <c r="AF8" s="9">
        <v>8</v>
      </c>
      <c r="AG8" s="6">
        <v>0.88888888888888884</v>
      </c>
      <c r="AL8" s="66" t="s">
        <v>58</v>
      </c>
      <c r="AM8" s="102" t="s">
        <v>115</v>
      </c>
      <c r="AN8" s="86" t="s">
        <v>69</v>
      </c>
      <c r="AO8" s="104" t="s">
        <v>120</v>
      </c>
      <c r="AP8" s="9">
        <v>5</v>
      </c>
      <c r="AQ8">
        <v>0.55555555555555558</v>
      </c>
      <c r="AR8" t="s">
        <v>126</v>
      </c>
      <c r="AS8" t="s">
        <v>113</v>
      </c>
      <c r="AT8" s="80" t="s">
        <v>88</v>
      </c>
      <c r="AU8" s="104" t="s">
        <v>124</v>
      </c>
      <c r="AV8" s="4">
        <v>1</v>
      </c>
      <c r="AW8">
        <v>6.6666666666666666E-2</v>
      </c>
    </row>
    <row r="9" spans="1:49" ht="17" thickBot="1" x14ac:dyDescent="0.25">
      <c r="A9" s="65" t="s">
        <v>19</v>
      </c>
      <c r="B9" s="86" t="s">
        <v>88</v>
      </c>
      <c r="C9" s="9">
        <v>15</v>
      </c>
      <c r="D9" s="6">
        <v>1</v>
      </c>
      <c r="J9" t="s">
        <v>107</v>
      </c>
      <c r="P9" s="65" t="s">
        <v>19</v>
      </c>
      <c r="Q9" s="86" t="s">
        <v>88</v>
      </c>
      <c r="R9" s="9">
        <v>15</v>
      </c>
      <c r="S9" s="6">
        <v>1</v>
      </c>
      <c r="X9" s="91"/>
      <c r="Y9" s="65" t="s">
        <v>19</v>
      </c>
      <c r="Z9" s="75"/>
      <c r="AA9" s="86" t="s">
        <v>69</v>
      </c>
      <c r="AB9" s="9">
        <v>9</v>
      </c>
      <c r="AC9" s="6">
        <v>1</v>
      </c>
      <c r="AD9" s="4"/>
      <c r="AL9" s="65" t="s">
        <v>24</v>
      </c>
      <c r="AM9" t="s">
        <v>112</v>
      </c>
      <c r="AN9" s="80" t="s">
        <v>69</v>
      </c>
      <c r="AO9" s="104" t="s">
        <v>120</v>
      </c>
      <c r="AP9" s="4">
        <v>8</v>
      </c>
      <c r="AQ9">
        <v>0.88888888888888884</v>
      </c>
      <c r="AR9" t="s">
        <v>126</v>
      </c>
      <c r="AS9" t="s">
        <v>113</v>
      </c>
      <c r="AT9" s="87" t="s">
        <v>118</v>
      </c>
      <c r="AU9" s="104" t="s">
        <v>119</v>
      </c>
      <c r="AV9" s="4">
        <v>7</v>
      </c>
      <c r="AW9">
        <v>0.77777777777777779</v>
      </c>
    </row>
    <row r="10" spans="1:49" ht="17" thickBot="1" x14ac:dyDescent="0.25">
      <c r="A10" s="65" t="s">
        <v>19</v>
      </c>
      <c r="B10" s="77" t="s">
        <v>68</v>
      </c>
      <c r="C10" s="9">
        <v>8</v>
      </c>
      <c r="D10" s="6">
        <v>0.88888888888888884</v>
      </c>
      <c r="I10" s="89"/>
      <c r="K10" t="s">
        <v>91</v>
      </c>
      <c r="L10" t="s">
        <v>97</v>
      </c>
      <c r="M10" t="s">
        <v>103</v>
      </c>
      <c r="P10" s="65" t="s">
        <v>19</v>
      </c>
      <c r="Y10" s="65"/>
      <c r="Z10" s="72"/>
      <c r="AL10" s="66" t="s">
        <v>62</v>
      </c>
      <c r="AM10" t="s">
        <v>115</v>
      </c>
      <c r="AN10" s="86" t="s">
        <v>69</v>
      </c>
      <c r="AO10" s="104" t="s">
        <v>120</v>
      </c>
      <c r="AP10" s="9">
        <v>4</v>
      </c>
      <c r="AQ10">
        <v>0.44444444444444442</v>
      </c>
      <c r="AR10" t="s">
        <v>126</v>
      </c>
      <c r="AS10" t="s">
        <v>113</v>
      </c>
      <c r="AT10" s="86" t="s">
        <v>88</v>
      </c>
      <c r="AU10" s="104" t="s">
        <v>124</v>
      </c>
      <c r="AV10" s="9">
        <v>1</v>
      </c>
      <c r="AW10">
        <v>6.6666666666666666E-2</v>
      </c>
    </row>
    <row r="11" spans="1:49" ht="17" thickBot="1" x14ac:dyDescent="0.25">
      <c r="A11" s="65" t="s">
        <v>45</v>
      </c>
      <c r="B11" s="77" t="s">
        <v>68</v>
      </c>
      <c r="C11" s="10">
        <v>7</v>
      </c>
      <c r="D11" s="6">
        <v>0.77777777777777779</v>
      </c>
      <c r="K11" t="s">
        <v>92</v>
      </c>
      <c r="L11" t="s">
        <v>104</v>
      </c>
      <c r="M11" t="s">
        <v>103</v>
      </c>
      <c r="P11" s="65" t="s">
        <v>45</v>
      </c>
      <c r="Q11" s="77" t="s">
        <v>68</v>
      </c>
      <c r="R11" s="10">
        <v>7</v>
      </c>
      <c r="S11" s="6">
        <v>0.77777777777777779</v>
      </c>
      <c r="T11" s="86" t="s">
        <v>88</v>
      </c>
      <c r="U11" s="9">
        <v>6</v>
      </c>
      <c r="V11" s="6">
        <v>0.4</v>
      </c>
      <c r="Y11" s="65" t="s">
        <v>45</v>
      </c>
      <c r="Z11" t="s">
        <v>112</v>
      </c>
      <c r="AA11" s="77" t="s">
        <v>68</v>
      </c>
      <c r="AB11" s="10">
        <v>7</v>
      </c>
      <c r="AC11" s="6">
        <v>0.77777777777777779</v>
      </c>
      <c r="AD11" t="s">
        <v>113</v>
      </c>
      <c r="AE11" s="86" t="s">
        <v>88</v>
      </c>
      <c r="AF11" s="9">
        <v>6</v>
      </c>
      <c r="AG11" s="6">
        <v>0.4</v>
      </c>
      <c r="AL11" s="65" t="s">
        <v>50</v>
      </c>
      <c r="AM11" s="102" t="s">
        <v>115</v>
      </c>
      <c r="AN11" s="77" t="s">
        <v>118</v>
      </c>
      <c r="AO11" s="104" t="s">
        <v>119</v>
      </c>
      <c r="AP11" s="9">
        <v>6</v>
      </c>
      <c r="AQ11">
        <v>0.66666666666666663</v>
      </c>
      <c r="AR11" t="s">
        <v>126</v>
      </c>
      <c r="AS11" t="s">
        <v>113</v>
      </c>
      <c r="AT11" s="80" t="s">
        <v>69</v>
      </c>
      <c r="AU11" s="104" t="s">
        <v>120</v>
      </c>
      <c r="AV11" s="4">
        <v>2</v>
      </c>
      <c r="AW11">
        <v>0.22222222222222221</v>
      </c>
    </row>
    <row r="12" spans="1:49" ht="17" thickBot="1" x14ac:dyDescent="0.25">
      <c r="A12" s="65" t="s">
        <v>45</v>
      </c>
      <c r="B12" s="86" t="s">
        <v>69</v>
      </c>
      <c r="C12" s="10">
        <v>5</v>
      </c>
      <c r="D12" s="6">
        <v>0.55555555555555558</v>
      </c>
      <c r="K12" t="s">
        <v>93</v>
      </c>
      <c r="M12" t="s">
        <v>105</v>
      </c>
      <c r="P12" s="65" t="s">
        <v>45</v>
      </c>
      <c r="Q12" s="86" t="s">
        <v>69</v>
      </c>
      <c r="R12" s="10">
        <v>5</v>
      </c>
      <c r="S12" s="6">
        <v>0.55555555555555558</v>
      </c>
      <c r="Y12" s="65"/>
      <c r="Z12" s="75"/>
      <c r="AA12" s="86"/>
      <c r="AB12" s="10"/>
      <c r="AC12" s="6"/>
      <c r="AD12" s="4"/>
      <c r="AL12" s="65" t="s">
        <v>65</v>
      </c>
      <c r="AM12" t="s">
        <v>115</v>
      </c>
      <c r="AN12" s="77" t="s">
        <v>118</v>
      </c>
      <c r="AO12" s="104" t="s">
        <v>119</v>
      </c>
      <c r="AP12" s="4">
        <v>1</v>
      </c>
      <c r="AQ12">
        <v>0.1111111111111111</v>
      </c>
      <c r="AR12" t="s">
        <v>126</v>
      </c>
      <c r="AS12" t="s">
        <v>113</v>
      </c>
      <c r="AT12" s="80" t="s">
        <v>69</v>
      </c>
      <c r="AU12" s="104" t="s">
        <v>120</v>
      </c>
      <c r="AV12" s="4">
        <v>0</v>
      </c>
      <c r="AW12">
        <v>0</v>
      </c>
    </row>
    <row r="13" spans="1:49" ht="17" thickBot="1" x14ac:dyDescent="0.25">
      <c r="A13" s="65" t="s">
        <v>45</v>
      </c>
      <c r="B13" s="86" t="s">
        <v>88</v>
      </c>
      <c r="C13" s="9">
        <v>6</v>
      </c>
      <c r="D13" s="6">
        <v>0.4</v>
      </c>
      <c r="K13" t="s">
        <v>94</v>
      </c>
      <c r="P13" s="65" t="s">
        <v>45</v>
      </c>
      <c r="Y13" s="65"/>
      <c r="Z13" s="72"/>
      <c r="AL13" s="66" t="s">
        <v>54</v>
      </c>
      <c r="AM13" t="s">
        <v>115</v>
      </c>
      <c r="AN13" s="77" t="s">
        <v>118</v>
      </c>
      <c r="AO13" s="104" t="s">
        <v>119</v>
      </c>
      <c r="AP13" s="9">
        <v>5</v>
      </c>
      <c r="AQ13">
        <v>0.55555555555555558</v>
      </c>
      <c r="AR13" t="s">
        <v>126</v>
      </c>
      <c r="AS13" t="s">
        <v>113</v>
      </c>
      <c r="AT13" s="86" t="s">
        <v>88</v>
      </c>
      <c r="AU13" s="104" t="s">
        <v>124</v>
      </c>
      <c r="AV13" s="78">
        <v>2</v>
      </c>
      <c r="AW13">
        <v>0.13333333333333333</v>
      </c>
    </row>
    <row r="14" spans="1:49" ht="17" thickBot="1" x14ac:dyDescent="0.25">
      <c r="A14" s="68" t="s">
        <v>20</v>
      </c>
      <c r="B14" s="77" t="s">
        <v>68</v>
      </c>
      <c r="C14" s="10">
        <v>9</v>
      </c>
      <c r="D14" s="6">
        <v>1</v>
      </c>
      <c r="K14" t="s">
        <v>95</v>
      </c>
      <c r="P14" s="68" t="s">
        <v>20</v>
      </c>
      <c r="Q14" s="77" t="s">
        <v>68</v>
      </c>
      <c r="R14" s="10">
        <v>9</v>
      </c>
      <c r="S14" s="6">
        <v>1</v>
      </c>
      <c r="T14" s="86" t="s">
        <v>88</v>
      </c>
      <c r="U14" s="78">
        <v>14</v>
      </c>
      <c r="V14" s="6">
        <v>0.93333333333333335</v>
      </c>
      <c r="X14" s="91"/>
      <c r="Y14" s="68" t="s">
        <v>20</v>
      </c>
      <c r="Z14" t="s">
        <v>111</v>
      </c>
      <c r="AA14" s="86" t="s">
        <v>69</v>
      </c>
      <c r="AB14" s="10">
        <v>9</v>
      </c>
      <c r="AC14" s="6">
        <v>1</v>
      </c>
      <c r="AD14" t="s">
        <v>113</v>
      </c>
      <c r="AE14" s="86" t="s">
        <v>88</v>
      </c>
      <c r="AF14" s="78">
        <v>14</v>
      </c>
      <c r="AG14" s="6">
        <v>0.93333333333333335</v>
      </c>
      <c r="AL14" s="66" t="s">
        <v>32</v>
      </c>
      <c r="AM14" s="102" t="s">
        <v>112</v>
      </c>
      <c r="AN14" s="77" t="s">
        <v>118</v>
      </c>
      <c r="AO14" s="104" t="s">
        <v>119</v>
      </c>
      <c r="AP14" s="9">
        <v>8</v>
      </c>
      <c r="AQ14">
        <v>0.88888888888888884</v>
      </c>
      <c r="AR14" t="s">
        <v>126</v>
      </c>
      <c r="AS14" t="s">
        <v>113</v>
      </c>
      <c r="AT14" s="80" t="s">
        <v>69</v>
      </c>
      <c r="AU14" s="104" t="s">
        <v>120</v>
      </c>
      <c r="AV14" s="4">
        <v>5</v>
      </c>
      <c r="AW14">
        <v>0.55555555555555558</v>
      </c>
    </row>
    <row r="15" spans="1:49" ht="17" thickBot="1" x14ac:dyDescent="0.25">
      <c r="A15" s="68" t="s">
        <v>20</v>
      </c>
      <c r="B15" s="86" t="s">
        <v>69</v>
      </c>
      <c r="C15" s="10">
        <v>9</v>
      </c>
      <c r="D15" s="6">
        <v>1</v>
      </c>
      <c r="K15" t="s">
        <v>96</v>
      </c>
      <c r="P15" s="68" t="s">
        <v>20</v>
      </c>
      <c r="Q15" s="86" t="s">
        <v>69</v>
      </c>
      <c r="R15" s="10">
        <v>9</v>
      </c>
      <c r="S15" s="6">
        <v>1</v>
      </c>
      <c r="X15" s="91"/>
      <c r="Y15" s="68" t="s">
        <v>20</v>
      </c>
      <c r="Z15" s="96"/>
      <c r="AA15" s="77" t="s">
        <v>68</v>
      </c>
      <c r="AB15" s="10">
        <v>9</v>
      </c>
      <c r="AC15" s="6">
        <v>1</v>
      </c>
      <c r="AD15" s="4"/>
      <c r="AK15" s="92"/>
      <c r="AL15" s="65" t="s">
        <v>15</v>
      </c>
      <c r="AM15" t="s">
        <v>114</v>
      </c>
      <c r="AN15" s="77" t="s">
        <v>122</v>
      </c>
      <c r="AO15" s="104" t="s">
        <v>123</v>
      </c>
      <c r="AP15" s="4">
        <v>9</v>
      </c>
      <c r="AQ15">
        <v>1</v>
      </c>
      <c r="AR15" t="s">
        <v>127</v>
      </c>
      <c r="AS15" s="4" t="s">
        <v>116</v>
      </c>
      <c r="AT15" s="80" t="s">
        <v>88</v>
      </c>
      <c r="AU15" s="104" t="s">
        <v>124</v>
      </c>
      <c r="AV15" s="4">
        <v>15</v>
      </c>
      <c r="AW15">
        <v>1</v>
      </c>
    </row>
    <row r="16" spans="1:49" ht="17" thickBot="1" x14ac:dyDescent="0.25">
      <c r="A16" s="68" t="s">
        <v>20</v>
      </c>
      <c r="B16" s="86" t="s">
        <v>88</v>
      </c>
      <c r="C16" s="78">
        <v>15</v>
      </c>
      <c r="D16" s="6">
        <v>1</v>
      </c>
      <c r="P16" s="68" t="s">
        <v>20</v>
      </c>
      <c r="Y16" s="68"/>
      <c r="Z16" s="25"/>
      <c r="AL16" s="66" t="s">
        <v>25</v>
      </c>
      <c r="AM16" t="s">
        <v>112</v>
      </c>
      <c r="AN16" s="77" t="s">
        <v>118</v>
      </c>
      <c r="AO16" s="104" t="s">
        <v>119</v>
      </c>
      <c r="AP16" s="82">
        <v>8</v>
      </c>
      <c r="AQ16">
        <v>0.88888888888888884</v>
      </c>
      <c r="AR16" t="s">
        <v>126</v>
      </c>
      <c r="AS16" t="s">
        <v>113</v>
      </c>
      <c r="AT16" s="86" t="s">
        <v>88</v>
      </c>
      <c r="AU16" s="104" t="s">
        <v>124</v>
      </c>
      <c r="AV16" s="9">
        <v>11</v>
      </c>
      <c r="AW16">
        <v>0.73333333333333328</v>
      </c>
    </row>
    <row r="17" spans="1:49" ht="17" thickBot="1" x14ac:dyDescent="0.25">
      <c r="A17" s="69" t="s">
        <v>35</v>
      </c>
      <c r="B17" s="77" t="s">
        <v>68</v>
      </c>
      <c r="C17" s="79">
        <v>8</v>
      </c>
      <c r="D17" s="6">
        <v>0.88888888888888884</v>
      </c>
      <c r="J17" t="s">
        <v>106</v>
      </c>
      <c r="P17" s="69" t="s">
        <v>35</v>
      </c>
      <c r="Q17" s="77" t="s">
        <v>68</v>
      </c>
      <c r="R17" s="79">
        <v>8</v>
      </c>
      <c r="S17" s="6">
        <v>0.88888888888888884</v>
      </c>
      <c r="T17" s="86" t="s">
        <v>69</v>
      </c>
      <c r="U17" s="10">
        <v>6</v>
      </c>
      <c r="V17" s="6">
        <v>0.66666666666666663</v>
      </c>
      <c r="Y17" s="69" t="s">
        <v>35</v>
      </c>
      <c r="Z17" t="s">
        <v>112</v>
      </c>
      <c r="AA17" s="77" t="s">
        <v>68</v>
      </c>
      <c r="AB17" s="79">
        <v>8</v>
      </c>
      <c r="AC17" s="6">
        <v>0.88888888888888884</v>
      </c>
      <c r="AD17" t="s">
        <v>113</v>
      </c>
      <c r="AE17" s="86" t="s">
        <v>69</v>
      </c>
      <c r="AF17" s="10">
        <v>6</v>
      </c>
      <c r="AG17" s="6">
        <v>0.66666666666666663</v>
      </c>
      <c r="AL17" s="65" t="s">
        <v>28</v>
      </c>
      <c r="AM17" s="102" t="s">
        <v>112</v>
      </c>
      <c r="AN17" s="86" t="s">
        <v>88</v>
      </c>
      <c r="AO17" s="104" t="s">
        <v>121</v>
      </c>
      <c r="AP17" s="9">
        <v>14</v>
      </c>
      <c r="AQ17">
        <v>0.93333333333333335</v>
      </c>
      <c r="AR17" t="s">
        <v>126</v>
      </c>
      <c r="AS17" t="s">
        <v>113</v>
      </c>
      <c r="AT17" s="87" t="s">
        <v>118</v>
      </c>
      <c r="AU17" s="104" t="s">
        <v>119</v>
      </c>
      <c r="AV17" s="4">
        <v>5</v>
      </c>
      <c r="AW17">
        <v>0.55555555555555558</v>
      </c>
    </row>
    <row r="18" spans="1:49" ht="17" thickBot="1" x14ac:dyDescent="0.25">
      <c r="A18" s="69" t="s">
        <v>35</v>
      </c>
      <c r="B18" s="86" t="s">
        <v>88</v>
      </c>
      <c r="C18" s="9">
        <v>12</v>
      </c>
      <c r="D18" s="6">
        <v>0.8</v>
      </c>
      <c r="K18" t="s">
        <v>91</v>
      </c>
      <c r="L18" s="89"/>
      <c r="P18" s="69" t="s">
        <v>35</v>
      </c>
      <c r="Q18" s="86" t="s">
        <v>88</v>
      </c>
      <c r="R18" s="9">
        <v>12</v>
      </c>
      <c r="S18" s="6">
        <v>0.8</v>
      </c>
      <c r="Y18" s="69"/>
      <c r="Z18" s="97"/>
      <c r="AA18" s="86"/>
      <c r="AB18" s="9"/>
      <c r="AC18" s="6"/>
      <c r="AD18" s="4"/>
      <c r="AL18" s="65" t="s">
        <v>55</v>
      </c>
      <c r="AM18" t="s">
        <v>115</v>
      </c>
      <c r="AN18" s="77" t="s">
        <v>118</v>
      </c>
      <c r="AO18" s="104" t="s">
        <v>119</v>
      </c>
      <c r="AP18" s="4">
        <v>5</v>
      </c>
      <c r="AQ18">
        <v>0.55555555555555558</v>
      </c>
      <c r="AR18" t="s">
        <v>126</v>
      </c>
      <c r="AS18" t="s">
        <v>113</v>
      </c>
      <c r="AT18" s="80" t="s">
        <v>88</v>
      </c>
      <c r="AU18" s="104" t="s">
        <v>124</v>
      </c>
      <c r="AV18" s="4">
        <v>3</v>
      </c>
      <c r="AW18">
        <v>0.2</v>
      </c>
    </row>
    <row r="19" spans="1:49" ht="17" thickBot="1" x14ac:dyDescent="0.25">
      <c r="A19" s="69" t="s">
        <v>35</v>
      </c>
      <c r="B19" s="86" t="s">
        <v>69</v>
      </c>
      <c r="C19" s="10">
        <v>6</v>
      </c>
      <c r="D19" s="6">
        <v>0.66666666666666663</v>
      </c>
      <c r="K19" t="s">
        <v>92</v>
      </c>
      <c r="P19" s="69" t="s">
        <v>35</v>
      </c>
      <c r="Y19" s="69"/>
      <c r="Z19" s="29"/>
      <c r="AL19" s="65" t="s">
        <v>48</v>
      </c>
      <c r="AM19" t="s">
        <v>115</v>
      </c>
      <c r="AN19" s="77" t="s">
        <v>118</v>
      </c>
      <c r="AO19" s="104" t="s">
        <v>119</v>
      </c>
      <c r="AP19" s="9">
        <v>5</v>
      </c>
      <c r="AQ19">
        <v>0.55555555555555558</v>
      </c>
      <c r="AR19" t="s">
        <v>126</v>
      </c>
      <c r="AS19" t="s">
        <v>113</v>
      </c>
      <c r="AT19" s="86" t="s">
        <v>69</v>
      </c>
      <c r="AU19" s="104" t="s">
        <v>120</v>
      </c>
      <c r="AV19" s="9">
        <v>4</v>
      </c>
      <c r="AW19">
        <v>0.44444444444444442</v>
      </c>
    </row>
    <row r="20" spans="1:49" ht="17" thickBot="1" x14ac:dyDescent="0.25">
      <c r="A20" s="66" t="s">
        <v>58</v>
      </c>
      <c r="B20" s="86" t="s">
        <v>69</v>
      </c>
      <c r="C20" s="9">
        <v>5</v>
      </c>
      <c r="D20" s="6">
        <v>0.55555555555555558</v>
      </c>
      <c r="K20" t="s">
        <v>93</v>
      </c>
      <c r="P20" s="66" t="s">
        <v>58</v>
      </c>
      <c r="Q20" s="86" t="s">
        <v>69</v>
      </c>
      <c r="R20" s="9">
        <v>5</v>
      </c>
      <c r="S20" s="6">
        <v>0.55555555555555558</v>
      </c>
      <c r="T20" s="86" t="s">
        <v>88</v>
      </c>
      <c r="U20" s="9">
        <v>1</v>
      </c>
      <c r="V20" s="6">
        <v>6.6666666666666666E-2</v>
      </c>
      <c r="Y20" s="66" t="s">
        <v>58</v>
      </c>
      <c r="Z20" t="s">
        <v>115</v>
      </c>
      <c r="AA20" s="86" t="s">
        <v>69</v>
      </c>
      <c r="AB20" s="9">
        <v>5</v>
      </c>
      <c r="AC20" s="6">
        <v>0.55555555555555558</v>
      </c>
      <c r="AD20" t="s">
        <v>113</v>
      </c>
      <c r="AE20" s="86" t="s">
        <v>88</v>
      </c>
      <c r="AF20" s="9">
        <v>1</v>
      </c>
      <c r="AG20" s="6">
        <v>6.6666666666666666E-2</v>
      </c>
      <c r="AK20" s="93"/>
      <c r="AL20" s="65" t="s">
        <v>21</v>
      </c>
      <c r="AM20" s="102" t="s">
        <v>112</v>
      </c>
      <c r="AN20" s="77" t="s">
        <v>118</v>
      </c>
      <c r="AO20" s="104" t="s">
        <v>119</v>
      </c>
      <c r="AP20" s="9">
        <v>8</v>
      </c>
      <c r="AQ20">
        <v>0.88888888888888884</v>
      </c>
      <c r="AR20" t="s">
        <v>126</v>
      </c>
      <c r="AS20" t="s">
        <v>113</v>
      </c>
      <c r="AT20" s="80" t="s">
        <v>88</v>
      </c>
      <c r="AU20" s="104" t="s">
        <v>124</v>
      </c>
      <c r="AV20" s="4">
        <v>13</v>
      </c>
      <c r="AW20">
        <v>0.8666666666666667</v>
      </c>
    </row>
    <row r="21" spans="1:49" ht="17" thickBot="1" x14ac:dyDescent="0.25">
      <c r="A21" s="66" t="s">
        <v>58</v>
      </c>
      <c r="B21" s="77" t="s">
        <v>68</v>
      </c>
      <c r="C21" s="9">
        <v>3</v>
      </c>
      <c r="D21" s="6">
        <v>0.33333333333333331</v>
      </c>
      <c r="K21" t="s">
        <v>94</v>
      </c>
      <c r="P21" s="66" t="s">
        <v>58</v>
      </c>
      <c r="Q21" s="77" t="s">
        <v>68</v>
      </c>
      <c r="R21" s="9">
        <v>3</v>
      </c>
      <c r="S21" s="6">
        <v>0.33333333333333331</v>
      </c>
      <c r="Y21" s="66"/>
      <c r="Z21" s="95"/>
      <c r="AA21" s="77"/>
      <c r="AB21" s="9"/>
      <c r="AC21" s="6"/>
      <c r="AD21" s="4"/>
      <c r="AL21" s="66" t="s">
        <v>29</v>
      </c>
      <c r="AM21" t="s">
        <v>115</v>
      </c>
      <c r="AN21" s="80" t="s">
        <v>88</v>
      </c>
      <c r="AO21" s="104" t="s">
        <v>121</v>
      </c>
      <c r="AP21" s="4">
        <v>12</v>
      </c>
      <c r="AQ21">
        <v>0.8</v>
      </c>
      <c r="AR21" t="s">
        <v>126</v>
      </c>
      <c r="AS21" t="s">
        <v>113</v>
      </c>
      <c r="AT21" s="87" t="s">
        <v>118</v>
      </c>
      <c r="AU21" s="104" t="s">
        <v>119</v>
      </c>
      <c r="AV21" s="4">
        <v>6</v>
      </c>
      <c r="AW21">
        <v>0.66666666666666663</v>
      </c>
    </row>
    <row r="22" spans="1:49" ht="17" thickBot="1" x14ac:dyDescent="0.25">
      <c r="A22" s="66" t="s">
        <v>58</v>
      </c>
      <c r="B22" s="86" t="s">
        <v>88</v>
      </c>
      <c r="C22" s="9">
        <v>1</v>
      </c>
      <c r="D22" s="6">
        <v>6.6666666666666666E-2</v>
      </c>
      <c r="K22" t="s">
        <v>95</v>
      </c>
      <c r="P22" s="66" t="s">
        <v>58</v>
      </c>
      <c r="Y22" s="66"/>
      <c r="Z22" s="5"/>
      <c r="AL22" s="65" t="s">
        <v>59</v>
      </c>
      <c r="AM22" t="s">
        <v>115</v>
      </c>
      <c r="AN22" s="77" t="s">
        <v>118</v>
      </c>
      <c r="AO22" s="104" t="s">
        <v>119</v>
      </c>
      <c r="AP22" s="9">
        <v>5</v>
      </c>
      <c r="AQ22">
        <v>0.55555555555555558</v>
      </c>
      <c r="AR22" t="s">
        <v>126</v>
      </c>
      <c r="AS22" t="s">
        <v>113</v>
      </c>
      <c r="AT22" s="86" t="s">
        <v>88</v>
      </c>
      <c r="AU22" s="104" t="s">
        <v>124</v>
      </c>
      <c r="AV22" s="9">
        <v>1</v>
      </c>
      <c r="AW22">
        <v>6.6666666666666666E-2</v>
      </c>
    </row>
    <row r="23" spans="1:49" ht="17" thickBot="1" x14ac:dyDescent="0.25">
      <c r="A23" s="65" t="s">
        <v>24</v>
      </c>
      <c r="B23" s="86" t="s">
        <v>69</v>
      </c>
      <c r="C23" s="9">
        <v>8</v>
      </c>
      <c r="D23" s="6">
        <v>0.88888888888888884</v>
      </c>
      <c r="K23" t="s">
        <v>96</v>
      </c>
      <c r="P23" s="65" t="s">
        <v>24</v>
      </c>
      <c r="Q23" s="86" t="s">
        <v>69</v>
      </c>
      <c r="R23" s="9">
        <v>8</v>
      </c>
      <c r="S23" s="6">
        <v>0.88888888888888884</v>
      </c>
      <c r="T23" s="77" t="s">
        <v>68</v>
      </c>
      <c r="U23" s="9">
        <v>7</v>
      </c>
      <c r="V23" s="6">
        <v>0.77777777777777779</v>
      </c>
      <c r="Y23" s="65" t="s">
        <v>24</v>
      </c>
      <c r="Z23" t="s">
        <v>112</v>
      </c>
      <c r="AA23" s="86" t="s">
        <v>69</v>
      </c>
      <c r="AB23" s="9">
        <v>8</v>
      </c>
      <c r="AC23" s="6">
        <v>0.88888888888888884</v>
      </c>
      <c r="AD23" t="s">
        <v>113</v>
      </c>
      <c r="AE23" s="77" t="s">
        <v>68</v>
      </c>
      <c r="AF23" s="9">
        <v>7</v>
      </c>
      <c r="AG23" s="6">
        <v>0.77777777777777779</v>
      </c>
      <c r="AL23" s="68" t="s">
        <v>33</v>
      </c>
      <c r="AM23" s="102" t="s">
        <v>111</v>
      </c>
      <c r="AN23" s="86" t="s">
        <v>69</v>
      </c>
      <c r="AO23" s="104" t="s">
        <v>120</v>
      </c>
      <c r="AP23" s="9">
        <v>9</v>
      </c>
      <c r="AQ23">
        <v>1</v>
      </c>
      <c r="AR23" t="s">
        <v>126</v>
      </c>
      <c r="AS23" t="s">
        <v>113</v>
      </c>
      <c r="AT23" s="80" t="s">
        <v>88</v>
      </c>
      <c r="AU23" s="104" t="s">
        <v>124</v>
      </c>
      <c r="AV23" s="4">
        <v>12</v>
      </c>
      <c r="AW23">
        <v>0.8</v>
      </c>
    </row>
    <row r="24" spans="1:49" ht="17" thickBot="1" x14ac:dyDescent="0.25">
      <c r="A24" s="65" t="s">
        <v>24</v>
      </c>
      <c r="B24" s="86" t="s">
        <v>88</v>
      </c>
      <c r="C24" s="9">
        <v>12</v>
      </c>
      <c r="D24" s="6">
        <v>0.8</v>
      </c>
      <c r="P24" s="65" t="s">
        <v>24</v>
      </c>
      <c r="Q24" s="86" t="s">
        <v>88</v>
      </c>
      <c r="R24" s="9">
        <v>12</v>
      </c>
      <c r="S24" s="6">
        <v>0.8</v>
      </c>
      <c r="Y24" s="65"/>
      <c r="Z24" s="75"/>
      <c r="AA24" s="86"/>
      <c r="AB24" s="9"/>
      <c r="AC24" s="6"/>
      <c r="AD24" s="4"/>
      <c r="AK24" s="93"/>
      <c r="AL24" s="70" t="s">
        <v>46</v>
      </c>
      <c r="AM24" t="s">
        <v>111</v>
      </c>
      <c r="AN24" s="77" t="s">
        <v>118</v>
      </c>
      <c r="AO24" s="104" t="s">
        <v>119</v>
      </c>
      <c r="AP24" s="4">
        <v>9</v>
      </c>
      <c r="AQ24">
        <v>1</v>
      </c>
      <c r="AR24" t="s">
        <v>126</v>
      </c>
      <c r="AS24" t="s">
        <v>113</v>
      </c>
      <c r="AT24" s="80" t="s">
        <v>88</v>
      </c>
      <c r="AU24" s="104" t="s">
        <v>124</v>
      </c>
      <c r="AV24" s="4">
        <v>6</v>
      </c>
      <c r="AW24">
        <v>0.4</v>
      </c>
    </row>
    <row r="25" spans="1:49" ht="17" thickBot="1" x14ac:dyDescent="0.25">
      <c r="A25" s="65" t="s">
        <v>24</v>
      </c>
      <c r="B25" s="77" t="s">
        <v>68</v>
      </c>
      <c r="C25" s="9">
        <v>7</v>
      </c>
      <c r="D25" s="6">
        <v>0.77777777777777779</v>
      </c>
      <c r="P25" s="65" t="s">
        <v>24</v>
      </c>
      <c r="Y25" s="65"/>
      <c r="Z25" s="72"/>
      <c r="AK25" s="93"/>
      <c r="AL25" s="66" t="s">
        <v>22</v>
      </c>
      <c r="AM25" t="s">
        <v>111</v>
      </c>
      <c r="AN25" s="77" t="s">
        <v>118</v>
      </c>
      <c r="AO25" s="104" t="s">
        <v>119</v>
      </c>
      <c r="AP25" s="9">
        <v>9</v>
      </c>
      <c r="AQ25">
        <v>1</v>
      </c>
      <c r="AR25" t="s">
        <v>126</v>
      </c>
      <c r="AS25" t="s">
        <v>113</v>
      </c>
      <c r="AT25" s="86" t="s">
        <v>88</v>
      </c>
      <c r="AU25" s="104" t="s">
        <v>124</v>
      </c>
      <c r="AV25" s="9">
        <v>11</v>
      </c>
      <c r="AW25">
        <v>0.73333333333333328</v>
      </c>
    </row>
    <row r="26" spans="1:49" ht="17" thickBot="1" x14ac:dyDescent="0.25">
      <c r="A26" s="66" t="s">
        <v>62</v>
      </c>
      <c r="B26" s="86" t="s">
        <v>69</v>
      </c>
      <c r="C26" s="9">
        <v>4</v>
      </c>
      <c r="D26" s="6">
        <v>0.44444444444444442</v>
      </c>
      <c r="J26" t="s">
        <v>108</v>
      </c>
      <c r="L26" s="89"/>
      <c r="P26" s="66" t="s">
        <v>62</v>
      </c>
      <c r="Q26" s="86" t="s">
        <v>69</v>
      </c>
      <c r="R26" s="9">
        <v>4</v>
      </c>
      <c r="S26" s="6">
        <v>0.44444444444444442</v>
      </c>
      <c r="T26" s="86" t="s">
        <v>88</v>
      </c>
      <c r="U26" s="9">
        <v>1</v>
      </c>
      <c r="V26" s="6">
        <v>6.6666666666666666E-2</v>
      </c>
      <c r="Y26" s="66" t="s">
        <v>62</v>
      </c>
      <c r="Z26" t="s">
        <v>115</v>
      </c>
      <c r="AA26" s="86" t="s">
        <v>69</v>
      </c>
      <c r="AB26" s="9">
        <v>4</v>
      </c>
      <c r="AC26" s="6">
        <v>0.44444444444444442</v>
      </c>
      <c r="AD26" t="s">
        <v>113</v>
      </c>
      <c r="AE26" s="86" t="s">
        <v>88</v>
      </c>
      <c r="AF26" s="9">
        <v>1</v>
      </c>
      <c r="AG26" s="6">
        <v>6.6666666666666666E-2</v>
      </c>
      <c r="AL26" s="65" t="s">
        <v>39</v>
      </c>
      <c r="AM26" s="102" t="s">
        <v>115</v>
      </c>
      <c r="AN26" s="77" t="s">
        <v>118</v>
      </c>
      <c r="AO26" s="104" t="s">
        <v>119</v>
      </c>
      <c r="AP26" s="9">
        <v>7</v>
      </c>
      <c r="AQ26">
        <v>0.77777777777777779</v>
      </c>
      <c r="AR26" t="s">
        <v>126</v>
      </c>
      <c r="AS26" t="s">
        <v>113</v>
      </c>
      <c r="AT26" s="80" t="s">
        <v>69</v>
      </c>
      <c r="AU26" s="104" t="s">
        <v>120</v>
      </c>
      <c r="AV26" s="4">
        <v>4</v>
      </c>
      <c r="AW26">
        <v>0.44444444444444442</v>
      </c>
    </row>
    <row r="27" spans="1:49" ht="17" thickBot="1" x14ac:dyDescent="0.25">
      <c r="A27" s="66" t="s">
        <v>62</v>
      </c>
      <c r="B27" s="77" t="s">
        <v>68</v>
      </c>
      <c r="C27" s="9">
        <v>3</v>
      </c>
      <c r="D27" s="6">
        <v>0.33333333333333331</v>
      </c>
      <c r="K27" t="s">
        <v>91</v>
      </c>
      <c r="P27" s="66" t="s">
        <v>62</v>
      </c>
      <c r="Q27" s="77" t="s">
        <v>68</v>
      </c>
      <c r="R27" s="9">
        <v>3</v>
      </c>
      <c r="S27" s="6">
        <v>0.33333333333333331</v>
      </c>
      <c r="Y27" s="66"/>
      <c r="Z27" s="95"/>
      <c r="AA27" s="77"/>
      <c r="AB27" s="9"/>
      <c r="AC27" s="6"/>
      <c r="AD27" s="4"/>
      <c r="AL27" s="66" t="s">
        <v>40</v>
      </c>
      <c r="AM27" t="s">
        <v>115</v>
      </c>
      <c r="AN27" s="80" t="s">
        <v>88</v>
      </c>
      <c r="AO27" s="104" t="s">
        <v>121</v>
      </c>
      <c r="AP27" s="4">
        <v>11</v>
      </c>
      <c r="AQ27">
        <v>0.73333333333333328</v>
      </c>
      <c r="AR27" t="s">
        <v>126</v>
      </c>
      <c r="AS27" t="s">
        <v>113</v>
      </c>
      <c r="AT27" s="87" t="s">
        <v>118</v>
      </c>
      <c r="AU27" s="104" t="s">
        <v>119</v>
      </c>
      <c r="AV27" s="4">
        <v>3</v>
      </c>
      <c r="AW27">
        <v>0.33333333333333331</v>
      </c>
    </row>
    <row r="28" spans="1:49" ht="17" thickBot="1" x14ac:dyDescent="0.25">
      <c r="A28" s="66" t="s">
        <v>62</v>
      </c>
      <c r="B28" s="86" t="s">
        <v>88</v>
      </c>
      <c r="C28" s="9">
        <v>1</v>
      </c>
      <c r="D28" s="6">
        <v>6.6666666666666666E-2</v>
      </c>
      <c r="K28" t="s">
        <v>92</v>
      </c>
      <c r="P28" s="66" t="s">
        <v>62</v>
      </c>
      <c r="Y28" s="66"/>
      <c r="Z28" s="5"/>
      <c r="AL28" s="85" t="s">
        <v>26</v>
      </c>
      <c r="AM28" t="s">
        <v>112</v>
      </c>
      <c r="AN28" s="77" t="s">
        <v>118</v>
      </c>
      <c r="AO28" s="104" t="s">
        <v>119</v>
      </c>
      <c r="AP28" s="9">
        <v>8</v>
      </c>
      <c r="AQ28">
        <v>0.88888888888888884</v>
      </c>
      <c r="AR28" t="s">
        <v>126</v>
      </c>
      <c r="AS28" t="s">
        <v>113</v>
      </c>
      <c r="AT28" s="86" t="s">
        <v>88</v>
      </c>
      <c r="AU28" s="104" t="s">
        <v>124</v>
      </c>
      <c r="AV28" s="9">
        <v>11</v>
      </c>
      <c r="AW28">
        <v>0.73333333333333328</v>
      </c>
    </row>
    <row r="29" spans="1:49" ht="17" thickBot="1" x14ac:dyDescent="0.25">
      <c r="A29" s="71" t="s">
        <v>50</v>
      </c>
      <c r="B29" s="77" t="s">
        <v>68</v>
      </c>
      <c r="C29" s="9">
        <v>6</v>
      </c>
      <c r="D29" s="6">
        <v>0.66666666666666663</v>
      </c>
      <c r="K29" t="s">
        <v>93</v>
      </c>
      <c r="P29" s="71" t="s">
        <v>50</v>
      </c>
      <c r="Q29" s="77" t="s">
        <v>68</v>
      </c>
      <c r="R29" s="9">
        <v>6</v>
      </c>
      <c r="S29" s="6">
        <v>0.66666666666666663</v>
      </c>
      <c r="T29" s="86" t="s">
        <v>69</v>
      </c>
      <c r="U29" s="9">
        <v>2</v>
      </c>
      <c r="V29" s="6">
        <v>0.22222222222222221</v>
      </c>
      <c r="Y29" s="71" t="s">
        <v>50</v>
      </c>
      <c r="Z29" t="s">
        <v>115</v>
      </c>
      <c r="AA29" s="77" t="s">
        <v>68</v>
      </c>
      <c r="AB29" s="9">
        <v>6</v>
      </c>
      <c r="AC29" s="6">
        <v>0.66666666666666663</v>
      </c>
      <c r="AD29" t="s">
        <v>113</v>
      </c>
      <c r="AE29" s="86" t="s">
        <v>69</v>
      </c>
      <c r="AF29" s="9">
        <v>2</v>
      </c>
      <c r="AG29" s="6">
        <v>0.22222222222222221</v>
      </c>
      <c r="AK29" s="93"/>
      <c r="AL29" s="68" t="s">
        <v>23</v>
      </c>
      <c r="AM29" s="102" t="s">
        <v>111</v>
      </c>
      <c r="AN29" s="77" t="s">
        <v>118</v>
      </c>
      <c r="AO29" s="104" t="s">
        <v>119</v>
      </c>
      <c r="AP29" s="9">
        <v>9</v>
      </c>
      <c r="AQ29">
        <v>1</v>
      </c>
      <c r="AR29" t="s">
        <v>126</v>
      </c>
      <c r="AS29" t="s">
        <v>113</v>
      </c>
      <c r="AT29" s="80" t="s">
        <v>88</v>
      </c>
      <c r="AU29" s="104" t="s">
        <v>124</v>
      </c>
      <c r="AV29" s="4">
        <v>11</v>
      </c>
      <c r="AW29">
        <v>0.73333333333333328</v>
      </c>
    </row>
    <row r="30" spans="1:49" ht="17" thickBot="1" x14ac:dyDescent="0.25">
      <c r="A30" s="65" t="s">
        <v>50</v>
      </c>
      <c r="B30" s="86" t="s">
        <v>88</v>
      </c>
      <c r="C30" s="9">
        <v>7</v>
      </c>
      <c r="D30" s="6">
        <v>0.46666666666666667</v>
      </c>
      <c r="K30" t="s">
        <v>94</v>
      </c>
      <c r="P30" s="65" t="s">
        <v>50</v>
      </c>
      <c r="Q30" s="86" t="s">
        <v>88</v>
      </c>
      <c r="R30" s="9">
        <v>7</v>
      </c>
      <c r="S30" s="6">
        <v>0.46666666666666667</v>
      </c>
      <c r="Y30" s="65"/>
      <c r="Z30" s="75"/>
      <c r="AA30" s="86"/>
      <c r="AB30" s="9"/>
      <c r="AC30" s="6"/>
      <c r="AD30" s="4"/>
      <c r="AK30" s="92"/>
      <c r="AL30" s="66" t="s">
        <v>16</v>
      </c>
      <c r="AM30" t="s">
        <v>114</v>
      </c>
      <c r="AN30" s="77" t="s">
        <v>122</v>
      </c>
      <c r="AO30" s="104" t="s">
        <v>123</v>
      </c>
      <c r="AP30" s="4">
        <v>9</v>
      </c>
      <c r="AQ30">
        <v>1</v>
      </c>
      <c r="AR30" t="s">
        <v>127</v>
      </c>
      <c r="AS30" s="4" t="s">
        <v>116</v>
      </c>
      <c r="AT30" s="80" t="s">
        <v>88</v>
      </c>
      <c r="AU30" s="104" t="s">
        <v>124</v>
      </c>
      <c r="AV30" s="4">
        <v>15</v>
      </c>
      <c r="AW30">
        <v>1</v>
      </c>
    </row>
    <row r="31" spans="1:49" ht="17" thickBot="1" x14ac:dyDescent="0.25">
      <c r="A31" s="65" t="s">
        <v>50</v>
      </c>
      <c r="B31" s="86" t="s">
        <v>69</v>
      </c>
      <c r="C31" s="9">
        <v>2</v>
      </c>
      <c r="D31" s="6">
        <v>0.22222222222222221</v>
      </c>
      <c r="K31" t="s">
        <v>95</v>
      </c>
      <c r="P31" s="65" t="s">
        <v>50</v>
      </c>
      <c r="Y31" s="65"/>
      <c r="Z31" s="72"/>
      <c r="AL31" s="66" t="s">
        <v>31</v>
      </c>
      <c r="AM31" t="s">
        <v>111</v>
      </c>
      <c r="AN31" s="86" t="s">
        <v>69</v>
      </c>
      <c r="AO31" s="104" t="s">
        <v>120</v>
      </c>
      <c r="AP31" s="9">
        <v>9</v>
      </c>
      <c r="AQ31">
        <v>1</v>
      </c>
      <c r="AR31" t="s">
        <v>126</v>
      </c>
      <c r="AS31" t="s">
        <v>113</v>
      </c>
      <c r="AT31" s="86" t="s">
        <v>88</v>
      </c>
      <c r="AU31" s="104" t="s">
        <v>124</v>
      </c>
      <c r="AV31" s="9">
        <v>8</v>
      </c>
      <c r="AW31">
        <v>0.53333333333333333</v>
      </c>
    </row>
    <row r="32" spans="1:49" ht="17" thickBot="1" x14ac:dyDescent="0.25">
      <c r="A32" s="65" t="s">
        <v>65</v>
      </c>
      <c r="B32" s="77" t="s">
        <v>68</v>
      </c>
      <c r="C32" s="9">
        <v>1</v>
      </c>
      <c r="D32" s="6">
        <v>0.1111111111111111</v>
      </c>
      <c r="K32" t="s">
        <v>96</v>
      </c>
      <c r="P32" s="65" t="s">
        <v>65</v>
      </c>
      <c r="Q32" s="77" t="s">
        <v>68</v>
      </c>
      <c r="R32" s="9">
        <v>1</v>
      </c>
      <c r="S32" s="6">
        <v>0.1111111111111111</v>
      </c>
      <c r="T32" s="86" t="s">
        <v>69</v>
      </c>
      <c r="U32" s="9">
        <v>0</v>
      </c>
      <c r="V32" s="6">
        <v>0</v>
      </c>
      <c r="Y32" s="65" t="s">
        <v>65</v>
      </c>
      <c r="Z32" t="s">
        <v>115</v>
      </c>
      <c r="AA32" s="77" t="s">
        <v>68</v>
      </c>
      <c r="AB32" s="9">
        <v>1</v>
      </c>
      <c r="AC32" s="6">
        <v>0.1111111111111111</v>
      </c>
      <c r="AD32" t="s">
        <v>113</v>
      </c>
      <c r="AE32" s="86" t="s">
        <v>69</v>
      </c>
      <c r="AF32" s="9">
        <v>0</v>
      </c>
      <c r="AG32" s="6">
        <v>0</v>
      </c>
      <c r="AL32" s="65" t="s">
        <v>41</v>
      </c>
      <c r="AM32" s="102" t="s">
        <v>115</v>
      </c>
      <c r="AN32" s="86" t="s">
        <v>88</v>
      </c>
      <c r="AO32" s="104" t="s">
        <v>121</v>
      </c>
      <c r="AP32" s="9">
        <v>11</v>
      </c>
      <c r="AQ32">
        <v>0.73333333333333328</v>
      </c>
      <c r="AR32" t="s">
        <v>126</v>
      </c>
      <c r="AS32" t="s">
        <v>113</v>
      </c>
      <c r="AT32" s="80" t="s">
        <v>69</v>
      </c>
      <c r="AU32" s="104" t="s">
        <v>120</v>
      </c>
      <c r="AV32" s="4">
        <v>3</v>
      </c>
      <c r="AW32">
        <v>0.33333333333333331</v>
      </c>
    </row>
    <row r="33" spans="1:49" ht="17" thickBot="1" x14ac:dyDescent="0.25">
      <c r="A33" s="65" t="s">
        <v>65</v>
      </c>
      <c r="B33" s="86" t="s">
        <v>88</v>
      </c>
      <c r="C33" s="9">
        <v>1</v>
      </c>
      <c r="D33" s="6">
        <v>6.6666666666666666E-2</v>
      </c>
      <c r="P33" s="65" t="s">
        <v>65</v>
      </c>
      <c r="Q33" s="86" t="s">
        <v>88</v>
      </c>
      <c r="R33" s="9">
        <v>1</v>
      </c>
      <c r="S33" s="6">
        <v>6.6666666666666666E-2</v>
      </c>
      <c r="Y33" s="65"/>
      <c r="Z33" s="75"/>
      <c r="AA33" s="86"/>
      <c r="AB33" s="9"/>
      <c r="AC33" s="6"/>
      <c r="AD33" s="4"/>
      <c r="AL33" s="68" t="s">
        <v>47</v>
      </c>
      <c r="AM33" t="s">
        <v>115</v>
      </c>
      <c r="AN33" s="80" t="s">
        <v>88</v>
      </c>
      <c r="AO33" s="104" t="s">
        <v>121</v>
      </c>
      <c r="AP33" s="4">
        <v>10</v>
      </c>
      <c r="AQ33">
        <v>0.66666666666666663</v>
      </c>
      <c r="AR33" t="s">
        <v>126</v>
      </c>
      <c r="AS33" t="s">
        <v>113</v>
      </c>
      <c r="AT33" s="80" t="s">
        <v>69</v>
      </c>
      <c r="AU33" s="104" t="s">
        <v>120</v>
      </c>
      <c r="AV33" s="4">
        <v>3</v>
      </c>
      <c r="AW33">
        <v>0.33333333333333331</v>
      </c>
    </row>
    <row r="34" spans="1:49" ht="17" thickBot="1" x14ac:dyDescent="0.25">
      <c r="A34" s="65" t="s">
        <v>65</v>
      </c>
      <c r="B34" s="86" t="s">
        <v>69</v>
      </c>
      <c r="C34" s="9">
        <v>0</v>
      </c>
      <c r="D34" s="6">
        <v>0</v>
      </c>
      <c r="P34" s="65" t="s">
        <v>65</v>
      </c>
      <c r="Y34" s="65"/>
      <c r="Z34" s="72"/>
      <c r="AL34" s="65" t="s">
        <v>30</v>
      </c>
      <c r="AM34" t="s">
        <v>112</v>
      </c>
      <c r="AN34" s="86" t="s">
        <v>69</v>
      </c>
      <c r="AO34" s="104" t="s">
        <v>120</v>
      </c>
      <c r="AP34" s="9">
        <v>8</v>
      </c>
      <c r="AQ34">
        <v>0.88888888888888884</v>
      </c>
      <c r="AR34" t="s">
        <v>126</v>
      </c>
      <c r="AS34" t="s">
        <v>113</v>
      </c>
      <c r="AT34" s="87" t="s">
        <v>118</v>
      </c>
      <c r="AU34" s="104" t="s">
        <v>119</v>
      </c>
      <c r="AV34" s="9">
        <v>5</v>
      </c>
      <c r="AW34">
        <v>0.55555555555555558</v>
      </c>
    </row>
    <row r="35" spans="1:49" ht="17" thickBot="1" x14ac:dyDescent="0.25">
      <c r="A35" s="66" t="s">
        <v>54</v>
      </c>
      <c r="B35" s="77" t="s">
        <v>68</v>
      </c>
      <c r="C35" s="9">
        <v>5</v>
      </c>
      <c r="D35" s="6">
        <v>0.55555555555555558</v>
      </c>
      <c r="P35" s="66" t="s">
        <v>54</v>
      </c>
      <c r="Q35" s="77" t="s">
        <v>68</v>
      </c>
      <c r="R35" s="9">
        <v>5</v>
      </c>
      <c r="S35" s="6">
        <v>0.55555555555555558</v>
      </c>
      <c r="T35" s="86" t="s">
        <v>88</v>
      </c>
      <c r="U35" s="9">
        <v>2</v>
      </c>
      <c r="V35" s="6">
        <v>0.13333333333333333</v>
      </c>
      <c r="Y35" s="66" t="s">
        <v>54</v>
      </c>
      <c r="Z35" t="s">
        <v>115</v>
      </c>
      <c r="AA35" s="77" t="s">
        <v>68</v>
      </c>
      <c r="AB35" s="9">
        <v>5</v>
      </c>
      <c r="AC35" s="6">
        <v>0.55555555555555558</v>
      </c>
      <c r="AD35" t="s">
        <v>113</v>
      </c>
      <c r="AE35" s="86" t="s">
        <v>88</v>
      </c>
      <c r="AF35" s="9">
        <v>2</v>
      </c>
      <c r="AG35" s="6">
        <v>0.13333333333333333</v>
      </c>
      <c r="AL35" s="66" t="s">
        <v>49</v>
      </c>
      <c r="AM35" s="102" t="s">
        <v>115</v>
      </c>
      <c r="AN35" s="86" t="s">
        <v>88</v>
      </c>
      <c r="AO35" s="104" t="s">
        <v>121</v>
      </c>
      <c r="AP35" s="9">
        <v>10</v>
      </c>
      <c r="AQ35">
        <v>0.66666666666666663</v>
      </c>
      <c r="AR35" t="s">
        <v>126</v>
      </c>
      <c r="AS35" t="s">
        <v>113</v>
      </c>
      <c r="AT35" s="80" t="s">
        <v>69</v>
      </c>
      <c r="AU35" s="104" t="s">
        <v>120</v>
      </c>
      <c r="AV35" s="4">
        <v>2</v>
      </c>
      <c r="AW35">
        <v>0.22222222222222221</v>
      </c>
    </row>
    <row r="36" spans="1:49" ht="17" thickBot="1" x14ac:dyDescent="0.25">
      <c r="A36" s="66" t="s">
        <v>54</v>
      </c>
      <c r="B36" s="86" t="s">
        <v>69</v>
      </c>
      <c r="C36" s="9">
        <v>4</v>
      </c>
      <c r="D36" s="6">
        <v>0.44444444444444442</v>
      </c>
      <c r="P36" s="66" t="s">
        <v>54</v>
      </c>
      <c r="Q36" s="86" t="s">
        <v>69</v>
      </c>
      <c r="R36" s="9">
        <v>4</v>
      </c>
      <c r="S36" s="6">
        <v>0.44444444444444442</v>
      </c>
      <c r="Y36" s="66"/>
      <c r="Z36" s="95"/>
      <c r="AA36" s="86"/>
      <c r="AB36" s="9"/>
      <c r="AC36" s="6"/>
      <c r="AD36" s="4"/>
      <c r="AK36" s="93"/>
      <c r="AL36" s="66" t="s">
        <v>42</v>
      </c>
      <c r="AM36" t="s">
        <v>115</v>
      </c>
      <c r="AN36" s="80" t="s">
        <v>69</v>
      </c>
      <c r="AO36" s="104" t="s">
        <v>120</v>
      </c>
      <c r="AP36" s="4">
        <v>6</v>
      </c>
      <c r="AQ36">
        <v>0.66666666666666663</v>
      </c>
      <c r="AR36" t="s">
        <v>126</v>
      </c>
      <c r="AS36" t="s">
        <v>113</v>
      </c>
      <c r="AT36" s="87" t="s">
        <v>118</v>
      </c>
      <c r="AU36" s="104" t="s">
        <v>119</v>
      </c>
      <c r="AV36" s="4">
        <v>3</v>
      </c>
      <c r="AW36">
        <v>0.33333333333333331</v>
      </c>
    </row>
    <row r="37" spans="1:49" ht="17" thickBot="1" x14ac:dyDescent="0.25">
      <c r="A37" s="66" t="s">
        <v>54</v>
      </c>
      <c r="B37" s="86" t="s">
        <v>88</v>
      </c>
      <c r="C37" s="9">
        <v>2</v>
      </c>
      <c r="D37" s="6">
        <v>0.13333333333333333</v>
      </c>
      <c r="P37" s="66" t="s">
        <v>54</v>
      </c>
      <c r="Y37" s="66"/>
      <c r="Z37" s="5"/>
      <c r="AL37" s="66" t="s">
        <v>56</v>
      </c>
      <c r="AM37" t="s">
        <v>115</v>
      </c>
      <c r="AN37" s="86" t="s">
        <v>88</v>
      </c>
      <c r="AO37" s="104" t="s">
        <v>121</v>
      </c>
      <c r="AP37" s="9">
        <v>7</v>
      </c>
      <c r="AQ37">
        <v>0.46666666666666667</v>
      </c>
      <c r="AR37" t="s">
        <v>126</v>
      </c>
      <c r="AS37" t="s">
        <v>113</v>
      </c>
      <c r="AT37" s="86" t="s">
        <v>69</v>
      </c>
      <c r="AU37" s="104" t="s">
        <v>120</v>
      </c>
      <c r="AV37" s="9">
        <v>1</v>
      </c>
      <c r="AW37">
        <v>0.1111111111111111</v>
      </c>
    </row>
    <row r="38" spans="1:49" ht="17" thickBot="1" x14ac:dyDescent="0.25">
      <c r="A38" s="66" t="s">
        <v>32</v>
      </c>
      <c r="B38" s="77" t="s">
        <v>68</v>
      </c>
      <c r="C38" s="9">
        <v>8</v>
      </c>
      <c r="D38" s="6">
        <v>0.88888888888888884</v>
      </c>
      <c r="P38" s="66" t="s">
        <v>32</v>
      </c>
      <c r="Q38" s="77" t="s">
        <v>68</v>
      </c>
      <c r="R38" s="9">
        <v>8</v>
      </c>
      <c r="S38" s="6">
        <v>0.88888888888888884</v>
      </c>
      <c r="T38" s="86" t="s">
        <v>69</v>
      </c>
      <c r="U38" s="9">
        <v>5</v>
      </c>
      <c r="V38" s="6">
        <v>0.55555555555555558</v>
      </c>
      <c r="Y38" s="66" t="s">
        <v>32</v>
      </c>
      <c r="Z38" t="s">
        <v>112</v>
      </c>
      <c r="AA38" s="77" t="s">
        <v>68</v>
      </c>
      <c r="AB38" s="9">
        <v>8</v>
      </c>
      <c r="AC38" s="6">
        <v>0.88888888888888884</v>
      </c>
      <c r="AD38" t="s">
        <v>113</v>
      </c>
      <c r="AE38" s="86" t="s">
        <v>69</v>
      </c>
      <c r="AF38" s="9">
        <v>5</v>
      </c>
      <c r="AG38" s="6">
        <v>0.55555555555555558</v>
      </c>
      <c r="AL38" s="66" t="s">
        <v>60</v>
      </c>
      <c r="AM38" s="102" t="s">
        <v>115</v>
      </c>
      <c r="AN38" s="86" t="s">
        <v>69</v>
      </c>
      <c r="AO38" s="104" t="s">
        <v>120</v>
      </c>
      <c r="AP38" s="9">
        <v>5</v>
      </c>
      <c r="AQ38">
        <v>0.55555555555555558</v>
      </c>
      <c r="AR38" t="s">
        <v>126</v>
      </c>
      <c r="AS38" t="s">
        <v>113</v>
      </c>
      <c r="AT38" s="80" t="s">
        <v>88</v>
      </c>
      <c r="AU38" s="104" t="s">
        <v>124</v>
      </c>
      <c r="AV38" s="4">
        <v>1</v>
      </c>
      <c r="AW38">
        <v>6.6666666666666666E-2</v>
      </c>
    </row>
    <row r="39" spans="1:49" ht="17" thickBot="1" x14ac:dyDescent="0.25">
      <c r="A39" s="66" t="s">
        <v>32</v>
      </c>
      <c r="B39" s="86" t="s">
        <v>88</v>
      </c>
      <c r="C39" s="9">
        <v>10</v>
      </c>
      <c r="D39" s="6">
        <v>0.66666666666666663</v>
      </c>
      <c r="P39" s="66" t="s">
        <v>32</v>
      </c>
      <c r="Q39" s="86" t="s">
        <v>88</v>
      </c>
      <c r="R39" s="9">
        <v>10</v>
      </c>
      <c r="S39" s="6">
        <v>0.66666666666666663</v>
      </c>
      <c r="Y39" s="66"/>
      <c r="Z39" s="95"/>
      <c r="AA39" s="86"/>
      <c r="AB39" s="9"/>
      <c r="AC39" s="6"/>
      <c r="AD39" s="4"/>
      <c r="AL39" s="66" t="s">
        <v>64</v>
      </c>
      <c r="AM39" t="s">
        <v>115</v>
      </c>
      <c r="AN39" s="80" t="s">
        <v>69</v>
      </c>
      <c r="AO39" s="104" t="s">
        <v>120</v>
      </c>
      <c r="AP39" s="4">
        <v>4</v>
      </c>
      <c r="AQ39">
        <v>0.44444444444444442</v>
      </c>
      <c r="AR39" t="s">
        <v>126</v>
      </c>
      <c r="AS39" t="s">
        <v>113</v>
      </c>
      <c r="AT39" s="80" t="s">
        <v>88</v>
      </c>
      <c r="AU39" s="104" t="s">
        <v>124</v>
      </c>
      <c r="AV39" s="4">
        <v>0</v>
      </c>
      <c r="AW39">
        <v>0</v>
      </c>
    </row>
    <row r="40" spans="1:49" ht="17" thickBot="1" x14ac:dyDescent="0.25">
      <c r="A40" s="66" t="s">
        <v>32</v>
      </c>
      <c r="B40" s="86" t="s">
        <v>69</v>
      </c>
      <c r="C40" s="9">
        <v>5</v>
      </c>
      <c r="D40" s="6">
        <v>0.55555555555555558</v>
      </c>
      <c r="P40" s="66" t="s">
        <v>32</v>
      </c>
      <c r="Y40" s="66"/>
      <c r="Z40" s="5"/>
      <c r="AK40" s="90"/>
      <c r="AL40" s="65" t="s">
        <v>36</v>
      </c>
      <c r="AM40" t="s">
        <v>115</v>
      </c>
      <c r="AN40" s="86" t="s">
        <v>88</v>
      </c>
      <c r="AO40" s="104" t="s">
        <v>121</v>
      </c>
      <c r="AP40" s="9">
        <v>12</v>
      </c>
      <c r="AQ40">
        <v>0.8</v>
      </c>
      <c r="AR40" t="s">
        <v>126</v>
      </c>
      <c r="AS40" t="s">
        <v>113</v>
      </c>
      <c r="AT40" s="86" t="s">
        <v>69</v>
      </c>
      <c r="AU40" s="104" t="s">
        <v>120</v>
      </c>
      <c r="AV40" s="9">
        <v>5</v>
      </c>
      <c r="AW40">
        <v>0.55555555555555558</v>
      </c>
    </row>
    <row r="41" spans="1:49" ht="17" thickBot="1" x14ac:dyDescent="0.25">
      <c r="A41" s="65" t="s">
        <v>15</v>
      </c>
      <c r="B41" s="77" t="s">
        <v>68</v>
      </c>
      <c r="C41" s="9">
        <v>9</v>
      </c>
      <c r="D41" s="6">
        <v>1</v>
      </c>
      <c r="P41" s="65" t="s">
        <v>15</v>
      </c>
      <c r="Q41" s="77" t="s">
        <v>68</v>
      </c>
      <c r="R41" s="9">
        <v>9</v>
      </c>
      <c r="S41" s="6">
        <v>1</v>
      </c>
      <c r="T41" s="86" t="s">
        <v>88</v>
      </c>
      <c r="U41" s="9">
        <v>15</v>
      </c>
      <c r="V41" s="6">
        <v>1</v>
      </c>
      <c r="X41" s="92"/>
      <c r="Y41" s="65" t="s">
        <v>15</v>
      </c>
      <c r="Z41" t="s">
        <v>114</v>
      </c>
      <c r="AA41" s="77" t="s">
        <v>68</v>
      </c>
      <c r="AB41" s="9">
        <v>9</v>
      </c>
      <c r="AC41" s="6">
        <v>1</v>
      </c>
      <c r="AD41" s="94"/>
      <c r="AE41" s="86" t="s">
        <v>88</v>
      </c>
      <c r="AF41" s="9">
        <v>15</v>
      </c>
      <c r="AG41" s="6">
        <v>1</v>
      </c>
      <c r="AL41" s="66" t="s">
        <v>52</v>
      </c>
      <c r="AM41" s="102" t="s">
        <v>115</v>
      </c>
      <c r="AN41" s="77" t="s">
        <v>118</v>
      </c>
      <c r="AO41" s="104" t="s">
        <v>119</v>
      </c>
      <c r="AP41" s="9">
        <v>7</v>
      </c>
      <c r="AQ41">
        <v>0.77777777777777779</v>
      </c>
      <c r="AR41" t="s">
        <v>126</v>
      </c>
      <c r="AS41" t="s">
        <v>113</v>
      </c>
      <c r="AT41" s="80" t="s">
        <v>69</v>
      </c>
      <c r="AU41" s="104" t="s">
        <v>120</v>
      </c>
      <c r="AV41" s="4">
        <v>1</v>
      </c>
      <c r="AW41">
        <v>0.1111111111111111</v>
      </c>
    </row>
    <row r="42" spans="1:49" ht="17" thickBot="1" x14ac:dyDescent="0.25">
      <c r="A42" s="65" t="s">
        <v>15</v>
      </c>
      <c r="B42" s="86" t="s">
        <v>69</v>
      </c>
      <c r="C42" s="9">
        <v>9</v>
      </c>
      <c r="D42" s="6">
        <v>1</v>
      </c>
      <c r="P42" s="65" t="s">
        <v>15</v>
      </c>
      <c r="Q42" s="86" t="s">
        <v>69</v>
      </c>
      <c r="R42" s="9">
        <v>9</v>
      </c>
      <c r="S42" s="6">
        <v>1</v>
      </c>
      <c r="X42" s="92"/>
      <c r="Y42" s="65" t="s">
        <v>15</v>
      </c>
      <c r="Z42" s="75"/>
      <c r="AA42" s="86" t="s">
        <v>69</v>
      </c>
      <c r="AB42" s="9">
        <v>9</v>
      </c>
      <c r="AC42" s="6">
        <v>1</v>
      </c>
      <c r="AD42" s="4"/>
      <c r="AL42" s="65" t="s">
        <v>43</v>
      </c>
      <c r="AM42" t="s">
        <v>115</v>
      </c>
      <c r="AN42" s="80" t="s">
        <v>88</v>
      </c>
      <c r="AO42" s="104" t="s">
        <v>121</v>
      </c>
      <c r="AP42" s="4">
        <v>11</v>
      </c>
      <c r="AQ42">
        <v>0.73333333333333328</v>
      </c>
      <c r="AR42" t="s">
        <v>126</v>
      </c>
      <c r="AS42" t="s">
        <v>113</v>
      </c>
      <c r="AT42" s="80" t="s">
        <v>69</v>
      </c>
      <c r="AU42" s="104" t="s">
        <v>120</v>
      </c>
      <c r="AV42" s="4">
        <v>2</v>
      </c>
      <c r="AW42">
        <v>0.22222222222222221</v>
      </c>
    </row>
    <row r="43" spans="1:49" ht="17" thickBot="1" x14ac:dyDescent="0.25">
      <c r="A43" s="65" t="s">
        <v>15</v>
      </c>
      <c r="B43" s="86" t="s">
        <v>88</v>
      </c>
      <c r="C43" s="9">
        <v>15</v>
      </c>
      <c r="D43" s="6">
        <v>1</v>
      </c>
      <c r="P43" s="65" t="s">
        <v>15</v>
      </c>
      <c r="Y43" s="65"/>
      <c r="Z43" s="72"/>
      <c r="AL43" s="33" t="s">
        <v>37</v>
      </c>
      <c r="AM43" t="s">
        <v>112</v>
      </c>
      <c r="AN43" s="86" t="s">
        <v>69</v>
      </c>
      <c r="AO43" s="104" t="s">
        <v>120</v>
      </c>
      <c r="AP43" s="9">
        <v>8</v>
      </c>
      <c r="AQ43">
        <v>0.88888888888888884</v>
      </c>
      <c r="AR43" t="s">
        <v>126</v>
      </c>
      <c r="AS43" t="s">
        <v>113</v>
      </c>
      <c r="AT43" s="86" t="s">
        <v>88</v>
      </c>
      <c r="AU43" s="104" t="s">
        <v>124</v>
      </c>
      <c r="AV43" s="9">
        <v>6</v>
      </c>
      <c r="AW43">
        <v>0.4</v>
      </c>
    </row>
    <row r="44" spans="1:49" ht="17" thickBot="1" x14ac:dyDescent="0.25">
      <c r="A44" s="33" t="s">
        <v>25</v>
      </c>
      <c r="B44" s="77" t="s">
        <v>68</v>
      </c>
      <c r="C44" s="9">
        <v>8</v>
      </c>
      <c r="D44" s="6">
        <v>0.88888888888888884</v>
      </c>
      <c r="P44" s="33" t="s">
        <v>25</v>
      </c>
      <c r="Q44" s="77" t="s">
        <v>68</v>
      </c>
      <c r="R44" s="9">
        <v>8</v>
      </c>
      <c r="S44" s="6">
        <v>0.88888888888888884</v>
      </c>
      <c r="T44" s="86" t="s">
        <v>88</v>
      </c>
      <c r="U44" s="9">
        <v>11</v>
      </c>
      <c r="V44" s="6">
        <v>0.73333333333333328</v>
      </c>
      <c r="Y44" s="33" t="s">
        <v>25</v>
      </c>
      <c r="Z44" t="s">
        <v>112</v>
      </c>
      <c r="AA44" s="77" t="s">
        <v>68</v>
      </c>
      <c r="AB44" s="9">
        <v>8</v>
      </c>
      <c r="AC44" s="6">
        <v>0.88888888888888884</v>
      </c>
      <c r="AD44" t="s">
        <v>113</v>
      </c>
      <c r="AE44" s="86" t="s">
        <v>88</v>
      </c>
      <c r="AF44" s="9">
        <v>11</v>
      </c>
      <c r="AG44" s="6">
        <v>0.73333333333333328</v>
      </c>
      <c r="AL44" s="65" t="s">
        <v>61</v>
      </c>
      <c r="AM44" s="102" t="s">
        <v>115</v>
      </c>
      <c r="AN44" s="77" t="s">
        <v>118</v>
      </c>
      <c r="AO44" s="104" t="s">
        <v>119</v>
      </c>
      <c r="AP44" s="9">
        <v>6</v>
      </c>
      <c r="AQ44">
        <v>0.66666666666666663</v>
      </c>
      <c r="AR44" t="s">
        <v>126</v>
      </c>
      <c r="AS44" t="s">
        <v>113</v>
      </c>
      <c r="AT44" s="80" t="s">
        <v>88</v>
      </c>
      <c r="AU44" s="104" t="s">
        <v>124</v>
      </c>
      <c r="AV44" s="4">
        <v>1</v>
      </c>
      <c r="AW44">
        <v>6.6666666666666666E-2</v>
      </c>
    </row>
    <row r="45" spans="1:49" ht="17" thickBot="1" x14ac:dyDescent="0.25">
      <c r="A45" s="66" t="s">
        <v>25</v>
      </c>
      <c r="B45" s="86" t="s">
        <v>69</v>
      </c>
      <c r="C45" s="9">
        <v>7</v>
      </c>
      <c r="D45" s="6">
        <v>0.77777777777777779</v>
      </c>
      <c r="P45" s="66" t="s">
        <v>25</v>
      </c>
      <c r="Q45" s="86" t="s">
        <v>69</v>
      </c>
      <c r="R45" s="9">
        <v>7</v>
      </c>
      <c r="S45" s="6">
        <v>0.77777777777777779</v>
      </c>
      <c r="Y45" s="66"/>
      <c r="Z45" s="95"/>
      <c r="AA45" s="86"/>
      <c r="AB45" s="9"/>
      <c r="AC45" s="6"/>
      <c r="AD45" s="4"/>
      <c r="AL45" s="68" t="s">
        <v>34</v>
      </c>
      <c r="AM45" t="s">
        <v>111</v>
      </c>
      <c r="AN45" s="80" t="s">
        <v>69</v>
      </c>
      <c r="AO45" s="104" t="s">
        <v>120</v>
      </c>
      <c r="AP45" s="4">
        <v>9</v>
      </c>
      <c r="AQ45">
        <v>1</v>
      </c>
      <c r="AR45" t="s">
        <v>126</v>
      </c>
      <c r="AS45" t="s">
        <v>113</v>
      </c>
      <c r="AT45" s="87" t="s">
        <v>118</v>
      </c>
      <c r="AU45" s="104" t="s">
        <v>119</v>
      </c>
      <c r="AV45" s="4">
        <v>6</v>
      </c>
      <c r="AW45">
        <v>0.66666666666666663</v>
      </c>
    </row>
    <row r="46" spans="1:49" ht="17" thickBot="1" x14ac:dyDescent="0.25">
      <c r="A46" s="66" t="s">
        <v>25</v>
      </c>
      <c r="B46" s="86" t="s">
        <v>88</v>
      </c>
      <c r="C46" s="9">
        <v>11</v>
      </c>
      <c r="D46" s="6">
        <v>0.73333333333333328</v>
      </c>
      <c r="P46" s="66" t="s">
        <v>25</v>
      </c>
      <c r="Y46" s="66"/>
      <c r="Z46" s="5"/>
      <c r="AL46" s="33" t="s">
        <v>44</v>
      </c>
      <c r="AM46" t="s">
        <v>115</v>
      </c>
      <c r="AN46" s="77" t="s">
        <v>118</v>
      </c>
      <c r="AO46" s="104" t="s">
        <v>119</v>
      </c>
      <c r="AP46" s="9">
        <v>7</v>
      </c>
      <c r="AQ46">
        <v>0.77777777777777779</v>
      </c>
      <c r="AR46" t="s">
        <v>126</v>
      </c>
      <c r="AS46" t="s">
        <v>113</v>
      </c>
      <c r="AT46" s="86" t="s">
        <v>88</v>
      </c>
      <c r="AU46" s="104" t="s">
        <v>124</v>
      </c>
      <c r="AV46" s="9">
        <v>7</v>
      </c>
      <c r="AW46">
        <v>0.46666666666666667</v>
      </c>
    </row>
    <row r="47" spans="1:49" ht="17" thickBot="1" x14ac:dyDescent="0.25">
      <c r="A47" s="71" t="s">
        <v>28</v>
      </c>
      <c r="B47" s="86" t="s">
        <v>88</v>
      </c>
      <c r="C47" s="9">
        <v>14</v>
      </c>
      <c r="D47" s="6">
        <v>0.93333333333333335</v>
      </c>
      <c r="P47" s="71" t="s">
        <v>28</v>
      </c>
      <c r="Q47" s="86" t="s">
        <v>88</v>
      </c>
      <c r="R47" s="9">
        <v>14</v>
      </c>
      <c r="S47" s="6">
        <v>0.93333333333333335</v>
      </c>
      <c r="T47" s="77" t="s">
        <v>68</v>
      </c>
      <c r="U47" s="9">
        <v>5</v>
      </c>
      <c r="V47" s="6">
        <v>0.55555555555555558</v>
      </c>
      <c r="Y47" s="71" t="s">
        <v>28</v>
      </c>
      <c r="Z47" t="s">
        <v>112</v>
      </c>
      <c r="AA47" s="86" t="s">
        <v>88</v>
      </c>
      <c r="AB47" s="9">
        <v>14</v>
      </c>
      <c r="AC47" s="6">
        <v>0.93333333333333335</v>
      </c>
      <c r="AD47" t="s">
        <v>113</v>
      </c>
      <c r="AE47" s="77" t="s">
        <v>68</v>
      </c>
      <c r="AF47" s="9">
        <v>5</v>
      </c>
      <c r="AG47" s="6">
        <v>0.55555555555555558</v>
      </c>
      <c r="AL47" s="65" t="s">
        <v>63</v>
      </c>
      <c r="AM47" s="102" t="s">
        <v>115</v>
      </c>
      <c r="AN47" s="77" t="s">
        <v>118</v>
      </c>
      <c r="AO47" s="104" t="s">
        <v>119</v>
      </c>
      <c r="AP47" s="9">
        <v>5</v>
      </c>
      <c r="AQ47">
        <v>0.55555555555555558</v>
      </c>
      <c r="AR47" t="s">
        <v>126</v>
      </c>
      <c r="AS47" t="s">
        <v>113</v>
      </c>
      <c r="AT47" s="80" t="s">
        <v>88</v>
      </c>
      <c r="AU47" s="104" t="s">
        <v>124</v>
      </c>
      <c r="AV47" s="4">
        <v>0</v>
      </c>
      <c r="AW47">
        <v>0</v>
      </c>
    </row>
    <row r="48" spans="1:49" ht="17" thickBot="1" x14ac:dyDescent="0.25">
      <c r="A48" s="65" t="s">
        <v>28</v>
      </c>
      <c r="B48" s="86" t="s">
        <v>69</v>
      </c>
      <c r="C48" s="9">
        <v>6</v>
      </c>
      <c r="D48" s="6">
        <v>0.66666666666666663</v>
      </c>
      <c r="P48" s="65" t="s">
        <v>28</v>
      </c>
      <c r="Q48" s="86" t="s">
        <v>69</v>
      </c>
      <c r="R48" s="9">
        <v>6</v>
      </c>
      <c r="S48" s="6">
        <v>0.66666666666666663</v>
      </c>
      <c r="Y48" s="65"/>
      <c r="Z48" s="75"/>
      <c r="AA48" s="86"/>
      <c r="AB48" s="9"/>
      <c r="AC48" s="6"/>
      <c r="AD48" s="4"/>
      <c r="AL48" s="65" t="s">
        <v>38</v>
      </c>
      <c r="AM48" t="s">
        <v>115</v>
      </c>
      <c r="AN48" s="80" t="s">
        <v>88</v>
      </c>
      <c r="AO48" s="104" t="s">
        <v>121</v>
      </c>
      <c r="AP48" s="4">
        <v>11</v>
      </c>
      <c r="AQ48">
        <v>0.73333333333333328</v>
      </c>
      <c r="AR48" t="s">
        <v>126</v>
      </c>
      <c r="AS48" t="s">
        <v>113</v>
      </c>
      <c r="AT48" s="87" t="s">
        <v>118</v>
      </c>
      <c r="AU48" s="104" t="s">
        <v>119</v>
      </c>
      <c r="AV48" s="4">
        <v>4</v>
      </c>
      <c r="AW48">
        <v>0.44444444444444442</v>
      </c>
    </row>
    <row r="49" spans="1:49" ht="17" thickBot="1" x14ac:dyDescent="0.25">
      <c r="A49" s="65" t="s">
        <v>28</v>
      </c>
      <c r="B49" s="77" t="s">
        <v>68</v>
      </c>
      <c r="C49" s="9">
        <v>5</v>
      </c>
      <c r="D49" s="6">
        <v>0.55555555555555558</v>
      </c>
      <c r="P49" s="65" t="s">
        <v>28</v>
      </c>
      <c r="Y49" s="65"/>
      <c r="Z49" s="72"/>
      <c r="AK49" s="92"/>
      <c r="AL49" s="65" t="s">
        <v>17</v>
      </c>
      <c r="AM49" t="s">
        <v>114</v>
      </c>
      <c r="AN49" s="77" t="s">
        <v>122</v>
      </c>
      <c r="AO49" s="104" t="s">
        <v>123</v>
      </c>
      <c r="AP49" s="9">
        <v>9</v>
      </c>
      <c r="AQ49">
        <v>1</v>
      </c>
      <c r="AR49" t="s">
        <v>127</v>
      </c>
      <c r="AS49" s="4" t="s">
        <v>116</v>
      </c>
      <c r="AT49" s="86" t="s">
        <v>88</v>
      </c>
      <c r="AU49" s="104" t="s">
        <v>124</v>
      </c>
      <c r="AV49" s="9">
        <v>15</v>
      </c>
      <c r="AW49">
        <v>1</v>
      </c>
    </row>
    <row r="50" spans="1:49" ht="17" thickBot="1" x14ac:dyDescent="0.25">
      <c r="A50" s="65" t="s">
        <v>55</v>
      </c>
      <c r="B50" s="77" t="s">
        <v>68</v>
      </c>
      <c r="C50" s="9">
        <v>5</v>
      </c>
      <c r="D50" s="6">
        <v>0.55555555555555558</v>
      </c>
      <c r="P50" s="65" t="s">
        <v>55</v>
      </c>
      <c r="Q50" s="77" t="s">
        <v>68</v>
      </c>
      <c r="R50" s="9">
        <v>5</v>
      </c>
      <c r="S50" s="6">
        <v>0.55555555555555558</v>
      </c>
      <c r="T50" s="86" t="s">
        <v>88</v>
      </c>
      <c r="U50" s="9">
        <v>3</v>
      </c>
      <c r="V50" s="6">
        <v>0.2</v>
      </c>
      <c r="Y50" s="65" t="s">
        <v>55</v>
      </c>
      <c r="Z50" t="s">
        <v>115</v>
      </c>
      <c r="AA50" s="77" t="s">
        <v>68</v>
      </c>
      <c r="AB50" s="9">
        <v>5</v>
      </c>
      <c r="AC50" s="6">
        <v>0.55555555555555558</v>
      </c>
      <c r="AD50" t="s">
        <v>113</v>
      </c>
      <c r="AE50" s="86" t="s">
        <v>88</v>
      </c>
      <c r="AF50" s="9">
        <v>3</v>
      </c>
      <c r="AG50" s="6">
        <v>0.2</v>
      </c>
      <c r="AL50" s="33" t="s">
        <v>27</v>
      </c>
      <c r="AM50" s="103" t="s">
        <v>111</v>
      </c>
      <c r="AN50" s="77" t="s">
        <v>118</v>
      </c>
      <c r="AO50" s="104" t="s">
        <v>119</v>
      </c>
      <c r="AP50" s="9">
        <v>9</v>
      </c>
      <c r="AQ50">
        <v>1</v>
      </c>
      <c r="AR50" t="s">
        <v>126</v>
      </c>
      <c r="AS50" t="s">
        <v>113</v>
      </c>
      <c r="AT50" s="80" t="s">
        <v>88</v>
      </c>
      <c r="AU50" s="104" t="s">
        <v>124</v>
      </c>
      <c r="AV50" s="4">
        <v>10</v>
      </c>
      <c r="AW50">
        <v>0.66666666666666663</v>
      </c>
    </row>
    <row r="51" spans="1:49" ht="17" thickBot="1" x14ac:dyDescent="0.25">
      <c r="A51" s="71" t="s">
        <v>55</v>
      </c>
      <c r="B51" s="86" t="s">
        <v>69</v>
      </c>
      <c r="C51" s="9">
        <v>3</v>
      </c>
      <c r="D51" s="6">
        <v>0.33333333333333331</v>
      </c>
      <c r="P51" s="71" t="s">
        <v>55</v>
      </c>
      <c r="Q51" s="86" t="s">
        <v>69</v>
      </c>
      <c r="R51" s="9">
        <v>3</v>
      </c>
      <c r="S51" s="6">
        <v>0.33333333333333331</v>
      </c>
      <c r="Y51" s="71"/>
      <c r="Z51" s="98"/>
      <c r="AA51" s="86"/>
      <c r="AB51" s="9"/>
      <c r="AC51" s="6"/>
      <c r="AD51" s="4"/>
      <c r="AK51" s="92"/>
      <c r="AL51" s="67" t="s">
        <v>18</v>
      </c>
      <c r="AM51" t="s">
        <v>114</v>
      </c>
      <c r="AN51" s="77" t="s">
        <v>122</v>
      </c>
      <c r="AO51" s="104" t="s">
        <v>123</v>
      </c>
      <c r="AP51" s="4">
        <v>9</v>
      </c>
      <c r="AQ51">
        <v>1</v>
      </c>
      <c r="AR51" t="s">
        <v>127</v>
      </c>
      <c r="AS51" s="4" t="s">
        <v>116</v>
      </c>
      <c r="AT51" s="80" t="s">
        <v>88</v>
      </c>
      <c r="AU51" s="104" t="s">
        <v>124</v>
      </c>
      <c r="AV51" s="4">
        <v>15</v>
      </c>
      <c r="AW51">
        <v>1</v>
      </c>
    </row>
    <row r="52" spans="1:49" ht="17" thickBot="1" x14ac:dyDescent="0.25">
      <c r="A52" s="65" t="s">
        <v>55</v>
      </c>
      <c r="B52" s="86" t="s">
        <v>88</v>
      </c>
      <c r="C52" s="9">
        <v>3</v>
      </c>
      <c r="D52" s="6">
        <v>0.2</v>
      </c>
      <c r="P52" s="65" t="s">
        <v>55</v>
      </c>
      <c r="Y52" s="65"/>
      <c r="Z52" s="72"/>
      <c r="AL52" s="65" t="s">
        <v>53</v>
      </c>
      <c r="AM52" t="s">
        <v>115</v>
      </c>
      <c r="AN52" s="80" t="s">
        <v>69</v>
      </c>
      <c r="AO52" s="104" t="s">
        <v>120</v>
      </c>
      <c r="AP52" s="6">
        <v>5</v>
      </c>
      <c r="AQ52">
        <v>0.55555555555555558</v>
      </c>
      <c r="AR52" t="s">
        <v>126</v>
      </c>
      <c r="AS52" t="s">
        <v>113</v>
      </c>
      <c r="AT52" s="87" t="s">
        <v>118</v>
      </c>
      <c r="AU52" s="104" t="s">
        <v>119</v>
      </c>
      <c r="AV52" s="9">
        <v>2</v>
      </c>
      <c r="AW52">
        <v>0.22222222222222221</v>
      </c>
    </row>
    <row r="53" spans="1:49" ht="17" thickBot="1" x14ac:dyDescent="0.25">
      <c r="A53" s="65" t="s">
        <v>48</v>
      </c>
      <c r="B53" s="87" t="s">
        <v>68</v>
      </c>
      <c r="C53" s="6">
        <v>5</v>
      </c>
      <c r="D53" s="6">
        <v>0.55555555555555558</v>
      </c>
      <c r="P53" s="65" t="s">
        <v>48</v>
      </c>
      <c r="Q53" s="87" t="s">
        <v>68</v>
      </c>
      <c r="R53" s="6">
        <v>5</v>
      </c>
      <c r="S53" s="6">
        <v>0.55555555555555558</v>
      </c>
      <c r="T53" s="80" t="s">
        <v>69</v>
      </c>
      <c r="U53" s="9">
        <v>4</v>
      </c>
      <c r="V53" s="6">
        <v>0.44444444444444442</v>
      </c>
      <c r="Y53" s="65" t="s">
        <v>48</v>
      </c>
      <c r="Z53" t="s">
        <v>115</v>
      </c>
      <c r="AA53" s="87" t="s">
        <v>68</v>
      </c>
      <c r="AB53" s="6">
        <v>5</v>
      </c>
      <c r="AC53" s="6">
        <v>0.55555555555555558</v>
      </c>
      <c r="AD53" t="s">
        <v>113</v>
      </c>
      <c r="AE53" s="80" t="s">
        <v>69</v>
      </c>
      <c r="AF53" s="9">
        <v>4</v>
      </c>
      <c r="AG53" s="6">
        <v>0.44444444444444442</v>
      </c>
    </row>
    <row r="54" spans="1:49" ht="17" thickBot="1" x14ac:dyDescent="0.25">
      <c r="A54" s="65" t="s">
        <v>48</v>
      </c>
      <c r="B54" s="80" t="s">
        <v>88</v>
      </c>
      <c r="C54" s="9">
        <v>8</v>
      </c>
      <c r="D54" s="6">
        <v>0.53333333333333333</v>
      </c>
      <c r="P54" s="65" t="s">
        <v>48</v>
      </c>
      <c r="Q54" s="80" t="s">
        <v>88</v>
      </c>
      <c r="R54" s="9">
        <v>8</v>
      </c>
      <c r="S54" s="6">
        <v>0.53333333333333333</v>
      </c>
      <c r="Y54" s="65"/>
      <c r="Z54" s="72"/>
      <c r="AA54" s="80"/>
      <c r="AB54" s="9"/>
      <c r="AC54" s="6"/>
      <c r="AD54" s="4"/>
    </row>
    <row r="55" spans="1:49" ht="17" thickBot="1" x14ac:dyDescent="0.25">
      <c r="A55" s="65" t="s">
        <v>48</v>
      </c>
      <c r="B55" s="80" t="s">
        <v>69</v>
      </c>
      <c r="C55" s="9">
        <v>4</v>
      </c>
      <c r="D55" s="6">
        <v>0.44444444444444442</v>
      </c>
      <c r="P55" s="65" t="s">
        <v>48</v>
      </c>
      <c r="Y55" s="65"/>
      <c r="Z55" s="72"/>
    </row>
    <row r="56" spans="1:49" ht="17" thickBot="1" x14ac:dyDescent="0.25">
      <c r="A56" s="65" t="s">
        <v>21</v>
      </c>
      <c r="B56" s="87" t="s">
        <v>68</v>
      </c>
      <c r="C56" s="18">
        <v>8</v>
      </c>
      <c r="D56" s="6">
        <v>0.88888888888888884</v>
      </c>
      <c r="O56" s="91"/>
      <c r="P56" s="65" t="s">
        <v>21</v>
      </c>
      <c r="Q56" s="87" t="s">
        <v>68</v>
      </c>
      <c r="R56" s="18">
        <v>8</v>
      </c>
      <c r="S56" s="6">
        <v>0.88888888888888884</v>
      </c>
      <c r="T56" s="80" t="s">
        <v>88</v>
      </c>
      <c r="U56" s="18">
        <v>13</v>
      </c>
      <c r="V56" s="6">
        <v>0.8666666666666667</v>
      </c>
      <c r="X56" s="93"/>
      <c r="Y56" s="65" t="s">
        <v>21</v>
      </c>
      <c r="Z56" t="s">
        <v>112</v>
      </c>
      <c r="AA56" s="87" t="s">
        <v>68</v>
      </c>
      <c r="AB56" s="18">
        <v>8</v>
      </c>
      <c r="AC56" s="6">
        <v>0.88888888888888884</v>
      </c>
      <c r="AD56" t="s">
        <v>113</v>
      </c>
      <c r="AE56" s="80" t="s">
        <v>88</v>
      </c>
      <c r="AF56" s="18">
        <v>13</v>
      </c>
      <c r="AG56" s="6">
        <v>0.8666666666666667</v>
      </c>
    </row>
    <row r="57" spans="1:49" ht="17" thickBot="1" x14ac:dyDescent="0.25">
      <c r="A57" s="65" t="s">
        <v>21</v>
      </c>
      <c r="B57" s="80" t="s">
        <v>69</v>
      </c>
      <c r="C57" s="18">
        <v>8</v>
      </c>
      <c r="D57" s="6">
        <v>0.88888888888888884</v>
      </c>
      <c r="O57" s="91"/>
      <c r="P57" s="65" t="s">
        <v>21</v>
      </c>
      <c r="Q57" s="80" t="s">
        <v>69</v>
      </c>
      <c r="R57" s="18">
        <v>8</v>
      </c>
      <c r="S57" s="6">
        <v>0.88888888888888884</v>
      </c>
      <c r="X57" s="93"/>
      <c r="Y57" s="65" t="s">
        <v>21</v>
      </c>
      <c r="Z57" s="72"/>
      <c r="AA57" s="80" t="s">
        <v>69</v>
      </c>
      <c r="AB57" s="18">
        <v>8</v>
      </c>
      <c r="AC57" s="6">
        <v>0.88888888888888884</v>
      </c>
      <c r="AD57" s="4"/>
    </row>
    <row r="58" spans="1:49" ht="17" thickBot="1" x14ac:dyDescent="0.25">
      <c r="A58" s="65" t="s">
        <v>21</v>
      </c>
      <c r="B58" s="80" t="s">
        <v>88</v>
      </c>
      <c r="C58" s="18">
        <v>13</v>
      </c>
      <c r="D58" s="6">
        <v>0.8666666666666667</v>
      </c>
      <c r="P58" s="65" t="s">
        <v>21</v>
      </c>
      <c r="Y58" s="65" t="s">
        <v>21</v>
      </c>
      <c r="Z58" s="72"/>
    </row>
    <row r="59" spans="1:49" ht="17" thickBot="1" x14ac:dyDescent="0.25">
      <c r="A59" s="66" t="s">
        <v>29</v>
      </c>
      <c r="B59" s="80" t="s">
        <v>88</v>
      </c>
      <c r="C59" s="9">
        <v>12</v>
      </c>
      <c r="D59" s="6">
        <v>0.8</v>
      </c>
      <c r="P59" s="66" t="s">
        <v>29</v>
      </c>
      <c r="Q59" s="80" t="s">
        <v>88</v>
      </c>
      <c r="R59" s="9">
        <v>12</v>
      </c>
      <c r="S59" s="6">
        <v>0.8</v>
      </c>
      <c r="T59" s="87" t="s">
        <v>68</v>
      </c>
      <c r="U59" s="9">
        <v>6</v>
      </c>
      <c r="V59" s="6">
        <v>0.66666666666666663</v>
      </c>
      <c r="Y59" s="66" t="s">
        <v>29</v>
      </c>
      <c r="Z59" s="5"/>
      <c r="AA59" s="80" t="s">
        <v>88</v>
      </c>
      <c r="AB59" s="9">
        <v>12</v>
      </c>
      <c r="AC59" s="6">
        <v>0.8</v>
      </c>
      <c r="AD59" t="s">
        <v>113</v>
      </c>
      <c r="AE59" s="87" t="s">
        <v>68</v>
      </c>
      <c r="AF59" s="9">
        <v>6</v>
      </c>
      <c r="AG59" s="6">
        <v>0.66666666666666663</v>
      </c>
    </row>
    <row r="60" spans="1:49" ht="17" thickBot="1" x14ac:dyDescent="0.25">
      <c r="A60" s="66" t="s">
        <v>29</v>
      </c>
      <c r="B60" s="80" t="s">
        <v>69</v>
      </c>
      <c r="C60" s="9">
        <v>7</v>
      </c>
      <c r="D60" s="6">
        <v>0.77777777777777779</v>
      </c>
      <c r="P60" s="66" t="s">
        <v>29</v>
      </c>
      <c r="Q60" s="80" t="s">
        <v>69</v>
      </c>
      <c r="R60" s="9">
        <v>7</v>
      </c>
      <c r="S60" s="6">
        <v>0.77777777777777779</v>
      </c>
      <c r="Y60" s="66"/>
      <c r="Z60" s="5"/>
      <c r="AA60" s="80"/>
      <c r="AB60" s="9"/>
      <c r="AC60" s="6"/>
      <c r="AD60" s="4"/>
    </row>
    <row r="61" spans="1:49" ht="17" thickBot="1" x14ac:dyDescent="0.25">
      <c r="A61" s="66" t="s">
        <v>29</v>
      </c>
      <c r="B61" s="87" t="s">
        <v>68</v>
      </c>
      <c r="C61" s="9">
        <v>6</v>
      </c>
      <c r="D61" s="6">
        <v>0.66666666666666663</v>
      </c>
      <c r="P61" s="66" t="s">
        <v>29</v>
      </c>
      <c r="Y61" s="66"/>
      <c r="Z61" s="5"/>
    </row>
    <row r="62" spans="1:49" ht="17" thickBot="1" x14ac:dyDescent="0.25">
      <c r="A62" s="65" t="s">
        <v>59</v>
      </c>
      <c r="B62" s="87" t="s">
        <v>68</v>
      </c>
      <c r="C62" s="9">
        <v>5</v>
      </c>
      <c r="D62" s="6">
        <v>0.55555555555555558</v>
      </c>
      <c r="P62" s="65" t="s">
        <v>59</v>
      </c>
      <c r="Q62" s="87" t="s">
        <v>68</v>
      </c>
      <c r="R62" s="9">
        <v>5</v>
      </c>
      <c r="S62" s="6">
        <v>0.55555555555555558</v>
      </c>
      <c r="T62" s="80" t="s">
        <v>88</v>
      </c>
      <c r="U62" s="9">
        <v>1</v>
      </c>
      <c r="V62" s="6">
        <v>6.6666666666666666E-2</v>
      </c>
      <c r="Y62" s="65" t="s">
        <v>59</v>
      </c>
      <c r="Z62" t="s">
        <v>115</v>
      </c>
      <c r="AA62" s="87" t="s">
        <v>68</v>
      </c>
      <c r="AB62" s="9">
        <v>5</v>
      </c>
      <c r="AC62" s="6">
        <v>0.55555555555555558</v>
      </c>
      <c r="AD62" t="s">
        <v>113</v>
      </c>
      <c r="AE62" s="80" t="s">
        <v>88</v>
      </c>
      <c r="AF62" s="9">
        <v>1</v>
      </c>
      <c r="AG62" s="6">
        <v>6.6666666666666666E-2</v>
      </c>
    </row>
    <row r="63" spans="1:49" ht="17" thickBot="1" x14ac:dyDescent="0.25">
      <c r="A63" s="65" t="s">
        <v>59</v>
      </c>
      <c r="B63" s="80" t="s">
        <v>69</v>
      </c>
      <c r="C63" s="9">
        <v>3</v>
      </c>
      <c r="D63" s="6">
        <v>0.33333333333333331</v>
      </c>
      <c r="P63" s="65" t="s">
        <v>59</v>
      </c>
      <c r="Q63" s="80" t="s">
        <v>69</v>
      </c>
      <c r="R63" s="9">
        <v>3</v>
      </c>
      <c r="S63" s="6">
        <v>0.33333333333333331</v>
      </c>
      <c r="Y63" s="65"/>
      <c r="Z63" s="72"/>
      <c r="AA63" s="80"/>
      <c r="AB63" s="9"/>
      <c r="AC63" s="6"/>
      <c r="AD63" s="4"/>
    </row>
    <row r="64" spans="1:49" ht="17" thickBot="1" x14ac:dyDescent="0.25">
      <c r="A64" s="65" t="s">
        <v>59</v>
      </c>
      <c r="B64" s="80" t="s">
        <v>88</v>
      </c>
      <c r="C64" s="9">
        <v>1</v>
      </c>
      <c r="D64" s="6">
        <v>6.6666666666666666E-2</v>
      </c>
      <c r="P64" s="65" t="s">
        <v>59</v>
      </c>
      <c r="Y64" s="65"/>
      <c r="Z64" s="72"/>
    </row>
    <row r="65" spans="1:33" ht="17" thickBot="1" x14ac:dyDescent="0.25">
      <c r="A65" s="68" t="s">
        <v>33</v>
      </c>
      <c r="B65" s="80" t="s">
        <v>69</v>
      </c>
      <c r="C65" s="9">
        <v>9</v>
      </c>
      <c r="D65" s="6">
        <v>1</v>
      </c>
      <c r="P65" s="68" t="s">
        <v>33</v>
      </c>
      <c r="Q65" s="80" t="s">
        <v>69</v>
      </c>
      <c r="R65" s="9">
        <v>9</v>
      </c>
      <c r="S65" s="6">
        <v>1</v>
      </c>
      <c r="T65" s="80" t="s">
        <v>88</v>
      </c>
      <c r="U65" s="78">
        <v>12</v>
      </c>
      <c r="V65" s="6">
        <v>0.8</v>
      </c>
      <c r="Y65" s="68" t="s">
        <v>33</v>
      </c>
      <c r="Z65" t="s">
        <v>111</v>
      </c>
      <c r="AA65" s="80" t="s">
        <v>69</v>
      </c>
      <c r="AB65" s="9">
        <v>9</v>
      </c>
      <c r="AC65" s="6">
        <v>1</v>
      </c>
      <c r="AD65" t="s">
        <v>113</v>
      </c>
      <c r="AE65" s="80" t="s">
        <v>88</v>
      </c>
      <c r="AF65" s="78">
        <v>12</v>
      </c>
      <c r="AG65" s="6">
        <v>0.8</v>
      </c>
    </row>
    <row r="66" spans="1:33" ht="17" thickBot="1" x14ac:dyDescent="0.25">
      <c r="A66" s="68" t="s">
        <v>33</v>
      </c>
      <c r="B66" s="87" t="s">
        <v>68</v>
      </c>
      <c r="C66" s="9">
        <v>8</v>
      </c>
      <c r="D66" s="6">
        <v>0.88888888888888884</v>
      </c>
      <c r="P66" s="68" t="s">
        <v>33</v>
      </c>
      <c r="Q66" s="87" t="s">
        <v>68</v>
      </c>
      <c r="R66" s="9">
        <v>8</v>
      </c>
      <c r="S66" s="6">
        <v>0.88888888888888884</v>
      </c>
      <c r="Y66" s="68"/>
      <c r="Z66" s="25"/>
      <c r="AA66" s="87"/>
      <c r="AB66" s="9"/>
      <c r="AC66" s="6"/>
      <c r="AD66" s="4"/>
    </row>
    <row r="67" spans="1:33" ht="17" thickBot="1" x14ac:dyDescent="0.25">
      <c r="A67" s="68" t="s">
        <v>33</v>
      </c>
      <c r="B67" s="80" t="s">
        <v>88</v>
      </c>
      <c r="C67" s="78">
        <v>12</v>
      </c>
      <c r="D67" s="6">
        <v>0.8</v>
      </c>
      <c r="P67" s="68" t="s">
        <v>33</v>
      </c>
      <c r="Y67" s="68"/>
      <c r="Z67" s="25"/>
    </row>
    <row r="68" spans="1:33" ht="17" thickBot="1" x14ac:dyDescent="0.25">
      <c r="A68" s="70" t="s">
        <v>46</v>
      </c>
      <c r="B68" s="87" t="s">
        <v>68</v>
      </c>
      <c r="C68" s="82">
        <v>9</v>
      </c>
      <c r="D68" s="6">
        <v>1</v>
      </c>
      <c r="P68" s="70" t="s">
        <v>46</v>
      </c>
      <c r="Q68" s="87" t="s">
        <v>68</v>
      </c>
      <c r="R68" s="82">
        <v>9</v>
      </c>
      <c r="S68" s="6">
        <v>1</v>
      </c>
      <c r="T68" s="80" t="s">
        <v>88</v>
      </c>
      <c r="U68" s="9">
        <v>6</v>
      </c>
      <c r="V68" s="6">
        <v>0.4</v>
      </c>
      <c r="X68" s="93"/>
      <c r="Y68" s="70" t="s">
        <v>46</v>
      </c>
      <c r="Z68" t="s">
        <v>111</v>
      </c>
      <c r="AA68" s="87" t="s">
        <v>68</v>
      </c>
      <c r="AB68" s="82">
        <v>9</v>
      </c>
      <c r="AC68" s="6">
        <v>1</v>
      </c>
      <c r="AD68" t="s">
        <v>113</v>
      </c>
      <c r="AE68" s="80" t="s">
        <v>88</v>
      </c>
      <c r="AF68" s="9">
        <v>6</v>
      </c>
      <c r="AG68" s="6">
        <v>0.4</v>
      </c>
    </row>
    <row r="69" spans="1:33" ht="17" thickBot="1" x14ac:dyDescent="0.25">
      <c r="A69" s="70" t="s">
        <v>46</v>
      </c>
      <c r="B69" s="80" t="s">
        <v>69</v>
      </c>
      <c r="C69" s="9">
        <v>9</v>
      </c>
      <c r="D69" s="6">
        <v>1</v>
      </c>
      <c r="P69" s="70" t="s">
        <v>46</v>
      </c>
      <c r="Q69" s="80" t="s">
        <v>69</v>
      </c>
      <c r="R69" s="9">
        <v>9</v>
      </c>
      <c r="S69" s="6">
        <v>1</v>
      </c>
      <c r="X69" s="93"/>
      <c r="Y69" s="70" t="s">
        <v>46</v>
      </c>
      <c r="Z69" s="73"/>
      <c r="AA69" s="80" t="s">
        <v>69</v>
      </c>
      <c r="AB69" s="9">
        <v>9</v>
      </c>
      <c r="AC69" s="6">
        <v>1</v>
      </c>
      <c r="AD69" s="4"/>
    </row>
    <row r="70" spans="1:33" ht="17" thickBot="1" x14ac:dyDescent="0.25">
      <c r="A70" s="70" t="s">
        <v>46</v>
      </c>
      <c r="B70" s="80" t="s">
        <v>88</v>
      </c>
      <c r="C70" s="9">
        <v>6</v>
      </c>
      <c r="D70" s="6">
        <v>0.4</v>
      </c>
      <c r="P70" s="70" t="s">
        <v>46</v>
      </c>
      <c r="Y70" s="70"/>
      <c r="Z70" s="73"/>
    </row>
    <row r="71" spans="1:33" ht="17" thickBot="1" x14ac:dyDescent="0.25">
      <c r="A71" s="66" t="s">
        <v>22</v>
      </c>
      <c r="B71" s="87" t="s">
        <v>68</v>
      </c>
      <c r="C71" s="9">
        <v>9</v>
      </c>
      <c r="D71" s="6">
        <v>1</v>
      </c>
      <c r="P71" s="66" t="s">
        <v>22</v>
      </c>
      <c r="Q71" s="87" t="s">
        <v>68</v>
      </c>
      <c r="R71" s="9">
        <v>9</v>
      </c>
      <c r="S71" s="6">
        <v>1</v>
      </c>
      <c r="T71" s="80" t="s">
        <v>88</v>
      </c>
      <c r="U71" s="9">
        <v>11</v>
      </c>
      <c r="V71" s="6">
        <v>0.73333333333333328</v>
      </c>
      <c r="X71" s="93"/>
      <c r="Y71" s="66" t="s">
        <v>22</v>
      </c>
      <c r="Z71" t="s">
        <v>111</v>
      </c>
      <c r="AA71" s="87" t="s">
        <v>68</v>
      </c>
      <c r="AB71" s="9">
        <v>9</v>
      </c>
      <c r="AC71" s="6">
        <v>1</v>
      </c>
      <c r="AD71" t="s">
        <v>113</v>
      </c>
      <c r="AE71" s="80" t="s">
        <v>88</v>
      </c>
      <c r="AF71" s="9">
        <v>11</v>
      </c>
      <c r="AG71" s="6">
        <v>0.73333333333333328</v>
      </c>
    </row>
    <row r="72" spans="1:33" ht="17" thickBot="1" x14ac:dyDescent="0.25">
      <c r="A72" s="66" t="s">
        <v>22</v>
      </c>
      <c r="B72" s="80" t="s">
        <v>69</v>
      </c>
      <c r="C72" s="9">
        <v>9</v>
      </c>
      <c r="D72" s="6">
        <v>1</v>
      </c>
      <c r="P72" s="66" t="s">
        <v>22</v>
      </c>
      <c r="Q72" s="80" t="s">
        <v>69</v>
      </c>
      <c r="R72" s="9">
        <v>9</v>
      </c>
      <c r="S72" s="6">
        <v>1</v>
      </c>
      <c r="X72" s="93"/>
      <c r="Y72" s="66" t="s">
        <v>22</v>
      </c>
      <c r="Z72" s="5"/>
      <c r="AA72" s="80" t="s">
        <v>69</v>
      </c>
      <c r="AB72" s="9">
        <v>9</v>
      </c>
      <c r="AC72" s="6">
        <v>1</v>
      </c>
      <c r="AD72" s="4"/>
    </row>
    <row r="73" spans="1:33" ht="17" thickBot="1" x14ac:dyDescent="0.25">
      <c r="A73" s="66" t="s">
        <v>22</v>
      </c>
      <c r="B73" s="80" t="s">
        <v>88</v>
      </c>
      <c r="C73" s="9">
        <v>11</v>
      </c>
      <c r="D73" s="6">
        <v>0.73333333333333328</v>
      </c>
      <c r="P73" s="66" t="s">
        <v>22</v>
      </c>
      <c r="Y73" s="66"/>
      <c r="Z73" s="5"/>
    </row>
    <row r="74" spans="1:33" ht="17" thickBot="1" x14ac:dyDescent="0.25">
      <c r="A74" s="65" t="s">
        <v>39</v>
      </c>
      <c r="B74" s="87" t="s">
        <v>68</v>
      </c>
      <c r="C74" s="9">
        <v>7</v>
      </c>
      <c r="D74" s="6">
        <v>0.77777777777777779</v>
      </c>
      <c r="P74" s="65" t="s">
        <v>39</v>
      </c>
      <c r="Q74" s="87" t="s">
        <v>68</v>
      </c>
      <c r="R74" s="9">
        <v>7</v>
      </c>
      <c r="S74" s="6">
        <v>0.77777777777777779</v>
      </c>
      <c r="T74" s="80" t="s">
        <v>69</v>
      </c>
      <c r="U74" s="9">
        <v>4</v>
      </c>
      <c r="V74" s="6">
        <v>0.44444444444444442</v>
      </c>
      <c r="Y74" s="65" t="s">
        <v>39</v>
      </c>
      <c r="Z74" t="s">
        <v>115</v>
      </c>
      <c r="AA74" s="87" t="s">
        <v>68</v>
      </c>
      <c r="AB74" s="9">
        <v>7</v>
      </c>
      <c r="AC74" s="6">
        <v>0.77777777777777779</v>
      </c>
      <c r="AD74" t="s">
        <v>113</v>
      </c>
      <c r="AE74" s="80" t="s">
        <v>69</v>
      </c>
      <c r="AF74" s="9">
        <v>4</v>
      </c>
      <c r="AG74" s="6">
        <v>0.44444444444444442</v>
      </c>
    </row>
    <row r="75" spans="1:33" ht="17" thickBot="1" x14ac:dyDescent="0.25">
      <c r="A75" s="65" t="s">
        <v>39</v>
      </c>
      <c r="B75" s="80" t="s">
        <v>88</v>
      </c>
      <c r="C75" s="9">
        <v>9</v>
      </c>
      <c r="D75" s="6">
        <v>0.6</v>
      </c>
      <c r="P75" s="65" t="s">
        <v>39</v>
      </c>
      <c r="Q75" s="80" t="s">
        <v>88</v>
      </c>
      <c r="R75" s="9">
        <v>9</v>
      </c>
      <c r="S75" s="6">
        <v>0.6</v>
      </c>
      <c r="Y75" s="65"/>
      <c r="Z75" s="72"/>
      <c r="AA75" s="80"/>
      <c r="AB75" s="9"/>
      <c r="AC75" s="6"/>
      <c r="AD75" s="4"/>
    </row>
    <row r="76" spans="1:33" ht="17" thickBot="1" x14ac:dyDescent="0.25">
      <c r="A76" s="65" t="s">
        <v>39</v>
      </c>
      <c r="B76" s="80" t="s">
        <v>69</v>
      </c>
      <c r="C76" s="9">
        <v>4</v>
      </c>
      <c r="D76" s="6">
        <v>0.44444444444444442</v>
      </c>
      <c r="P76" s="65" t="s">
        <v>39</v>
      </c>
      <c r="Y76" s="65"/>
      <c r="Z76" s="72"/>
    </row>
    <row r="77" spans="1:33" ht="17" thickBot="1" x14ac:dyDescent="0.25">
      <c r="A77" s="66" t="s">
        <v>40</v>
      </c>
      <c r="B77" s="80" t="s">
        <v>88</v>
      </c>
      <c r="C77" s="9">
        <v>11</v>
      </c>
      <c r="D77" s="6">
        <v>0.73333333333333328</v>
      </c>
      <c r="P77" s="66" t="s">
        <v>40</v>
      </c>
      <c r="Q77" s="80" t="s">
        <v>88</v>
      </c>
      <c r="R77" s="9">
        <v>11</v>
      </c>
      <c r="S77" s="6">
        <v>0.73333333333333328</v>
      </c>
      <c r="T77" s="87" t="s">
        <v>68</v>
      </c>
      <c r="U77" s="9">
        <v>3</v>
      </c>
      <c r="V77" s="6">
        <v>0.33333333333333331</v>
      </c>
      <c r="Y77" s="66" t="s">
        <v>40</v>
      </c>
      <c r="Z77" t="s">
        <v>115</v>
      </c>
      <c r="AA77" s="80" t="s">
        <v>88</v>
      </c>
      <c r="AB77" s="9">
        <v>11</v>
      </c>
      <c r="AC77" s="6">
        <v>0.73333333333333328</v>
      </c>
      <c r="AD77" t="s">
        <v>113</v>
      </c>
      <c r="AE77" s="87" t="s">
        <v>68</v>
      </c>
      <c r="AF77" s="9">
        <v>3</v>
      </c>
      <c r="AG77" s="6">
        <v>0.33333333333333331</v>
      </c>
    </row>
    <row r="78" spans="1:33" ht="17" thickBot="1" x14ac:dyDescent="0.25">
      <c r="A78" s="66" t="s">
        <v>40</v>
      </c>
      <c r="B78" s="80" t="s">
        <v>69</v>
      </c>
      <c r="C78" s="9">
        <v>6</v>
      </c>
      <c r="D78" s="6">
        <v>0.66666666666666663</v>
      </c>
      <c r="P78" s="66" t="s">
        <v>40</v>
      </c>
      <c r="Q78" s="80" t="s">
        <v>69</v>
      </c>
      <c r="R78" s="9">
        <v>6</v>
      </c>
      <c r="S78" s="6">
        <v>0.66666666666666663</v>
      </c>
      <c r="Y78" s="66"/>
      <c r="Z78" s="5"/>
      <c r="AA78" s="80"/>
      <c r="AB78" s="9"/>
      <c r="AC78" s="6"/>
      <c r="AD78" s="4"/>
    </row>
    <row r="79" spans="1:33" ht="17" thickBot="1" x14ac:dyDescent="0.25">
      <c r="A79" s="66" t="s">
        <v>40</v>
      </c>
      <c r="B79" s="87" t="s">
        <v>68</v>
      </c>
      <c r="C79" s="9">
        <v>3</v>
      </c>
      <c r="D79" s="6">
        <v>0.33333333333333331</v>
      </c>
      <c r="P79" s="66" t="s">
        <v>40</v>
      </c>
      <c r="Y79" s="66"/>
      <c r="Z79" s="5"/>
    </row>
    <row r="80" spans="1:33" ht="17" thickBot="1" x14ac:dyDescent="0.25">
      <c r="A80" s="85" t="s">
        <v>26</v>
      </c>
      <c r="B80" s="87" t="s">
        <v>68</v>
      </c>
      <c r="C80" s="9">
        <v>8</v>
      </c>
      <c r="D80" s="6">
        <v>0.88888888888888884</v>
      </c>
      <c r="P80" s="85" t="s">
        <v>26</v>
      </c>
      <c r="Q80" s="87" t="s">
        <v>68</v>
      </c>
      <c r="R80" s="9">
        <v>8</v>
      </c>
      <c r="S80" s="6">
        <v>0.88888888888888884</v>
      </c>
      <c r="T80" s="80" t="s">
        <v>88</v>
      </c>
      <c r="U80" s="9">
        <v>11</v>
      </c>
      <c r="V80" s="6">
        <v>0.73333333333333328</v>
      </c>
      <c r="Y80" s="85" t="s">
        <v>26</v>
      </c>
      <c r="Z80" t="s">
        <v>112</v>
      </c>
      <c r="AA80" s="87" t="s">
        <v>68</v>
      </c>
      <c r="AB80" s="9">
        <v>8</v>
      </c>
      <c r="AC80" s="6">
        <v>0.88888888888888884</v>
      </c>
      <c r="AD80" t="s">
        <v>113</v>
      </c>
      <c r="AE80" s="80" t="s">
        <v>88</v>
      </c>
      <c r="AF80" s="9">
        <v>11</v>
      </c>
      <c r="AG80" s="6">
        <v>0.73333333333333328</v>
      </c>
    </row>
    <row r="81" spans="1:33" ht="17" thickBot="1" x14ac:dyDescent="0.25">
      <c r="A81" s="68" t="s">
        <v>26</v>
      </c>
      <c r="B81" s="80" t="s">
        <v>69</v>
      </c>
      <c r="C81" s="9">
        <v>7</v>
      </c>
      <c r="D81" s="6">
        <v>0.77777777777777779</v>
      </c>
      <c r="P81" s="68" t="s">
        <v>26</v>
      </c>
      <c r="Q81" s="80" t="s">
        <v>69</v>
      </c>
      <c r="R81" s="9">
        <v>7</v>
      </c>
      <c r="S81" s="6">
        <v>0.77777777777777779</v>
      </c>
      <c r="Y81" s="68"/>
      <c r="Z81" s="25"/>
      <c r="AA81" s="80"/>
      <c r="AB81" s="9"/>
      <c r="AC81" s="6"/>
      <c r="AD81" s="4"/>
    </row>
    <row r="82" spans="1:33" ht="17" thickBot="1" x14ac:dyDescent="0.25">
      <c r="A82" s="68" t="s">
        <v>26</v>
      </c>
      <c r="B82" s="80" t="s">
        <v>88</v>
      </c>
      <c r="C82" s="9">
        <v>11</v>
      </c>
      <c r="D82" s="6">
        <v>0.73333333333333328</v>
      </c>
      <c r="P82" s="68" t="s">
        <v>26</v>
      </c>
      <c r="Y82" s="68"/>
      <c r="Z82" s="25"/>
    </row>
    <row r="83" spans="1:33" ht="17" thickBot="1" x14ac:dyDescent="0.25">
      <c r="A83" s="68" t="s">
        <v>23</v>
      </c>
      <c r="B83" s="87" t="s">
        <v>68</v>
      </c>
      <c r="C83" s="9">
        <v>9</v>
      </c>
      <c r="D83" s="6">
        <v>1</v>
      </c>
      <c r="P83" s="68" t="s">
        <v>23</v>
      </c>
      <c r="Q83" s="87" t="s">
        <v>68</v>
      </c>
      <c r="R83" s="9">
        <v>9</v>
      </c>
      <c r="S83" s="6">
        <v>1</v>
      </c>
      <c r="T83" s="80" t="s">
        <v>88</v>
      </c>
      <c r="U83" s="9">
        <v>11</v>
      </c>
      <c r="V83" s="6">
        <v>0.73333333333333328</v>
      </c>
      <c r="X83" s="93"/>
      <c r="Y83" s="68" t="s">
        <v>23</v>
      </c>
      <c r="Z83" t="s">
        <v>111</v>
      </c>
      <c r="AA83" s="87" t="s">
        <v>68</v>
      </c>
      <c r="AB83" s="9">
        <v>9</v>
      </c>
      <c r="AC83" s="6">
        <v>1</v>
      </c>
      <c r="AD83" t="s">
        <v>113</v>
      </c>
      <c r="AE83" s="80" t="s">
        <v>88</v>
      </c>
      <c r="AF83" s="9">
        <v>11</v>
      </c>
      <c r="AG83" s="6">
        <v>0.73333333333333328</v>
      </c>
    </row>
    <row r="84" spans="1:33" ht="17" thickBot="1" x14ac:dyDescent="0.25">
      <c r="A84" s="68" t="s">
        <v>23</v>
      </c>
      <c r="B84" s="80" t="s">
        <v>69</v>
      </c>
      <c r="C84" s="9">
        <v>9</v>
      </c>
      <c r="D84" s="6">
        <v>1</v>
      </c>
      <c r="P84" s="68" t="s">
        <v>23</v>
      </c>
      <c r="Q84" s="80" t="s">
        <v>69</v>
      </c>
      <c r="R84" s="9">
        <v>9</v>
      </c>
      <c r="S84" s="6">
        <v>1</v>
      </c>
      <c r="X84" s="93"/>
      <c r="Y84" s="68" t="s">
        <v>23</v>
      </c>
      <c r="Z84" s="25"/>
      <c r="AA84" s="80" t="s">
        <v>69</v>
      </c>
      <c r="AB84" s="9">
        <v>9</v>
      </c>
      <c r="AC84" s="6">
        <v>1</v>
      </c>
      <c r="AD84" s="4"/>
    </row>
    <row r="85" spans="1:33" ht="17" thickBot="1" x14ac:dyDescent="0.25">
      <c r="A85" s="68" t="s">
        <v>23</v>
      </c>
      <c r="B85" s="80" t="s">
        <v>88</v>
      </c>
      <c r="C85" s="9">
        <v>11</v>
      </c>
      <c r="D85" s="6">
        <v>0.73333333333333328</v>
      </c>
      <c r="P85" s="68" t="s">
        <v>23</v>
      </c>
      <c r="Y85" s="68"/>
      <c r="Z85" s="25"/>
    </row>
    <row r="86" spans="1:33" ht="17" thickBot="1" x14ac:dyDescent="0.25">
      <c r="A86" s="66" t="s">
        <v>16</v>
      </c>
      <c r="B86" s="87" t="s">
        <v>68</v>
      </c>
      <c r="C86" s="9">
        <v>9</v>
      </c>
      <c r="D86" s="6">
        <v>1</v>
      </c>
      <c r="P86" s="66" t="s">
        <v>16</v>
      </c>
      <c r="Q86" s="87" t="s">
        <v>68</v>
      </c>
      <c r="R86" s="9">
        <v>9</v>
      </c>
      <c r="S86" s="6">
        <v>1</v>
      </c>
      <c r="T86" s="80" t="s">
        <v>88</v>
      </c>
      <c r="U86" s="9">
        <v>15</v>
      </c>
      <c r="V86" s="6">
        <v>1</v>
      </c>
      <c r="X86" s="92"/>
      <c r="Y86" s="66" t="s">
        <v>16</v>
      </c>
      <c r="Z86" t="s">
        <v>114</v>
      </c>
      <c r="AA86" s="87" t="s">
        <v>68</v>
      </c>
      <c r="AB86" s="9">
        <v>9</v>
      </c>
      <c r="AC86" s="6">
        <v>1</v>
      </c>
      <c r="AD86" s="4"/>
      <c r="AE86" s="80" t="s">
        <v>88</v>
      </c>
      <c r="AF86" s="9">
        <v>15</v>
      </c>
      <c r="AG86" s="6">
        <v>1</v>
      </c>
    </row>
    <row r="87" spans="1:33" ht="17" thickBot="1" x14ac:dyDescent="0.25">
      <c r="A87" s="66" t="s">
        <v>16</v>
      </c>
      <c r="B87" s="80" t="s">
        <v>69</v>
      </c>
      <c r="C87" s="9">
        <v>9</v>
      </c>
      <c r="D87" s="6">
        <v>1</v>
      </c>
      <c r="P87" s="66" t="s">
        <v>16</v>
      </c>
      <c r="Q87" s="80" t="s">
        <v>69</v>
      </c>
      <c r="R87" s="9">
        <v>9</v>
      </c>
      <c r="S87" s="6">
        <v>1</v>
      </c>
      <c r="X87" s="92"/>
      <c r="Y87" s="66" t="s">
        <v>16</v>
      </c>
      <c r="Z87" s="5"/>
      <c r="AA87" s="80" t="s">
        <v>69</v>
      </c>
      <c r="AB87" s="9">
        <v>9</v>
      </c>
      <c r="AC87" s="6">
        <v>1</v>
      </c>
      <c r="AD87" s="4"/>
    </row>
    <row r="88" spans="1:33" ht="17" thickBot="1" x14ac:dyDescent="0.25">
      <c r="A88" s="66" t="s">
        <v>16</v>
      </c>
      <c r="B88" s="80" t="s">
        <v>88</v>
      </c>
      <c r="C88" s="9">
        <v>15</v>
      </c>
      <c r="D88" s="6">
        <v>1</v>
      </c>
      <c r="P88" s="66" t="s">
        <v>16</v>
      </c>
      <c r="Y88" s="66"/>
      <c r="Z88" s="5"/>
    </row>
    <row r="89" spans="1:33" ht="17" thickBot="1" x14ac:dyDescent="0.25">
      <c r="A89" s="66" t="s">
        <v>31</v>
      </c>
      <c r="B89" s="80" t="s">
        <v>69</v>
      </c>
      <c r="C89" s="9">
        <v>9</v>
      </c>
      <c r="D89" s="6">
        <v>1</v>
      </c>
      <c r="P89" s="66" t="s">
        <v>31</v>
      </c>
      <c r="Q89" s="80" t="s">
        <v>69</v>
      </c>
      <c r="R89" s="9">
        <v>9</v>
      </c>
      <c r="S89" s="6">
        <v>1</v>
      </c>
      <c r="T89" s="80" t="s">
        <v>88</v>
      </c>
      <c r="U89" s="9">
        <v>8</v>
      </c>
      <c r="V89" s="6">
        <v>0.53333333333333333</v>
      </c>
      <c r="Y89" s="66" t="s">
        <v>31</v>
      </c>
      <c r="Z89" t="s">
        <v>111</v>
      </c>
      <c r="AA89" s="80" t="s">
        <v>69</v>
      </c>
      <c r="AB89" s="9">
        <v>9</v>
      </c>
      <c r="AC89" s="6">
        <v>1</v>
      </c>
      <c r="AD89" t="s">
        <v>113</v>
      </c>
      <c r="AE89" s="80" t="s">
        <v>88</v>
      </c>
      <c r="AF89" s="9">
        <v>8</v>
      </c>
      <c r="AG89" s="6">
        <v>0.53333333333333333</v>
      </c>
    </row>
    <row r="90" spans="1:33" ht="17" thickBot="1" x14ac:dyDescent="0.25">
      <c r="A90" s="66" t="s">
        <v>31</v>
      </c>
      <c r="B90" s="87" t="s">
        <v>68</v>
      </c>
      <c r="C90" s="9">
        <v>7</v>
      </c>
      <c r="D90" s="6">
        <v>0.77777777777777779</v>
      </c>
      <c r="P90" s="66" t="s">
        <v>31</v>
      </c>
      <c r="Q90" s="87" t="s">
        <v>68</v>
      </c>
      <c r="R90" s="9">
        <v>7</v>
      </c>
      <c r="S90" s="6">
        <v>0.77777777777777779</v>
      </c>
      <c r="Y90" s="66"/>
      <c r="Z90" s="5"/>
      <c r="AA90" s="87"/>
      <c r="AB90" s="9"/>
      <c r="AC90" s="6"/>
      <c r="AD90" s="4"/>
    </row>
    <row r="91" spans="1:33" ht="17" thickBot="1" x14ac:dyDescent="0.25">
      <c r="A91" s="66" t="s">
        <v>31</v>
      </c>
      <c r="B91" s="80" t="s">
        <v>88</v>
      </c>
      <c r="C91" s="9">
        <v>8</v>
      </c>
      <c r="D91" s="6">
        <v>0.53333333333333333</v>
      </c>
      <c r="P91" s="66" t="s">
        <v>31</v>
      </c>
      <c r="Y91" s="66"/>
    </row>
    <row r="92" spans="1:33" ht="17" thickBot="1" x14ac:dyDescent="0.25">
      <c r="A92" s="65" t="s">
        <v>41</v>
      </c>
      <c r="B92" s="80" t="s">
        <v>88</v>
      </c>
      <c r="C92" s="9">
        <v>11</v>
      </c>
      <c r="D92" s="6">
        <v>0.73333333333333328</v>
      </c>
      <c r="P92" s="65" t="s">
        <v>41</v>
      </c>
      <c r="Q92" s="80" t="s">
        <v>88</v>
      </c>
      <c r="R92" s="9">
        <v>11</v>
      </c>
      <c r="S92" s="6">
        <v>0.73333333333333328</v>
      </c>
      <c r="T92" s="80" t="s">
        <v>69</v>
      </c>
      <c r="U92" s="9">
        <v>3</v>
      </c>
      <c r="V92" s="6">
        <v>0.33333333333333331</v>
      </c>
      <c r="Y92" s="65" t="s">
        <v>41</v>
      </c>
      <c r="Z92" t="s">
        <v>115</v>
      </c>
      <c r="AA92" s="80" t="s">
        <v>88</v>
      </c>
      <c r="AB92" s="9">
        <v>11</v>
      </c>
      <c r="AC92" s="6">
        <v>0.73333333333333328</v>
      </c>
      <c r="AD92" t="s">
        <v>113</v>
      </c>
      <c r="AE92" s="80" t="s">
        <v>69</v>
      </c>
      <c r="AF92" s="9">
        <v>3</v>
      </c>
      <c r="AG92" s="6">
        <v>0.33333333333333331</v>
      </c>
    </row>
    <row r="93" spans="1:33" ht="17" thickBot="1" x14ac:dyDescent="0.25">
      <c r="A93" s="65" t="s">
        <v>41</v>
      </c>
      <c r="B93" s="87" t="s">
        <v>68</v>
      </c>
      <c r="C93" s="9">
        <v>5</v>
      </c>
      <c r="D93" s="6">
        <v>0.55555555555555558</v>
      </c>
      <c r="P93" s="65" t="s">
        <v>41</v>
      </c>
      <c r="Q93" s="87" t="s">
        <v>68</v>
      </c>
      <c r="R93" s="9">
        <v>5</v>
      </c>
      <c r="S93" s="6">
        <v>0.55555555555555558</v>
      </c>
      <c r="Y93" s="65"/>
      <c r="Z93" s="72"/>
      <c r="AA93" s="87"/>
      <c r="AB93" s="9"/>
      <c r="AC93" s="6"/>
      <c r="AD93" s="4"/>
    </row>
    <row r="94" spans="1:33" ht="17" thickBot="1" x14ac:dyDescent="0.25">
      <c r="A94" s="65" t="s">
        <v>41</v>
      </c>
      <c r="B94" s="80" t="s">
        <v>69</v>
      </c>
      <c r="C94" s="9">
        <v>3</v>
      </c>
      <c r="D94" s="6">
        <v>0.33333333333333331</v>
      </c>
      <c r="P94" s="65" t="s">
        <v>41</v>
      </c>
      <c r="Y94" s="65"/>
      <c r="Z94" s="72"/>
    </row>
    <row r="95" spans="1:33" ht="17" thickBot="1" x14ac:dyDescent="0.25">
      <c r="A95" s="85" t="s">
        <v>47</v>
      </c>
      <c r="B95" s="80" t="s">
        <v>88</v>
      </c>
      <c r="C95" s="9">
        <v>10</v>
      </c>
      <c r="D95" s="6">
        <v>0.66666666666666663</v>
      </c>
      <c r="P95" s="85" t="s">
        <v>47</v>
      </c>
      <c r="Q95" s="80" t="s">
        <v>88</v>
      </c>
      <c r="R95" s="9">
        <v>10</v>
      </c>
      <c r="S95" s="6">
        <v>0.66666666666666663</v>
      </c>
      <c r="T95" s="80" t="s">
        <v>69</v>
      </c>
      <c r="U95" s="9">
        <v>3</v>
      </c>
      <c r="V95" s="6">
        <v>0.33333333333333331</v>
      </c>
      <c r="Y95" s="85" t="s">
        <v>47</v>
      </c>
      <c r="Z95" t="s">
        <v>115</v>
      </c>
      <c r="AA95" s="80" t="s">
        <v>88</v>
      </c>
      <c r="AB95" s="9">
        <v>10</v>
      </c>
      <c r="AC95" s="6">
        <v>0.66666666666666663</v>
      </c>
      <c r="AD95" t="s">
        <v>113</v>
      </c>
      <c r="AE95" s="80" t="s">
        <v>69</v>
      </c>
      <c r="AF95" s="9">
        <v>3</v>
      </c>
      <c r="AG95" s="6">
        <v>0.33333333333333331</v>
      </c>
    </row>
    <row r="96" spans="1:33" ht="17" thickBot="1" x14ac:dyDescent="0.25">
      <c r="A96" s="68" t="s">
        <v>47</v>
      </c>
      <c r="B96" s="87" t="s">
        <v>68</v>
      </c>
      <c r="C96" s="9">
        <v>5</v>
      </c>
      <c r="D96" s="6">
        <v>0.55555555555555558</v>
      </c>
      <c r="P96" s="68" t="s">
        <v>47</v>
      </c>
      <c r="Q96" s="87" t="s">
        <v>68</v>
      </c>
      <c r="R96" s="9">
        <v>5</v>
      </c>
      <c r="S96" s="6">
        <v>0.55555555555555558</v>
      </c>
      <c r="Y96" s="68"/>
      <c r="Z96" s="25"/>
      <c r="AA96" s="87"/>
      <c r="AB96" s="9"/>
      <c r="AC96" s="6"/>
      <c r="AD96" s="4"/>
    </row>
    <row r="97" spans="1:33" ht="17" thickBot="1" x14ac:dyDescent="0.25">
      <c r="A97" s="68" t="s">
        <v>47</v>
      </c>
      <c r="B97" s="80" t="s">
        <v>69</v>
      </c>
      <c r="C97" s="9">
        <v>3</v>
      </c>
      <c r="D97" s="6">
        <v>0.33333333333333331</v>
      </c>
      <c r="P97" s="68" t="s">
        <v>47</v>
      </c>
      <c r="Y97" s="68"/>
      <c r="Z97" s="25"/>
    </row>
    <row r="98" spans="1:33" ht="17" thickBot="1" x14ac:dyDescent="0.25">
      <c r="A98" s="71" t="s">
        <v>30</v>
      </c>
      <c r="B98" s="80" t="s">
        <v>69</v>
      </c>
      <c r="C98" s="9">
        <v>8</v>
      </c>
      <c r="D98" s="6">
        <v>0.88888888888888884</v>
      </c>
      <c r="P98" s="71" t="s">
        <v>30</v>
      </c>
      <c r="Q98" s="80" t="s">
        <v>69</v>
      </c>
      <c r="R98" s="9">
        <v>8</v>
      </c>
      <c r="S98" s="6">
        <v>0.88888888888888884</v>
      </c>
      <c r="T98" s="87" t="s">
        <v>68</v>
      </c>
      <c r="U98" s="9">
        <v>5</v>
      </c>
      <c r="V98" s="6">
        <v>0.55555555555555558</v>
      </c>
      <c r="Y98" s="71" t="s">
        <v>30</v>
      </c>
      <c r="Z98" t="s">
        <v>112</v>
      </c>
      <c r="AA98" s="80" t="s">
        <v>69</v>
      </c>
      <c r="AB98" s="9">
        <v>8</v>
      </c>
      <c r="AC98" s="6">
        <v>0.88888888888888884</v>
      </c>
      <c r="AD98" t="s">
        <v>113</v>
      </c>
      <c r="AE98" s="87" t="s">
        <v>68</v>
      </c>
      <c r="AF98" s="9">
        <v>5</v>
      </c>
      <c r="AG98" s="6">
        <v>0.55555555555555558</v>
      </c>
    </row>
    <row r="99" spans="1:33" ht="17" thickBot="1" x14ac:dyDescent="0.25">
      <c r="A99" s="65" t="s">
        <v>30</v>
      </c>
      <c r="B99" s="80" t="s">
        <v>88</v>
      </c>
      <c r="C99" s="9">
        <v>12</v>
      </c>
      <c r="D99" s="6">
        <v>0.8</v>
      </c>
      <c r="P99" s="65" t="s">
        <v>30</v>
      </c>
      <c r="Q99" s="80" t="s">
        <v>88</v>
      </c>
      <c r="R99" s="9">
        <v>12</v>
      </c>
      <c r="S99" s="6">
        <v>0.8</v>
      </c>
      <c r="Y99" s="65"/>
      <c r="Z99" s="72"/>
      <c r="AA99" s="80"/>
      <c r="AB99" s="9"/>
      <c r="AC99" s="6"/>
      <c r="AD99" s="4"/>
    </row>
    <row r="100" spans="1:33" ht="17" thickBot="1" x14ac:dyDescent="0.25">
      <c r="A100" s="65" t="s">
        <v>30</v>
      </c>
      <c r="B100" s="87" t="s">
        <v>68</v>
      </c>
      <c r="C100" s="9">
        <v>5</v>
      </c>
      <c r="D100" s="6">
        <v>0.55555555555555558</v>
      </c>
      <c r="P100" s="65" t="s">
        <v>30</v>
      </c>
      <c r="Y100" s="65"/>
      <c r="Z100" s="72"/>
    </row>
    <row r="101" spans="1:33" ht="17" thickBot="1" x14ac:dyDescent="0.25">
      <c r="A101" s="66" t="s">
        <v>49</v>
      </c>
      <c r="B101" s="80" t="s">
        <v>88</v>
      </c>
      <c r="C101" s="9">
        <v>10</v>
      </c>
      <c r="D101" s="6">
        <v>0.66666666666666663</v>
      </c>
      <c r="P101" s="66" t="s">
        <v>49</v>
      </c>
      <c r="Q101" s="80" t="s">
        <v>88</v>
      </c>
      <c r="R101" s="9">
        <v>10</v>
      </c>
      <c r="S101" s="6">
        <v>0.66666666666666663</v>
      </c>
      <c r="T101" s="80" t="s">
        <v>69</v>
      </c>
      <c r="U101" s="9">
        <v>2</v>
      </c>
      <c r="V101" s="6">
        <v>0.22222222222222221</v>
      </c>
      <c r="Y101" s="66" t="s">
        <v>49</v>
      </c>
      <c r="Z101" t="s">
        <v>115</v>
      </c>
      <c r="AA101" s="80" t="s">
        <v>88</v>
      </c>
      <c r="AB101" s="9">
        <v>10</v>
      </c>
      <c r="AC101" s="6">
        <v>0.66666666666666663</v>
      </c>
      <c r="AD101" t="s">
        <v>113</v>
      </c>
      <c r="AE101" s="80" t="s">
        <v>69</v>
      </c>
      <c r="AF101" s="9">
        <v>2</v>
      </c>
      <c r="AG101" s="6">
        <v>0.22222222222222221</v>
      </c>
    </row>
    <row r="102" spans="1:33" ht="17" thickBot="1" x14ac:dyDescent="0.25">
      <c r="A102" s="33" t="s">
        <v>49</v>
      </c>
      <c r="B102" s="87" t="s">
        <v>68</v>
      </c>
      <c r="C102" s="9">
        <v>5</v>
      </c>
      <c r="D102" s="6">
        <v>0.55555555555555558</v>
      </c>
      <c r="P102" s="33" t="s">
        <v>49</v>
      </c>
      <c r="Q102" s="87" t="s">
        <v>68</v>
      </c>
      <c r="R102" s="9">
        <v>5</v>
      </c>
      <c r="S102" s="6">
        <v>0.55555555555555558</v>
      </c>
      <c r="Y102" s="33"/>
      <c r="Z102" s="5"/>
      <c r="AA102" s="87"/>
      <c r="AB102" s="9"/>
      <c r="AC102" s="6"/>
      <c r="AD102" s="4"/>
    </row>
    <row r="103" spans="1:33" x14ac:dyDescent="0.2">
      <c r="A103" s="66" t="s">
        <v>49</v>
      </c>
      <c r="B103" s="80" t="s">
        <v>69</v>
      </c>
      <c r="C103" s="9">
        <v>2</v>
      </c>
      <c r="D103" s="6">
        <v>0.22222222222222221</v>
      </c>
      <c r="P103" s="66" t="s">
        <v>49</v>
      </c>
      <c r="Y103" s="66"/>
      <c r="Z103" s="5"/>
    </row>
    <row r="104" spans="1:33" x14ac:dyDescent="0.2">
      <c r="A104" s="66" t="s">
        <v>42</v>
      </c>
      <c r="B104" s="81" t="s">
        <v>69</v>
      </c>
      <c r="C104" s="82">
        <v>6</v>
      </c>
      <c r="D104" s="52">
        <v>0.66666666666666663</v>
      </c>
      <c r="O104" s="91"/>
      <c r="P104" s="66" t="s">
        <v>42</v>
      </c>
      <c r="Q104" s="81" t="s">
        <v>69</v>
      </c>
      <c r="R104" s="82">
        <v>6</v>
      </c>
      <c r="S104" s="52">
        <v>0.66666666666666663</v>
      </c>
      <c r="T104" s="88" t="s">
        <v>68</v>
      </c>
      <c r="U104" s="9">
        <v>3</v>
      </c>
      <c r="V104" s="52">
        <v>0.33333333333333331</v>
      </c>
      <c r="X104" s="93"/>
      <c r="Y104" s="66" t="s">
        <v>42</v>
      </c>
      <c r="Z104" t="s">
        <v>115</v>
      </c>
      <c r="AA104" s="81" t="s">
        <v>69</v>
      </c>
      <c r="AB104" s="82">
        <v>6</v>
      </c>
      <c r="AC104" s="52">
        <v>0.66666666666666663</v>
      </c>
      <c r="AD104" t="s">
        <v>113</v>
      </c>
      <c r="AE104" s="88" t="s">
        <v>68</v>
      </c>
      <c r="AF104" s="9">
        <v>3</v>
      </c>
      <c r="AG104" s="52">
        <v>0.33333333333333331</v>
      </c>
    </row>
    <row r="105" spans="1:33" x14ac:dyDescent="0.2">
      <c r="A105" s="66" t="s">
        <v>42</v>
      </c>
      <c r="B105" s="81" t="s">
        <v>88</v>
      </c>
      <c r="C105" s="9">
        <v>10</v>
      </c>
      <c r="D105" s="52">
        <v>0.66666666666666663</v>
      </c>
      <c r="O105" s="91"/>
      <c r="P105" s="66" t="s">
        <v>42</v>
      </c>
      <c r="Q105" s="81" t="s">
        <v>88</v>
      </c>
      <c r="R105" s="9">
        <v>10</v>
      </c>
      <c r="S105" s="52">
        <v>0.66666666666666663</v>
      </c>
      <c r="X105" s="93"/>
      <c r="Y105" s="66" t="s">
        <v>42</v>
      </c>
      <c r="Z105" s="99"/>
      <c r="AA105" s="81" t="s">
        <v>88</v>
      </c>
      <c r="AB105" s="9">
        <v>10</v>
      </c>
      <c r="AC105" s="52">
        <v>0.66666666666666663</v>
      </c>
      <c r="AD105" s="4"/>
    </row>
    <row r="106" spans="1:33" x14ac:dyDescent="0.2">
      <c r="A106" s="66" t="s">
        <v>42</v>
      </c>
      <c r="B106" s="88" t="s">
        <v>68</v>
      </c>
      <c r="C106" s="9">
        <v>3</v>
      </c>
      <c r="D106" s="52">
        <v>0.33333333333333331</v>
      </c>
      <c r="P106" s="66" t="s">
        <v>42</v>
      </c>
      <c r="Y106" s="66" t="s">
        <v>42</v>
      </c>
      <c r="Z106" s="5"/>
    </row>
    <row r="107" spans="1:33" x14ac:dyDescent="0.2">
      <c r="A107" s="66" t="s">
        <v>56</v>
      </c>
      <c r="B107" s="81" t="s">
        <v>88</v>
      </c>
      <c r="C107" s="9">
        <v>7</v>
      </c>
      <c r="D107" s="52">
        <v>0.46666666666666667</v>
      </c>
      <c r="P107" s="66" t="s">
        <v>56</v>
      </c>
      <c r="Q107" s="81" t="s">
        <v>88</v>
      </c>
      <c r="R107" s="9">
        <v>7</v>
      </c>
      <c r="S107" s="52">
        <v>0.46666666666666667</v>
      </c>
      <c r="T107" s="81" t="s">
        <v>69</v>
      </c>
      <c r="U107" s="9">
        <v>1</v>
      </c>
      <c r="V107" s="52">
        <v>0.1111111111111111</v>
      </c>
      <c r="Y107" s="66" t="s">
        <v>56</v>
      </c>
      <c r="Z107" t="s">
        <v>115</v>
      </c>
      <c r="AA107" s="81" t="s">
        <v>88</v>
      </c>
      <c r="AB107" s="9">
        <v>7</v>
      </c>
      <c r="AC107" s="52">
        <v>0.46666666666666667</v>
      </c>
      <c r="AD107" t="s">
        <v>113</v>
      </c>
      <c r="AE107" s="81" t="s">
        <v>69</v>
      </c>
      <c r="AF107" s="9">
        <v>1</v>
      </c>
      <c r="AG107" s="52">
        <v>0.1111111111111111</v>
      </c>
    </row>
    <row r="108" spans="1:33" x14ac:dyDescent="0.2">
      <c r="A108" s="66" t="s">
        <v>56</v>
      </c>
      <c r="B108" s="88" t="s">
        <v>68</v>
      </c>
      <c r="C108" s="9">
        <v>3</v>
      </c>
      <c r="D108" s="52">
        <v>0.33333333333333331</v>
      </c>
      <c r="P108" s="66" t="s">
        <v>56</v>
      </c>
      <c r="Q108" s="88" t="s">
        <v>68</v>
      </c>
      <c r="R108" s="9">
        <v>3</v>
      </c>
      <c r="S108" s="52">
        <v>0.33333333333333331</v>
      </c>
      <c r="Y108" s="66"/>
      <c r="Z108" s="99"/>
      <c r="AA108" s="88"/>
      <c r="AB108" s="9"/>
      <c r="AC108" s="52"/>
      <c r="AD108" s="4"/>
    </row>
    <row r="109" spans="1:33" x14ac:dyDescent="0.2">
      <c r="A109" s="66" t="s">
        <v>56</v>
      </c>
      <c r="B109" s="81" t="s">
        <v>69</v>
      </c>
      <c r="C109" s="9">
        <v>1</v>
      </c>
      <c r="D109" s="52">
        <v>0.1111111111111111</v>
      </c>
      <c r="P109" s="66" t="s">
        <v>56</v>
      </c>
      <c r="Y109" s="66"/>
      <c r="Z109" s="5"/>
    </row>
    <row r="110" spans="1:33" x14ac:dyDescent="0.2">
      <c r="A110" s="66" t="s">
        <v>60</v>
      </c>
      <c r="B110" s="81" t="s">
        <v>69</v>
      </c>
      <c r="C110" s="9">
        <v>5</v>
      </c>
      <c r="D110" s="52">
        <v>0.55555555555555558</v>
      </c>
      <c r="P110" s="66" t="s">
        <v>60</v>
      </c>
      <c r="Q110" s="81" t="s">
        <v>69</v>
      </c>
      <c r="R110" s="9">
        <v>5</v>
      </c>
      <c r="S110" s="52">
        <v>0.55555555555555558</v>
      </c>
      <c r="T110" s="81" t="s">
        <v>88</v>
      </c>
      <c r="U110" s="9">
        <v>1</v>
      </c>
      <c r="V110" s="52">
        <v>6.6666666666666666E-2</v>
      </c>
      <c r="Y110" s="66" t="s">
        <v>60</v>
      </c>
      <c r="Z110" t="s">
        <v>115</v>
      </c>
      <c r="AA110" s="81" t="s">
        <v>69</v>
      </c>
      <c r="AB110" s="9">
        <v>5</v>
      </c>
      <c r="AC110" s="52">
        <v>0.55555555555555558</v>
      </c>
      <c r="AD110" t="s">
        <v>113</v>
      </c>
      <c r="AE110" s="81" t="s">
        <v>88</v>
      </c>
      <c r="AF110" s="9">
        <v>1</v>
      </c>
      <c r="AG110" s="52">
        <v>6.6666666666666666E-2</v>
      </c>
    </row>
    <row r="111" spans="1:33" x14ac:dyDescent="0.2">
      <c r="A111" s="66" t="s">
        <v>60</v>
      </c>
      <c r="B111" s="88" t="s">
        <v>68</v>
      </c>
      <c r="C111" s="9">
        <v>3</v>
      </c>
      <c r="D111" s="52">
        <v>0.33333333333333331</v>
      </c>
      <c r="P111" s="66" t="s">
        <v>60</v>
      </c>
      <c r="Q111" s="88" t="s">
        <v>68</v>
      </c>
      <c r="R111" s="9">
        <v>3</v>
      </c>
      <c r="S111" s="52">
        <v>0.33333333333333331</v>
      </c>
      <c r="Y111" s="66"/>
      <c r="Z111" s="99"/>
      <c r="AA111" s="88"/>
      <c r="AB111" s="9"/>
      <c r="AC111" s="52"/>
      <c r="AD111" s="4"/>
    </row>
    <row r="112" spans="1:33" x14ac:dyDescent="0.2">
      <c r="A112" s="66" t="s">
        <v>60</v>
      </c>
      <c r="B112" s="81" t="s">
        <v>88</v>
      </c>
      <c r="C112" s="9">
        <v>1</v>
      </c>
      <c r="D112" s="52">
        <v>6.6666666666666666E-2</v>
      </c>
      <c r="P112" s="66" t="s">
        <v>60</v>
      </c>
      <c r="Y112" s="66"/>
      <c r="Z112" s="5"/>
    </row>
    <row r="113" spans="1:33" x14ac:dyDescent="0.2">
      <c r="A113" s="66" t="s">
        <v>64</v>
      </c>
      <c r="B113" s="81" t="s">
        <v>69</v>
      </c>
      <c r="C113" s="9">
        <v>4</v>
      </c>
      <c r="D113" s="52">
        <v>0.44444444444444442</v>
      </c>
      <c r="P113" s="66" t="s">
        <v>64</v>
      </c>
      <c r="Q113" s="81" t="s">
        <v>69</v>
      </c>
      <c r="R113" s="9">
        <v>4</v>
      </c>
      <c r="S113" s="52">
        <v>0.44444444444444442</v>
      </c>
      <c r="T113" s="81" t="s">
        <v>88</v>
      </c>
      <c r="U113" s="9">
        <v>0</v>
      </c>
      <c r="V113" s="52">
        <v>0</v>
      </c>
      <c r="Y113" s="66" t="s">
        <v>64</v>
      </c>
      <c r="Z113" t="s">
        <v>115</v>
      </c>
      <c r="AA113" s="81" t="s">
        <v>69</v>
      </c>
      <c r="AB113" s="9">
        <v>4</v>
      </c>
      <c r="AC113" s="52">
        <v>0.44444444444444442</v>
      </c>
      <c r="AD113" t="s">
        <v>113</v>
      </c>
      <c r="AE113" s="81" t="s">
        <v>88</v>
      </c>
      <c r="AF113" s="9">
        <v>0</v>
      </c>
      <c r="AG113" s="52">
        <v>0</v>
      </c>
    </row>
    <row r="114" spans="1:33" x14ac:dyDescent="0.2">
      <c r="A114" s="66" t="s">
        <v>64</v>
      </c>
      <c r="B114" s="88" t="s">
        <v>68</v>
      </c>
      <c r="C114" s="9">
        <v>3</v>
      </c>
      <c r="D114" s="52">
        <v>0.33333333333333331</v>
      </c>
      <c r="P114" s="66" t="s">
        <v>64</v>
      </c>
      <c r="Q114" s="88" t="s">
        <v>68</v>
      </c>
      <c r="R114" s="9">
        <v>3</v>
      </c>
      <c r="S114" s="52">
        <v>0.33333333333333331</v>
      </c>
      <c r="Y114" s="66"/>
      <c r="Z114" s="99"/>
      <c r="AA114" s="88"/>
      <c r="AB114" s="9"/>
      <c r="AC114" s="52"/>
      <c r="AD114" s="4"/>
    </row>
    <row r="115" spans="1:33" x14ac:dyDescent="0.2">
      <c r="A115" s="66" t="s">
        <v>64</v>
      </c>
      <c r="B115" s="81" t="s">
        <v>88</v>
      </c>
      <c r="C115" s="9">
        <v>0</v>
      </c>
      <c r="D115" s="52">
        <v>0</v>
      </c>
      <c r="P115" s="66" t="s">
        <v>64</v>
      </c>
      <c r="Y115" s="66"/>
      <c r="Z115" s="5"/>
    </row>
    <row r="116" spans="1:33" x14ac:dyDescent="0.2">
      <c r="A116" s="65" t="s">
        <v>36</v>
      </c>
      <c r="B116" s="81" t="s">
        <v>88</v>
      </c>
      <c r="C116" s="9">
        <v>12</v>
      </c>
      <c r="D116" s="52">
        <v>0.8</v>
      </c>
      <c r="P116" s="65" t="s">
        <v>36</v>
      </c>
      <c r="Q116" s="81" t="s">
        <v>88</v>
      </c>
      <c r="R116" s="9">
        <v>12</v>
      </c>
      <c r="S116" s="52">
        <v>0.8</v>
      </c>
      <c r="T116" s="81" t="s">
        <v>69</v>
      </c>
      <c r="U116" s="9">
        <v>5</v>
      </c>
      <c r="V116" s="52">
        <v>0.55555555555555558</v>
      </c>
      <c r="X116" s="90"/>
      <c r="Y116" s="65" t="s">
        <v>36</v>
      </c>
      <c r="Z116" t="s">
        <v>115</v>
      </c>
      <c r="AA116" s="81" t="s">
        <v>88</v>
      </c>
      <c r="AB116" s="9">
        <v>12</v>
      </c>
      <c r="AC116" s="52">
        <v>0.8</v>
      </c>
      <c r="AD116" t="s">
        <v>113</v>
      </c>
      <c r="AE116" s="81" t="s">
        <v>69</v>
      </c>
      <c r="AF116" s="9">
        <v>5</v>
      </c>
      <c r="AG116" s="52">
        <v>0.55555555555555558</v>
      </c>
    </row>
    <row r="117" spans="1:33" x14ac:dyDescent="0.2">
      <c r="A117" s="65" t="s">
        <v>36</v>
      </c>
      <c r="B117" s="88" t="s">
        <v>68</v>
      </c>
      <c r="C117" s="9">
        <v>5</v>
      </c>
      <c r="D117" s="52">
        <v>0.55555555555555558</v>
      </c>
      <c r="P117" s="65" t="s">
        <v>36</v>
      </c>
      <c r="T117" s="88" t="s">
        <v>68</v>
      </c>
      <c r="U117" s="9">
        <v>5</v>
      </c>
      <c r="V117" s="52">
        <v>0.55555555555555558</v>
      </c>
      <c r="X117" s="90"/>
      <c r="Y117" s="65" t="s">
        <v>36</v>
      </c>
      <c r="Z117" s="72"/>
      <c r="AE117" s="88" t="s">
        <v>68</v>
      </c>
      <c r="AF117" s="9">
        <v>5</v>
      </c>
      <c r="AG117" s="52">
        <v>0.55555555555555558</v>
      </c>
    </row>
    <row r="118" spans="1:33" x14ac:dyDescent="0.2">
      <c r="A118" s="65" t="s">
        <v>36</v>
      </c>
      <c r="B118" s="81" t="s">
        <v>69</v>
      </c>
      <c r="C118" s="9">
        <v>5</v>
      </c>
      <c r="D118" s="52">
        <v>0.55555555555555558</v>
      </c>
      <c r="P118" s="65" t="s">
        <v>36</v>
      </c>
      <c r="Y118" s="65"/>
      <c r="Z118" s="72"/>
    </row>
    <row r="119" spans="1:33" x14ac:dyDescent="0.2">
      <c r="A119" s="66" t="s">
        <v>52</v>
      </c>
      <c r="B119" s="88" t="s">
        <v>68</v>
      </c>
      <c r="C119" s="9">
        <v>7</v>
      </c>
      <c r="D119" s="52">
        <v>0.77777777777777779</v>
      </c>
      <c r="P119" s="66" t="s">
        <v>52</v>
      </c>
      <c r="Q119" s="88" t="s">
        <v>68</v>
      </c>
      <c r="R119" s="9">
        <v>7</v>
      </c>
      <c r="S119" s="52">
        <v>0.77777777777777779</v>
      </c>
      <c r="T119" s="81" t="s">
        <v>69</v>
      </c>
      <c r="U119" s="9">
        <v>1</v>
      </c>
      <c r="V119" s="52">
        <v>0.1111111111111111</v>
      </c>
      <c r="Y119" s="66" t="s">
        <v>52</v>
      </c>
      <c r="Z119" t="s">
        <v>115</v>
      </c>
      <c r="AA119" s="88" t="s">
        <v>68</v>
      </c>
      <c r="AB119" s="9">
        <v>7</v>
      </c>
      <c r="AC119" s="52">
        <v>0.77777777777777779</v>
      </c>
      <c r="AD119" t="s">
        <v>113</v>
      </c>
      <c r="AE119" s="81" t="s">
        <v>69</v>
      </c>
      <c r="AF119" s="9">
        <v>1</v>
      </c>
      <c r="AG119" s="52">
        <v>0.1111111111111111</v>
      </c>
    </row>
    <row r="120" spans="1:33" x14ac:dyDescent="0.2">
      <c r="A120" s="66" t="s">
        <v>52</v>
      </c>
      <c r="B120" s="81" t="s">
        <v>88</v>
      </c>
      <c r="C120" s="9">
        <v>5</v>
      </c>
      <c r="D120" s="52">
        <v>0.33333333333333331</v>
      </c>
      <c r="P120" s="66" t="s">
        <v>52</v>
      </c>
      <c r="Q120" s="81" t="s">
        <v>88</v>
      </c>
      <c r="R120" s="9">
        <v>5</v>
      </c>
      <c r="S120" s="52">
        <v>0.33333333333333331</v>
      </c>
      <c r="Y120" s="66"/>
      <c r="Z120" s="99"/>
      <c r="AA120" s="81"/>
      <c r="AB120" s="9"/>
      <c r="AC120" s="52"/>
      <c r="AD120" s="4"/>
    </row>
    <row r="121" spans="1:33" x14ac:dyDescent="0.2">
      <c r="A121" s="66" t="s">
        <v>52</v>
      </c>
      <c r="B121" s="81" t="s">
        <v>69</v>
      </c>
      <c r="C121" s="9">
        <v>1</v>
      </c>
      <c r="D121" s="52">
        <v>0.1111111111111111</v>
      </c>
      <c r="P121" s="66" t="s">
        <v>52</v>
      </c>
      <c r="Y121" s="66"/>
      <c r="Z121" s="5"/>
    </row>
    <row r="122" spans="1:33" x14ac:dyDescent="0.2">
      <c r="A122" s="65" t="s">
        <v>43</v>
      </c>
      <c r="B122" s="81" t="s">
        <v>88</v>
      </c>
      <c r="C122" s="9">
        <v>11</v>
      </c>
      <c r="D122" s="52">
        <v>0.73333333333333328</v>
      </c>
      <c r="P122" s="65" t="s">
        <v>43</v>
      </c>
      <c r="Q122" s="81" t="s">
        <v>88</v>
      </c>
      <c r="R122" s="9">
        <v>11</v>
      </c>
      <c r="S122" s="52">
        <v>0.73333333333333328</v>
      </c>
      <c r="T122" s="81" t="s">
        <v>69</v>
      </c>
      <c r="U122" s="9">
        <v>2</v>
      </c>
      <c r="V122" s="52">
        <v>0.22222222222222221</v>
      </c>
      <c r="Y122" s="65" t="s">
        <v>43</v>
      </c>
      <c r="Z122" t="s">
        <v>115</v>
      </c>
      <c r="AA122" s="81" t="s">
        <v>88</v>
      </c>
      <c r="AB122" s="9">
        <v>11</v>
      </c>
      <c r="AC122" s="52">
        <v>0.73333333333333328</v>
      </c>
      <c r="AD122" t="s">
        <v>113</v>
      </c>
      <c r="AE122" s="81" t="s">
        <v>69</v>
      </c>
      <c r="AF122" s="9">
        <v>2</v>
      </c>
      <c r="AG122" s="52">
        <v>0.22222222222222221</v>
      </c>
    </row>
    <row r="123" spans="1:33" x14ac:dyDescent="0.2">
      <c r="A123" s="65" t="s">
        <v>43</v>
      </c>
      <c r="B123" s="88" t="s">
        <v>68</v>
      </c>
      <c r="C123" s="9">
        <v>6</v>
      </c>
      <c r="D123" s="52">
        <v>0.66666666666666663</v>
      </c>
      <c r="P123" s="65" t="s">
        <v>43</v>
      </c>
      <c r="Q123" s="88" t="s">
        <v>68</v>
      </c>
      <c r="R123" s="9">
        <v>6</v>
      </c>
      <c r="S123" s="52">
        <v>0.66666666666666663</v>
      </c>
      <c r="Y123" s="65"/>
      <c r="Z123" s="74"/>
      <c r="AA123" s="88"/>
      <c r="AB123" s="9"/>
      <c r="AC123" s="52"/>
      <c r="AD123" s="4"/>
    </row>
    <row r="124" spans="1:33" x14ac:dyDescent="0.2">
      <c r="A124" s="65" t="s">
        <v>43</v>
      </c>
      <c r="B124" s="81" t="s">
        <v>69</v>
      </c>
      <c r="C124" s="9">
        <v>2</v>
      </c>
      <c r="D124" s="52">
        <v>0.22222222222222221</v>
      </c>
      <c r="P124" s="65" t="s">
        <v>43</v>
      </c>
      <c r="Y124" s="65"/>
      <c r="Z124" s="72"/>
    </row>
    <row r="125" spans="1:33" x14ac:dyDescent="0.2">
      <c r="A125" s="66" t="s">
        <v>37</v>
      </c>
      <c r="B125" s="81" t="s">
        <v>69</v>
      </c>
      <c r="C125" s="9">
        <v>8</v>
      </c>
      <c r="D125" s="52">
        <v>0.88888888888888884</v>
      </c>
      <c r="P125" s="66" t="s">
        <v>37</v>
      </c>
      <c r="Q125" s="81" t="s">
        <v>69</v>
      </c>
      <c r="R125" s="9">
        <v>8</v>
      </c>
      <c r="S125" s="52">
        <v>0.88888888888888884</v>
      </c>
      <c r="T125" s="81" t="s">
        <v>88</v>
      </c>
      <c r="U125" s="9">
        <v>6</v>
      </c>
      <c r="V125" s="52">
        <v>0.4</v>
      </c>
      <c r="Y125" s="66" t="s">
        <v>37</v>
      </c>
      <c r="Z125" t="s">
        <v>112</v>
      </c>
      <c r="AA125" s="81" t="s">
        <v>69</v>
      </c>
      <c r="AB125" s="9">
        <v>8</v>
      </c>
      <c r="AC125" s="52">
        <v>0.88888888888888884</v>
      </c>
      <c r="AD125" t="s">
        <v>113</v>
      </c>
      <c r="AE125" s="81" t="s">
        <v>88</v>
      </c>
      <c r="AF125" s="9">
        <v>6</v>
      </c>
      <c r="AG125" s="52">
        <v>0.4</v>
      </c>
    </row>
    <row r="126" spans="1:33" x14ac:dyDescent="0.2">
      <c r="A126" s="66" t="s">
        <v>37</v>
      </c>
      <c r="B126" s="88" t="s">
        <v>68</v>
      </c>
      <c r="C126" s="9">
        <v>7</v>
      </c>
      <c r="D126" s="52">
        <v>0.77777777777777779</v>
      </c>
      <c r="P126" s="66" t="s">
        <v>37</v>
      </c>
      <c r="Q126" s="88" t="s">
        <v>68</v>
      </c>
      <c r="R126" s="9">
        <v>7</v>
      </c>
      <c r="S126" s="52">
        <v>0.77777777777777779</v>
      </c>
      <c r="Y126" s="66"/>
      <c r="Z126" s="99"/>
      <c r="AA126" s="88"/>
      <c r="AB126" s="9"/>
      <c r="AC126" s="52"/>
      <c r="AD126" s="4"/>
    </row>
    <row r="127" spans="1:33" x14ac:dyDescent="0.2">
      <c r="A127" s="66" t="s">
        <v>37</v>
      </c>
      <c r="B127" s="81" t="s">
        <v>88</v>
      </c>
      <c r="C127" s="9">
        <v>6</v>
      </c>
      <c r="D127" s="52">
        <v>0.4</v>
      </c>
      <c r="P127" s="66" t="s">
        <v>37</v>
      </c>
      <c r="Y127" s="66"/>
      <c r="Z127" s="5"/>
    </row>
    <row r="128" spans="1:33" x14ac:dyDescent="0.2">
      <c r="A128" s="65" t="s">
        <v>61</v>
      </c>
      <c r="B128" s="88" t="s">
        <v>68</v>
      </c>
      <c r="C128" s="9">
        <v>6</v>
      </c>
      <c r="D128" s="52">
        <v>0.66666666666666663</v>
      </c>
      <c r="P128" s="65" t="s">
        <v>61</v>
      </c>
      <c r="Q128" s="88" t="s">
        <v>68</v>
      </c>
      <c r="R128" s="9">
        <v>6</v>
      </c>
      <c r="S128" s="52">
        <v>0.66666666666666663</v>
      </c>
      <c r="T128" s="81" t="s">
        <v>88</v>
      </c>
      <c r="U128" s="9">
        <v>1</v>
      </c>
      <c r="V128" s="52">
        <v>6.6666666666666666E-2</v>
      </c>
      <c r="Y128" s="65" t="s">
        <v>61</v>
      </c>
      <c r="Z128" t="s">
        <v>115</v>
      </c>
      <c r="AA128" s="88" t="s">
        <v>68</v>
      </c>
      <c r="AB128" s="9">
        <v>6</v>
      </c>
      <c r="AC128" s="52">
        <v>0.66666666666666663</v>
      </c>
      <c r="AD128" t="s">
        <v>113</v>
      </c>
      <c r="AE128" s="81" t="s">
        <v>88</v>
      </c>
      <c r="AF128" s="9">
        <v>1</v>
      </c>
      <c r="AG128" s="52">
        <v>6.6666666666666666E-2</v>
      </c>
    </row>
    <row r="129" spans="1:33" x14ac:dyDescent="0.2">
      <c r="A129" s="65" t="s">
        <v>61</v>
      </c>
      <c r="B129" s="81" t="s">
        <v>69</v>
      </c>
      <c r="C129" s="9">
        <v>2</v>
      </c>
      <c r="D129" s="52">
        <v>0.22222222222222221</v>
      </c>
      <c r="P129" s="65" t="s">
        <v>61</v>
      </c>
      <c r="Q129" s="81" t="s">
        <v>69</v>
      </c>
      <c r="R129" s="9">
        <v>2</v>
      </c>
      <c r="S129" s="52">
        <v>0.22222222222222221</v>
      </c>
      <c r="Y129" s="65"/>
      <c r="Z129" s="74"/>
      <c r="AA129" s="81"/>
      <c r="AB129" s="9"/>
      <c r="AC129" s="52"/>
      <c r="AD129" s="4"/>
    </row>
    <row r="130" spans="1:33" x14ac:dyDescent="0.2">
      <c r="A130" s="65" t="s">
        <v>61</v>
      </c>
      <c r="B130" s="81" t="s">
        <v>88</v>
      </c>
      <c r="C130" s="9">
        <v>1</v>
      </c>
      <c r="D130" s="52">
        <v>6.6666666666666666E-2</v>
      </c>
      <c r="P130" s="65" t="s">
        <v>61</v>
      </c>
      <c r="Y130" s="65"/>
      <c r="Z130" s="72"/>
    </row>
    <row r="131" spans="1:33" x14ac:dyDescent="0.2">
      <c r="A131" s="85" t="s">
        <v>34</v>
      </c>
      <c r="B131" s="81" t="s">
        <v>69</v>
      </c>
      <c r="C131" s="9">
        <v>9</v>
      </c>
      <c r="D131" s="52">
        <v>1</v>
      </c>
      <c r="P131" s="85" t="s">
        <v>34</v>
      </c>
      <c r="Q131" s="81" t="s">
        <v>69</v>
      </c>
      <c r="R131" s="9">
        <v>9</v>
      </c>
      <c r="S131" s="52">
        <v>1</v>
      </c>
      <c r="T131" s="88" t="s">
        <v>68</v>
      </c>
      <c r="U131" s="9">
        <v>6</v>
      </c>
      <c r="V131" s="52">
        <v>0.66666666666666663</v>
      </c>
      <c r="Y131" s="85" t="s">
        <v>34</v>
      </c>
      <c r="Z131" t="s">
        <v>111</v>
      </c>
      <c r="AA131" s="81" t="s">
        <v>69</v>
      </c>
      <c r="AB131" s="9">
        <v>9</v>
      </c>
      <c r="AC131" s="52">
        <v>1</v>
      </c>
      <c r="AD131" t="s">
        <v>113</v>
      </c>
      <c r="AE131" s="88" t="s">
        <v>68</v>
      </c>
      <c r="AF131" s="9">
        <v>6</v>
      </c>
      <c r="AG131" s="52">
        <v>0.66666666666666663</v>
      </c>
    </row>
    <row r="132" spans="1:33" x14ac:dyDescent="0.2">
      <c r="A132" s="68" t="s">
        <v>34</v>
      </c>
      <c r="B132" s="81" t="s">
        <v>88</v>
      </c>
      <c r="C132" s="9">
        <v>11</v>
      </c>
      <c r="D132" s="52">
        <v>0.73333333333333328</v>
      </c>
      <c r="P132" s="68" t="s">
        <v>34</v>
      </c>
      <c r="Q132" s="81" t="s">
        <v>88</v>
      </c>
      <c r="R132" s="9">
        <v>11</v>
      </c>
      <c r="S132" s="52">
        <v>0.73333333333333328</v>
      </c>
      <c r="Y132" s="68"/>
      <c r="Z132" s="100"/>
      <c r="AA132" s="81"/>
      <c r="AB132" s="9"/>
      <c r="AC132" s="52"/>
      <c r="AD132" s="4"/>
    </row>
    <row r="133" spans="1:33" x14ac:dyDescent="0.2">
      <c r="A133" s="68" t="s">
        <v>34</v>
      </c>
      <c r="B133" s="88" t="s">
        <v>68</v>
      </c>
      <c r="C133" s="9">
        <v>6</v>
      </c>
      <c r="D133" s="52">
        <v>0.66666666666666663</v>
      </c>
      <c r="P133" s="68" t="s">
        <v>34</v>
      </c>
      <c r="Y133" s="68"/>
      <c r="Z133" s="25"/>
    </row>
    <row r="134" spans="1:33" x14ac:dyDescent="0.2">
      <c r="A134" s="66" t="s">
        <v>44</v>
      </c>
      <c r="B134" s="88" t="s">
        <v>68</v>
      </c>
      <c r="C134" s="9">
        <v>7</v>
      </c>
      <c r="D134" s="52">
        <v>0.77777777777777779</v>
      </c>
      <c r="P134" s="66" t="s">
        <v>44</v>
      </c>
      <c r="Q134" s="88" t="s">
        <v>68</v>
      </c>
      <c r="R134" s="9">
        <v>7</v>
      </c>
      <c r="S134" s="52">
        <v>0.77777777777777779</v>
      </c>
      <c r="T134" s="81" t="s">
        <v>88</v>
      </c>
      <c r="U134" s="9">
        <v>7</v>
      </c>
      <c r="V134" s="52">
        <v>0.46666666666666667</v>
      </c>
      <c r="Y134" s="66" t="s">
        <v>44</v>
      </c>
      <c r="Z134" t="s">
        <v>115</v>
      </c>
      <c r="AA134" s="88" t="s">
        <v>68</v>
      </c>
      <c r="AB134" s="9">
        <v>7</v>
      </c>
      <c r="AC134" s="52">
        <v>0.77777777777777779</v>
      </c>
      <c r="AD134" t="s">
        <v>113</v>
      </c>
      <c r="AE134" s="81" t="s">
        <v>88</v>
      </c>
      <c r="AF134" s="9">
        <v>7</v>
      </c>
      <c r="AG134" s="52">
        <v>0.46666666666666667</v>
      </c>
    </row>
    <row r="135" spans="1:33" x14ac:dyDescent="0.2">
      <c r="A135" s="66" t="s">
        <v>44</v>
      </c>
      <c r="B135" s="81" t="s">
        <v>69</v>
      </c>
      <c r="C135" s="9">
        <v>5</v>
      </c>
      <c r="D135" s="52">
        <v>0.55555555555555558</v>
      </c>
      <c r="P135" s="66" t="s">
        <v>44</v>
      </c>
      <c r="Q135" s="81" t="s">
        <v>69</v>
      </c>
      <c r="R135" s="9">
        <v>5</v>
      </c>
      <c r="S135" s="52">
        <v>0.55555555555555558</v>
      </c>
      <c r="Y135" s="66"/>
      <c r="Z135" s="99"/>
      <c r="AA135" s="81"/>
      <c r="AB135" s="9"/>
      <c r="AC135" s="52"/>
      <c r="AD135" s="4"/>
    </row>
    <row r="136" spans="1:33" x14ac:dyDescent="0.2">
      <c r="A136" s="66" t="s">
        <v>44</v>
      </c>
      <c r="B136" s="81" t="s">
        <v>88</v>
      </c>
      <c r="C136" s="9">
        <v>7</v>
      </c>
      <c r="D136" s="52">
        <v>0.46666666666666667</v>
      </c>
      <c r="P136" s="66" t="s">
        <v>44</v>
      </c>
      <c r="Y136" s="66"/>
      <c r="Z136" s="5"/>
    </row>
    <row r="137" spans="1:33" x14ac:dyDescent="0.2">
      <c r="A137" s="65" t="s">
        <v>63</v>
      </c>
      <c r="B137" s="88" t="s">
        <v>68</v>
      </c>
      <c r="C137" s="9">
        <v>5</v>
      </c>
      <c r="D137" s="52">
        <v>0.55555555555555558</v>
      </c>
      <c r="P137" s="65" t="s">
        <v>63</v>
      </c>
      <c r="Q137" s="88" t="s">
        <v>68</v>
      </c>
      <c r="R137" s="9">
        <v>5</v>
      </c>
      <c r="S137" s="52">
        <v>0.55555555555555558</v>
      </c>
      <c r="T137" s="81" t="s">
        <v>88</v>
      </c>
      <c r="U137" s="9">
        <v>0</v>
      </c>
      <c r="V137" s="52">
        <v>0</v>
      </c>
      <c r="Y137" s="65" t="s">
        <v>63</v>
      </c>
      <c r="Z137" t="s">
        <v>115</v>
      </c>
      <c r="AA137" s="88" t="s">
        <v>68</v>
      </c>
      <c r="AB137" s="9">
        <v>5</v>
      </c>
      <c r="AC137" s="52">
        <v>0.55555555555555558</v>
      </c>
      <c r="AD137" t="s">
        <v>113</v>
      </c>
      <c r="AE137" s="81" t="s">
        <v>88</v>
      </c>
      <c r="AF137" s="9">
        <v>0</v>
      </c>
      <c r="AG137" s="52">
        <v>0</v>
      </c>
    </row>
    <row r="138" spans="1:33" x14ac:dyDescent="0.2">
      <c r="A138" s="65" t="s">
        <v>63</v>
      </c>
      <c r="B138" s="81" t="s">
        <v>69</v>
      </c>
      <c r="C138" s="9">
        <v>3</v>
      </c>
      <c r="D138" s="52">
        <v>0.33333333333333331</v>
      </c>
      <c r="P138" s="65" t="s">
        <v>63</v>
      </c>
      <c r="Q138" s="81" t="s">
        <v>69</v>
      </c>
      <c r="R138" s="9">
        <v>3</v>
      </c>
      <c r="S138" s="52">
        <v>0.33333333333333331</v>
      </c>
      <c r="Y138" s="65"/>
      <c r="Z138" s="74"/>
      <c r="AA138" s="81"/>
      <c r="AB138" s="9"/>
      <c r="AC138" s="52"/>
      <c r="AD138" s="4"/>
    </row>
    <row r="139" spans="1:33" x14ac:dyDescent="0.2">
      <c r="A139" s="65" t="s">
        <v>63</v>
      </c>
      <c r="B139" s="81" t="s">
        <v>88</v>
      </c>
      <c r="C139" s="9">
        <v>0</v>
      </c>
      <c r="D139" s="52">
        <v>0</v>
      </c>
      <c r="P139" s="65" t="s">
        <v>63</v>
      </c>
      <c r="Y139" s="65"/>
      <c r="Z139" s="72"/>
    </row>
    <row r="140" spans="1:33" x14ac:dyDescent="0.2">
      <c r="A140" s="65" t="s">
        <v>38</v>
      </c>
      <c r="B140" s="81" t="s">
        <v>88</v>
      </c>
      <c r="C140" s="9">
        <v>11</v>
      </c>
      <c r="D140" s="52">
        <v>0.73333333333333328</v>
      </c>
      <c r="P140" s="65" t="s">
        <v>38</v>
      </c>
      <c r="Q140" s="81" t="s">
        <v>88</v>
      </c>
      <c r="R140" s="9">
        <v>11</v>
      </c>
      <c r="S140" s="52">
        <v>0.73333333333333328</v>
      </c>
      <c r="T140" s="88" t="s">
        <v>68</v>
      </c>
      <c r="U140" s="9">
        <v>4</v>
      </c>
      <c r="V140" s="52">
        <v>0.44444444444444442</v>
      </c>
      <c r="Y140" s="65" t="s">
        <v>38</v>
      </c>
      <c r="Z140" t="s">
        <v>115</v>
      </c>
      <c r="AA140" s="81" t="s">
        <v>88</v>
      </c>
      <c r="AB140" s="9">
        <v>11</v>
      </c>
      <c r="AC140" s="52">
        <v>0.73333333333333328</v>
      </c>
      <c r="AD140" t="s">
        <v>113</v>
      </c>
      <c r="AE140" s="88" t="s">
        <v>68</v>
      </c>
      <c r="AF140" s="9">
        <v>4</v>
      </c>
      <c r="AG140" s="52">
        <v>0.44444444444444442</v>
      </c>
    </row>
    <row r="141" spans="1:33" x14ac:dyDescent="0.2">
      <c r="A141" s="65" t="s">
        <v>38</v>
      </c>
      <c r="B141" s="81" t="s">
        <v>69</v>
      </c>
      <c r="C141" s="9">
        <v>6</v>
      </c>
      <c r="D141" s="52">
        <v>0.66666666666666663</v>
      </c>
      <c r="P141" s="65" t="s">
        <v>38</v>
      </c>
      <c r="Q141" s="81" t="s">
        <v>69</v>
      </c>
      <c r="R141" s="9">
        <v>6</v>
      </c>
      <c r="S141" s="52">
        <v>0.66666666666666663</v>
      </c>
      <c r="Y141" s="65"/>
      <c r="Z141" s="74"/>
      <c r="AA141" s="81"/>
      <c r="AB141" s="9"/>
      <c r="AC141" s="52"/>
      <c r="AD141" s="4"/>
    </row>
    <row r="142" spans="1:33" x14ac:dyDescent="0.2">
      <c r="A142" s="65" t="s">
        <v>38</v>
      </c>
      <c r="B142" s="88" t="s">
        <v>68</v>
      </c>
      <c r="C142" s="9">
        <v>4</v>
      </c>
      <c r="D142" s="52">
        <v>0.44444444444444442</v>
      </c>
      <c r="P142" s="65" t="s">
        <v>38</v>
      </c>
      <c r="Y142" s="65"/>
      <c r="Z142" s="72"/>
    </row>
    <row r="143" spans="1:33" x14ac:dyDescent="0.2">
      <c r="A143" s="65" t="s">
        <v>17</v>
      </c>
      <c r="B143" s="88" t="s">
        <v>68</v>
      </c>
      <c r="C143" s="9">
        <v>9</v>
      </c>
      <c r="D143" s="52">
        <v>1</v>
      </c>
      <c r="P143" s="65" t="s">
        <v>17</v>
      </c>
      <c r="Q143" s="88" t="s">
        <v>68</v>
      </c>
      <c r="R143" s="9">
        <v>9</v>
      </c>
      <c r="S143" s="52">
        <v>1</v>
      </c>
      <c r="T143" s="81" t="s">
        <v>88</v>
      </c>
      <c r="U143" s="9">
        <v>15</v>
      </c>
      <c r="V143" s="52">
        <v>1</v>
      </c>
      <c r="X143" s="92"/>
      <c r="Y143" s="65" t="s">
        <v>17</v>
      </c>
      <c r="Z143" t="s">
        <v>114</v>
      </c>
      <c r="AA143" s="88" t="s">
        <v>68</v>
      </c>
      <c r="AB143" s="9">
        <v>9</v>
      </c>
      <c r="AC143" s="52">
        <v>1</v>
      </c>
      <c r="AD143" s="4"/>
      <c r="AE143" s="81" t="s">
        <v>88</v>
      </c>
      <c r="AF143" s="9">
        <v>15</v>
      </c>
      <c r="AG143" s="52">
        <v>1</v>
      </c>
    </row>
    <row r="144" spans="1:33" x14ac:dyDescent="0.2">
      <c r="A144" s="65" t="s">
        <v>17</v>
      </c>
      <c r="B144" s="81" t="s">
        <v>69</v>
      </c>
      <c r="C144" s="9">
        <v>9</v>
      </c>
      <c r="D144" s="52">
        <v>1</v>
      </c>
      <c r="P144" s="65" t="s">
        <v>17</v>
      </c>
      <c r="Q144" s="81" t="s">
        <v>69</v>
      </c>
      <c r="R144" s="9">
        <v>9</v>
      </c>
      <c r="S144" s="52">
        <v>1</v>
      </c>
      <c r="X144" s="92"/>
      <c r="Y144" s="65" t="s">
        <v>17</v>
      </c>
      <c r="Z144" s="74"/>
      <c r="AA144" s="81" t="s">
        <v>69</v>
      </c>
      <c r="AB144" s="9">
        <v>9</v>
      </c>
      <c r="AC144" s="52">
        <v>1</v>
      </c>
      <c r="AD144" s="4"/>
    </row>
    <row r="145" spans="1:33" x14ac:dyDescent="0.2">
      <c r="A145" s="65" t="s">
        <v>17</v>
      </c>
      <c r="B145" s="81" t="s">
        <v>88</v>
      </c>
      <c r="C145" s="9">
        <v>15</v>
      </c>
      <c r="D145" s="52">
        <v>1</v>
      </c>
      <c r="P145" s="65" t="s">
        <v>17</v>
      </c>
      <c r="Y145" s="65"/>
      <c r="Z145" s="72"/>
    </row>
    <row r="146" spans="1:33" x14ac:dyDescent="0.2">
      <c r="A146" s="33" t="s">
        <v>27</v>
      </c>
      <c r="B146" s="88" t="s">
        <v>68</v>
      </c>
      <c r="C146" s="9">
        <v>9</v>
      </c>
      <c r="D146" s="52">
        <v>1</v>
      </c>
      <c r="P146" s="33" t="s">
        <v>27</v>
      </c>
      <c r="Q146" s="88" t="s">
        <v>68</v>
      </c>
      <c r="R146" s="9">
        <v>9</v>
      </c>
      <c r="S146" s="52">
        <v>1</v>
      </c>
      <c r="T146" s="81" t="s">
        <v>88</v>
      </c>
      <c r="U146" s="9">
        <v>10</v>
      </c>
      <c r="V146" s="52">
        <v>0.66666666666666663</v>
      </c>
      <c r="Y146" s="33" t="s">
        <v>27</v>
      </c>
      <c r="Z146" t="s">
        <v>111</v>
      </c>
      <c r="AA146" s="88" t="s">
        <v>68</v>
      </c>
      <c r="AB146" s="9">
        <v>9</v>
      </c>
      <c r="AC146" s="52">
        <v>1</v>
      </c>
      <c r="AD146" t="s">
        <v>113</v>
      </c>
      <c r="AE146" s="81" t="s">
        <v>88</v>
      </c>
      <c r="AF146" s="9">
        <v>10</v>
      </c>
      <c r="AG146" s="52">
        <v>0.66666666666666663</v>
      </c>
    </row>
    <row r="147" spans="1:33" x14ac:dyDescent="0.2">
      <c r="A147" s="66" t="s">
        <v>27</v>
      </c>
      <c r="B147" s="81" t="s">
        <v>69</v>
      </c>
      <c r="C147" s="9">
        <v>7</v>
      </c>
      <c r="D147" s="52">
        <v>0.77777777777777779</v>
      </c>
      <c r="P147" s="66" t="s">
        <v>27</v>
      </c>
      <c r="Q147" s="81" t="s">
        <v>69</v>
      </c>
      <c r="R147" s="9">
        <v>7</v>
      </c>
      <c r="S147" s="52">
        <v>0.77777777777777779</v>
      </c>
      <c r="Y147" s="66"/>
      <c r="Z147" s="99"/>
      <c r="AA147" s="81"/>
      <c r="AB147" s="9"/>
      <c r="AC147" s="52"/>
      <c r="AD147" s="4"/>
    </row>
    <row r="148" spans="1:33" x14ac:dyDescent="0.2">
      <c r="A148" s="66" t="s">
        <v>27</v>
      </c>
      <c r="B148" s="81" t="s">
        <v>88</v>
      </c>
      <c r="C148" s="9">
        <v>10</v>
      </c>
      <c r="D148" s="52">
        <v>0.66666666666666663</v>
      </c>
      <c r="P148" s="66" t="s">
        <v>27</v>
      </c>
      <c r="Y148" s="66"/>
      <c r="Z148" s="5"/>
    </row>
    <row r="149" spans="1:33" x14ac:dyDescent="0.2">
      <c r="A149" s="84" t="s">
        <v>18</v>
      </c>
      <c r="B149" s="88" t="s">
        <v>68</v>
      </c>
      <c r="C149" s="9">
        <v>9</v>
      </c>
      <c r="D149" s="52">
        <v>1</v>
      </c>
      <c r="P149" s="84" t="s">
        <v>18</v>
      </c>
      <c r="Q149" s="88" t="s">
        <v>68</v>
      </c>
      <c r="R149" s="9">
        <v>9</v>
      </c>
      <c r="S149" s="52">
        <v>1</v>
      </c>
      <c r="T149" s="81" t="s">
        <v>88</v>
      </c>
      <c r="U149" s="9">
        <v>15</v>
      </c>
      <c r="V149" s="52">
        <v>1</v>
      </c>
      <c r="X149" s="92"/>
      <c r="Y149" s="84" t="s">
        <v>18</v>
      </c>
      <c r="Z149" t="s">
        <v>114</v>
      </c>
      <c r="AA149" s="88" t="s">
        <v>68</v>
      </c>
      <c r="AB149" s="9">
        <v>9</v>
      </c>
      <c r="AC149" s="52">
        <v>1</v>
      </c>
      <c r="AD149" s="4"/>
      <c r="AE149" s="81" t="s">
        <v>88</v>
      </c>
      <c r="AF149" s="9">
        <v>15</v>
      </c>
      <c r="AG149" s="52">
        <v>1</v>
      </c>
    </row>
    <row r="150" spans="1:33" x14ac:dyDescent="0.2">
      <c r="A150" s="67" t="s">
        <v>18</v>
      </c>
      <c r="B150" s="81" t="s">
        <v>69</v>
      </c>
      <c r="C150" s="9">
        <v>9</v>
      </c>
      <c r="D150" s="52">
        <v>1</v>
      </c>
      <c r="P150" s="67" t="s">
        <v>18</v>
      </c>
      <c r="Q150" s="81" t="s">
        <v>69</v>
      </c>
      <c r="R150" s="9">
        <v>9</v>
      </c>
      <c r="S150" s="52">
        <v>1</v>
      </c>
      <c r="X150" s="92"/>
      <c r="Y150" s="67" t="s">
        <v>18</v>
      </c>
      <c r="Z150" s="101"/>
      <c r="AA150" s="81" t="s">
        <v>69</v>
      </c>
      <c r="AB150" s="9">
        <v>9</v>
      </c>
      <c r="AC150" s="52">
        <v>1</v>
      </c>
      <c r="AD150" s="4"/>
    </row>
    <row r="151" spans="1:33" x14ac:dyDescent="0.2">
      <c r="A151" s="67" t="s">
        <v>18</v>
      </c>
      <c r="B151" s="81" t="s">
        <v>88</v>
      </c>
      <c r="C151" s="9">
        <v>15</v>
      </c>
      <c r="D151" s="52">
        <v>1</v>
      </c>
      <c r="P151" s="67" t="s">
        <v>18</v>
      </c>
      <c r="Y151" s="67"/>
      <c r="Z151" s="13"/>
    </row>
    <row r="152" spans="1:33" x14ac:dyDescent="0.2">
      <c r="A152" s="65" t="s">
        <v>53</v>
      </c>
      <c r="B152" s="81" t="s">
        <v>69</v>
      </c>
      <c r="C152" s="9">
        <v>5</v>
      </c>
      <c r="D152" s="52">
        <v>0.55555555555555558</v>
      </c>
      <c r="P152" s="65" t="s">
        <v>53</v>
      </c>
      <c r="Q152" s="81" t="s">
        <v>69</v>
      </c>
      <c r="R152" s="9">
        <v>5</v>
      </c>
      <c r="S152" s="52">
        <v>0.55555555555555558</v>
      </c>
      <c r="T152" s="88" t="s">
        <v>68</v>
      </c>
      <c r="U152" s="83">
        <v>2</v>
      </c>
      <c r="V152" s="52">
        <v>0.22222222222222221</v>
      </c>
      <c r="Y152" s="65" t="s">
        <v>53</v>
      </c>
      <c r="Z152" t="s">
        <v>115</v>
      </c>
      <c r="AA152" s="81" t="s">
        <v>69</v>
      </c>
      <c r="AB152" s="9">
        <v>5</v>
      </c>
      <c r="AC152" s="52">
        <v>0.55555555555555558</v>
      </c>
      <c r="AD152" t="s">
        <v>113</v>
      </c>
      <c r="AE152" s="88" t="s">
        <v>68</v>
      </c>
      <c r="AF152" s="83">
        <v>2</v>
      </c>
      <c r="AG152" s="52">
        <v>0.22222222222222221</v>
      </c>
    </row>
    <row r="153" spans="1:33" x14ac:dyDescent="0.2">
      <c r="A153" s="71" t="s">
        <v>53</v>
      </c>
      <c r="B153" s="81" t="s">
        <v>88</v>
      </c>
      <c r="C153" s="9">
        <v>6</v>
      </c>
      <c r="D153" s="52">
        <v>0.4</v>
      </c>
      <c r="P153" s="71" t="s">
        <v>53</v>
      </c>
      <c r="Q153" s="81" t="s">
        <v>88</v>
      </c>
      <c r="R153" s="9">
        <v>6</v>
      </c>
      <c r="S153" s="52">
        <v>0.4</v>
      </c>
      <c r="Y153" s="71"/>
      <c r="Z153" s="72"/>
      <c r="AA153" s="81"/>
      <c r="AB153" s="9"/>
      <c r="AC153" s="52"/>
      <c r="AD153" s="4"/>
    </row>
    <row r="154" spans="1:33" x14ac:dyDescent="0.2">
      <c r="A154" s="65" t="s">
        <v>53</v>
      </c>
      <c r="B154" s="88" t="s">
        <v>68</v>
      </c>
      <c r="C154" s="83">
        <v>2</v>
      </c>
      <c r="D154" s="52">
        <v>0.22222222222222221</v>
      </c>
      <c r="P154" s="65" t="s">
        <v>53</v>
      </c>
      <c r="Y154" s="65"/>
      <c r="Z154" s="72"/>
    </row>
  </sheetData>
  <autoFilter ref="AK1:AW154" xr:uid="{EF327E7D-E81F-1142-BF4D-BF271DE86164}"/>
  <sortState xmlns:xlrd2="http://schemas.microsoft.com/office/spreadsheetml/2017/richdata2" ref="A2:D155">
    <sortCondition ref="A2:A155"/>
    <sortCondition descending="1" ref="D2:D155"/>
  </sortState>
  <conditionalFormatting sqref="A1:D154 P1:S3 T2:V2 T5:V5 P5:S6 T8:V8 P8:S9 T11:V11 P11:S12 T14:V14 P14:S15 T17:V17 P17:S18 T20:V20 P20:S21 T23:V23 P23:S24 T26:V26 P26:S27 T29:V29 P29:S30 T32:V32 P32:S33 T35:V35 P35:S36 T38:V38 P38:S39 T41:V41 P41:S42 T44:V44 P44:S45 T47:V47 P47:S48 T50:V50 P50:S51 T53:V53 P53:S54 T56:V56 P56:S57 T59:V59 P59:S60 T62:V62 P62:S63 T65:V65 P65:S66 T68:V68 P68:S69 T71:V71 P71:S72 T74:V74 P74:S75 T77:V77 P77:S78 T80:V80 P80:S81 T83:V83 P83:S84 T86:V86 P86:S87 T89:V89 P89:S90 T92:V92 P92:S93 T95:V95 P95:S96 T98:V98 P98:S99 T101:V101 P101:S102 T104:V104 P104:S105 T107:V107 P107:S108 T110:V110 P110:S111 T113:V113 P113:S114 P116:S116 T116:V117 T119:V119 P119:S120 T122:V122 P122:S123 T125:V125 P125:S126 T128:V128 P128:S129 T131:V131 P131:S132 T134:V134 P134:S135 T137:V137 P137:S138 T140:V140 P140:S141 T143:V143 P143:S144 T146:V146 P146:S147 T149:V149 P149:S150 T152:V152 P152:S153 AA8:AC8 Y9:AD9 AA14:AC14 Y15:AD15 AS40:AT40 AT2 AV2 P4 AV4 P7 AT7 AV7 P10 AT10 AV10 P13 AT13 AV13 P16 AT16 AV16 P19 AT19 AV19 P22 AT22 AV22 P25 AT25 AV25 P28 AT28 AV28 P31 AT31 AV31 P34 AV34 P37 AT37 AV37 P40 AV40 P43 AT43 AV43 P46 AT46 AV46 P49 AT49 AV49 P52 AV52 P55 P58 P61 P64 P67 P70 P73 P76 P79 P82 P85 P88 P91 P94 P97 P100 P103 P106 P109 P112 P115 P117:P118 P121 P124 P127 P130 P133 P136 P139 P142 P145 P148 P151 P154">
    <cfRule type="containsText" dxfId="5" priority="11" operator="containsText" text="~?">
      <formula>NOT(ISERROR(SEARCH("~?",A1)))</formula>
    </cfRule>
  </conditionalFormatting>
  <conditionalFormatting sqref="D1:D1048576">
    <cfRule type="colorScale" priority="10">
      <colorScale>
        <cfvo type="min"/>
        <cfvo type="percentile" val="50"/>
        <cfvo type="max"/>
        <color rgb="FFF8696B"/>
        <color rgb="FFFFEB84"/>
        <color rgb="FF63BE7B"/>
      </colorScale>
    </cfRule>
  </conditionalFormatting>
  <conditionalFormatting sqref="F7:H7">
    <cfRule type="colorScale" priority="1">
      <colorScale>
        <cfvo type="min"/>
        <cfvo type="percentile" val="50"/>
        <cfvo type="max"/>
        <color rgb="FFF8696B"/>
        <color rgb="FFFFEB84"/>
        <color rgb="FF63BE7B"/>
      </colorScale>
    </cfRule>
    <cfRule type="containsText" dxfId="4" priority="2" operator="containsText" text="~?">
      <formula>NOT(ISERROR(SEARCH("~?",F7)))</formula>
    </cfRule>
  </conditionalFormatting>
  <conditionalFormatting sqref="S1:S3 S5:S6 S8:S9 S11:S12 S14:S15 S17:S18 S20:S21 S23:S24 S26:S27 S29:S30 S32:S33 S35:S36 S38:S39 S41:S42 S44:S45 S47:S48 S50:S51 S53:S54 S56:S57 S59:S60 S62:S63 S65:S66 S68:S69 S71:S72 S74:S75 S77:S78 S80:S81 S83:S84 S86:S87 S89:S90 S92:S93 S95:S96 S98:S99 S101:S102 S104:S105 S107:S108 S110:S111 S113:S114 S116 S119:S120 S122:S123 S125:S126 S128:S129 S131:S132 S134:S135 S137:S138 S140:S141 S143:S144 S146:S147 S149:S150 S152:S153 S155:S1048576 V152 V149 V146 V143 V140 V137 V134 V131 V128 V125 V122 V119 V116:V117 V113 V110 V107 V104 V101 V98 V95 V92 V89 V86 V83 V80 V77 V74 V71 V68 V65 V62 V59 V56 V53 V50 V47 V44 V41 V38 V35 V32 V29 V26 V23 V20 V17 V14 V11 V8 V5 V2">
    <cfRule type="colorScale" priority="8">
      <colorScale>
        <cfvo type="min"/>
        <cfvo type="percentile" val="50"/>
        <cfvo type="max"/>
        <color rgb="FFF8696B"/>
        <color rgb="FFFFEB84"/>
        <color rgb="FF63BE7B"/>
      </colorScale>
    </cfRule>
  </conditionalFormatting>
  <conditionalFormatting sqref="Y1:AD1 AA2:AC2 AE2:AG2 Y3:AD3 AA5:AC5 AE5:AG5 Y6:AD6 AE8:AG8 AA11:AC11 AE11:AG11 Y12:AD12 AE14:AG14 AA17:AC17 AE17:AG17 Y18:AD18 AA20:AC20 AE20:AG20 Y21:AD21 AA23:AC23 AE23:AG23 Y24:AD24 AA26:AC26 AE26:AG26 Y27:AD27 AA29:AC29 AE29:AG29 Y30:AD30 AA32:AC32 AE32:AG32 Y33:AD33 AA35:AC35 AE35:AG35 Y36:AD36 AA38:AC38 AE38:AG38 Y39:AD39 AA41:AG41 Y42:AD42 AA44:AC44 AE44:AG44 Y45:AD45 AA47:AC47 AE47:AG47 Y48:AD48 AA50:AC50 AE50:AG50 Y51:AD51 AA53:AC53 AE53:AG53 Y54:AD54 AA56:AC56 AE56:AG56 Y57:AD57 Y59:AC59 AE59:AG59 Y60:AD60 AA62:AC62 AE62:AG62 Y63:AD63 AA65:AC65 AE65:AG65 Y66:AD66 AA68:AC68 AE68:AG68 Y69:AD69 AA71:AC71 AE71:AG71 Y72:AD72 AA74:AC74 AE74:AG74 Y75:AD75 AA77:AC77 AE77:AG77 Y78:AD78 AA80:AC80 AE80:AG80 Y81:AD81 AA83:AC83 AE83:AG83 Y84:AD84 AA86:AG86 Y87:AD87 AA89:AC89 AE89:AG89 Y90:AD90 AA92:AC92 AE92:AG92 Y93:AD93 AA95:AC95 AE95:AG95 Y96:AD96 AA98:AC98 AE98:AG98 Y99:AD99 AA101:AC101 AE101:AG101 Y102:AD102 AA104:AC104 AE104:AG104 Y105:AD105 AA107:AC107 AE107:AG107 Y108:AD108 AA110:AC110 AE110:AG110 Y111:AD111 AA113:AC113 AE113:AG113 Y114:AD114 AA116:AC116 AE116:AG117 AA119:AC119 AE119:AG119 Y120:AD120 AA122:AC122 AE122:AG122 Y123:AD123 AA125:AC125 AE125:AG125 Y126:AD126 AA128:AC128 AE128:AG128 Y129:AD129 AA131:AC131 AE131:AG131 Y132:AD132 AA134:AC134 AE134:AG134 Y135:AD135 AA137:AC137 AE137:AG137 Y138:AD138 AA140:AC140 AE140:AG140 Y141:AD141 AA143:AG143 Y144:AD144 AA146:AC146 AE146:AG146 Y147:AD147 AA149:AG149 Y150:AD150 AA152:AC152 AE152:AG152 Y153:AD153 Y2 Y4:Z4 Y5 Y7:Z7 Y8 Y10:Z10 Y11 Y13:Z13 Y14 Y16:Z16 Y17 Y19:Z19 Y20 Y22:Z22 Y23 Y25:Z25 Y26 Y28:Z28 Y29 Y31:Z31 Y32 Y34:Z34 Y35 Y37:Z37 Y38 Y40:Z40 Y41 Y43:Z43 Y44 Y46:Z46 Y47 Y49:Z49 Y50 Y52:Z52 Y53 Y55:Z55 Y56 Y58:Z58 Y61:Z61 Y62 Y64:Z64 Y65 Y67:Z67 Y68 Y70:Z70 Y71 Y73:Z73 Y74 Y76:Z76 Y77 Y79:Z79 Y80 Y82:Z82 Y83 Y85:Z85 Y86 Y88:Z88 Y89 Y91:Y92 Y94:Z94 Y95 Y97:Z97 Y98 Y100:Z100 Y101 Y103:Z103 Y104 Y106:Z106 Y107 Y109:Z109 Y110 Y112:Z112 Y113 Y115:Z115 Y116 Y117:Z118 Y119 Y121:Z121 Y122 Y124:Z124 Y125 Y127:Z127 Y128 Y130:Z130 Y131 Y133:Z133 Y134 Y136:Z136 Y137 Y139:Z139 Y140 Y142:Z142 Y143 Y145:Z145 Y146 Y148:Z148 Y149 Y151:Z151 Y152 Y154:Z154">
    <cfRule type="containsText" dxfId="3" priority="7" operator="containsText" text="~?">
      <formula>NOT(ISERROR(SEARCH("~?",Y1)))</formula>
    </cfRule>
  </conditionalFormatting>
  <conditionalFormatting sqref="AC1:AD1 AC6:AD6 AC9:AD9 AC12:AD12 AC15:AD15 AC18:AD18 AC21:AD21 AC24:AD24 AC27:AD27 AC30:AD30 AC33:AD33 AC36:AD36 AC39:AD39 AC41:AD42 AC45:AD45 AC48:AD48 AC51:AD51 AC54:AD54 AC57:AD57 AC60:AD60 AC63:AD63 AC66:AD66 AC69:AD69 AC72:AD72 AC75:AD75 AC78:AD78 AC81:AD81 AC84:AD84 AC86:AD87 AC90:AD90 AC93:AD93 AC96:AD96 AC99:AD99 AC102:AD102 AC105:AD105 AC108:AD108 AC111:AD111 AC114:AD114 AC116 AC120:AD120 AC123:AD123 AC126:AD126 AC129:AD129 AC132:AD132 AC135:AD135 AC138:AD138 AC141:AD141 AC143:AD144 AC147:AD147 AC149:AD150 AC153:AD153 AC155:AD1048576 AG152 AG149 AG146 AG143 AG140 AG137 AG134 AG131 AG128 AG125 AG122 AG119 AG116:AG117 AG113 AG110 AG107 AG104 AG101 AG98 AG95 AG92 AG89 AG86 AG83 AG80 AG77 AG74 AG71 AG68 AG65 AG62 AG59 AG56 AG53 AG50 AG47 AG44 AG41 AG38 AG35 AG32 AG29 AG26 AG23 AG20 AG17 AG14 AG11 AG8 AG5 AG2 AC3:AD3 AC2 AC5 AC8 AC11 AC14 AC17 AC20 AC23 AC26 AC29 AC32 AC35 AC38 AC44 AC47 AC50 AC53 AC56 AC59 AC62 AC65 AC68 AC71 AC74 AC77 AC80 AC83 AC89 AC92 AC95 AC98 AC101 AC104 AC107 AC110 AC113 AC119 AC122 AC125 AC128 AC131 AC134 AC137 AC140 AC146 AC152">
    <cfRule type="colorScale" priority="6">
      <colorScale>
        <cfvo type="min"/>
        <cfvo type="percentile" val="50"/>
        <cfvo type="max"/>
        <color rgb="FFF8696B"/>
        <color rgb="FFFFEB84"/>
        <color rgb="FF63BE7B"/>
      </colorScale>
    </cfRule>
  </conditionalFormatting>
  <conditionalFormatting sqref="AS1 AS5 AS11 AS17 AS20 AS23 AS26 AS29 AS32 AS35 AS38 AS41 AS44 AS47 AS50 AL1:AP1 AL2 AN2 AP2 AL3:AM3 AL4 AN4 AP4:AP5 AL5:AN5 AL6:AM6 AL7 AN7 AL9:AM9 AL10 AP10:AP11 AN10:AN16 AL11:AM12 AL13 AL14:AM15 AL16 AP16:AP17 AL17:AN17 AL18:AM18 AN18:AN20 AL19 AP19:AP20 AL20:AM21 AL22 AN22 AP22:AP23 AL23:AN23 AL24:AM24 AN24:AN26 AL25 AP25:AP26 AL26:AM27 AL28 AP28:AP29 AN28:AN31 AL29:AM30 AL31 AP31:AP32 AL32:AN32 AL33:AM33 AL34 AN34 AP34:AP35 AL35:AN35 AL36:AM36 AL37 AN37 AP37:AP38 AL38:AN38 AL39:AM39 AL40 AN40 AP40:AP41 AL41:AN41 AL42:AM42 AL43 AN43 AP43:AP44 AL44:AN44 AL45:AM45 AL46 AN46:AN47 AP46:AP47 AL47:AM48 AL49 AP49:AP50 AN49:AN52 AL50:AM51 AL52 AP52">
    <cfRule type="containsText" dxfId="2" priority="4" operator="containsText" text="~?">
      <formula>NOT(ISERROR(SEARCH("~?",AL1)))</formula>
    </cfRule>
  </conditionalFormatting>
  <conditionalFormatting sqref="AS5 AS1 AS8 AS11 AS14 AS17 AS20 AS23 AS26 AS29 AS32 AS35 AS38 AS44 AS47 AS50 AS154:AS1048576 AS40:AS41">
    <cfRule type="colorScale" priority="3">
      <colorScale>
        <cfvo type="min"/>
        <cfvo type="percentile" val="50"/>
        <cfvo type="max"/>
        <color rgb="FFF8696B"/>
        <color rgb="FFFFEB84"/>
        <color rgb="FF63BE7B"/>
      </colorScale>
    </cfRule>
  </conditionalFormatting>
  <conditionalFormatting sqref="AS8 AS14 AP7:AP8 AL8:AN8 AP13:AP14">
    <cfRule type="containsText" dxfId="1" priority="5" operator="containsText" text="~?">
      <formula>NOT(ISERROR(SEARCH("~?",AL7)))</formula>
    </cfRule>
  </conditionalFormatting>
  <hyperlinks>
    <hyperlink ref="A2" r:id="rId1" xr:uid="{E966867A-5040-0343-BD8A-6C537420C11A}"/>
    <hyperlink ref="A7" r:id="rId2" xr:uid="{A7B3811E-B461-8144-8E0A-6B03CE416DF6}"/>
    <hyperlink ref="A10" r:id="rId3" xr:uid="{FF908ECD-FB0F-7441-88F1-6D0314ED4B80}"/>
    <hyperlink ref="A11" r:id="rId4" xr:uid="{716AE663-829C-5C48-9732-9C45D176124C}"/>
    <hyperlink ref="A14" r:id="rId5" xr:uid="{257E2260-72C6-944E-BD1E-CA806109DF3B}"/>
    <hyperlink ref="A17" r:id="rId6" xr:uid="{CADA641B-438A-894D-8AFC-9A263BDA1CE3}"/>
    <hyperlink ref="A21" r:id="rId7" xr:uid="{6000BBAF-A165-764E-978A-FEE1ACD4FA18}"/>
    <hyperlink ref="A25" r:id="rId8" xr:uid="{AE25C5E4-B29C-D34C-95B0-2A299A3837AE}"/>
    <hyperlink ref="A27" r:id="rId9" xr:uid="{2899E10E-4A5A-CB40-99CD-833AB340556F}"/>
    <hyperlink ref="A29" r:id="rId10" xr:uid="{000C7D31-B13C-CF42-873B-AECD585599A6}"/>
    <hyperlink ref="A32" r:id="rId11" xr:uid="{D64558B0-0730-224E-AC12-7F024DBDA2A6}"/>
    <hyperlink ref="A35" r:id="rId12" xr:uid="{CD5260C2-169F-B841-84CA-1FC725C57FFD}"/>
    <hyperlink ref="A38" r:id="rId13" xr:uid="{A6FE2967-B2EA-EB4E-A0A8-9DA6D98E5C44}"/>
    <hyperlink ref="A41" r:id="rId14" xr:uid="{A0B78000-B618-114F-B85A-6BDA998174D3}"/>
    <hyperlink ref="A44" r:id="rId15" xr:uid="{F232C799-00F4-AA40-8D77-C3DEBCAD4629}"/>
    <hyperlink ref="A49" r:id="rId16" xr:uid="{8640EBA5-4C6A-4349-A7E5-ADAAD6D0746A}"/>
    <hyperlink ref="A50" r:id="rId17" xr:uid="{9A971AA1-488F-314C-AA40-7A386A64C2BA}"/>
    <hyperlink ref="A53" r:id="rId18" xr:uid="{BFE9D157-2F81-244F-BC34-8935906A2C1A}"/>
    <hyperlink ref="A56" r:id="rId19" xr:uid="{DC48E912-2EEF-BA45-8152-16D18D6069E0}"/>
    <hyperlink ref="A61" r:id="rId20" xr:uid="{5408D754-4482-B446-B799-AAD2AAC0E9BD}"/>
    <hyperlink ref="A62" r:id="rId21" xr:uid="{AE303663-0F09-9449-9E8F-652A9371F360}"/>
    <hyperlink ref="A66" r:id="rId22" xr:uid="{E1B797A2-C839-2041-BAD1-23E652543C5D}"/>
    <hyperlink ref="A68" r:id="rId23" xr:uid="{CE519908-9230-A448-9D61-D7686D5B1014}"/>
    <hyperlink ref="A71" r:id="rId24" xr:uid="{0332B48F-55D1-DB44-A1F0-11DD788E31F1}"/>
    <hyperlink ref="A74" r:id="rId25" xr:uid="{55A4C2B6-6CBB-954B-B89E-29379D38260E}"/>
    <hyperlink ref="A79" r:id="rId26" xr:uid="{FCE5B28C-D398-5848-89F0-104CB09A7138}"/>
    <hyperlink ref="A80" r:id="rId27" xr:uid="{351EC3BC-5768-264E-AE15-83FC7750E7C5}"/>
    <hyperlink ref="A83" r:id="rId28" xr:uid="{371EBDEA-2735-6442-8FE8-F6954E96729C}"/>
    <hyperlink ref="A86" r:id="rId29" xr:uid="{8F9CED83-7336-5045-BC18-A03E044586C9}"/>
    <hyperlink ref="A90" r:id="rId30" xr:uid="{14DAD4F8-AC26-954A-9139-9D189F015880}"/>
    <hyperlink ref="A93" r:id="rId31" xr:uid="{81AE7D8E-2173-684E-8622-09363DA8B434}"/>
    <hyperlink ref="A96" r:id="rId32" xr:uid="{9ACFBCEA-8B2B-094D-BB72-C4B7B869FF58}"/>
    <hyperlink ref="A100" r:id="rId33" xr:uid="{96F2323D-4F3B-CA4C-A456-4C75C1CF5081}"/>
    <hyperlink ref="A102" r:id="rId34" xr:uid="{A60FB883-3FB2-DD47-A584-7C1BB75AF215}"/>
    <hyperlink ref="A106" r:id="rId35" xr:uid="{D7C6B164-AF33-0E42-AFEF-010D48BA005A}"/>
    <hyperlink ref="A108" r:id="rId36" xr:uid="{7290AD05-8C23-4D49-B1A1-D856A7EA4232}"/>
    <hyperlink ref="A111" r:id="rId37" xr:uid="{EC34E16F-0529-4049-8339-5CECC6719E75}"/>
    <hyperlink ref="A114" r:id="rId38" xr:uid="{FB3D018D-A58A-E749-A444-86A74420EA2E}"/>
    <hyperlink ref="A117" r:id="rId39" xr:uid="{EA559664-F0D9-AB42-B6E1-4BB8FDD3C12B}"/>
    <hyperlink ref="A119" r:id="rId40" xr:uid="{CAD1E202-2BBA-0D40-B5F7-D1C78D874BA0}"/>
    <hyperlink ref="A123" r:id="rId41" xr:uid="{63E7B48C-1896-724A-9689-1C7A7FD24E13}"/>
    <hyperlink ref="A126" r:id="rId42" xr:uid="{E05405F1-8AE1-6C4C-A429-AE5CD3B6F969}"/>
    <hyperlink ref="A128" r:id="rId43" xr:uid="{05F02233-E47D-4C4E-BDA1-DF77010B122B}"/>
    <hyperlink ref="A133" r:id="rId44" xr:uid="{3122117A-F7BE-4C43-8AB1-1D41BF71662F}"/>
    <hyperlink ref="A134" r:id="rId45" xr:uid="{CD529286-10BB-CC47-9103-81B112A8DB9C}"/>
    <hyperlink ref="A137" r:id="rId46" xr:uid="{07C16FD9-25A9-BC4D-9F5B-F078CEAA9B62}"/>
    <hyperlink ref="A142" r:id="rId47" xr:uid="{FE8B7E30-1CD9-2B4E-98F4-0838F31792B2}"/>
    <hyperlink ref="A143" r:id="rId48" xr:uid="{152F76E6-838C-534D-AA60-F87304450F30}"/>
    <hyperlink ref="A146" r:id="rId49" xr:uid="{8DA45E1E-21D9-FA4F-A7CB-2C96DDEA356D}"/>
    <hyperlink ref="A149" r:id="rId50" xr:uid="{DD0FB8EF-B5BF-3A41-A5AE-234A1EF8F841}"/>
    <hyperlink ref="A154" r:id="rId51" xr:uid="{38C8C3AD-F85F-B84A-9FF4-8276773F2FDD}"/>
    <hyperlink ref="A3" r:id="rId52" xr:uid="{E1E90A28-96C3-ED44-BCB0-9D348B77C0B1}"/>
    <hyperlink ref="A6" r:id="rId53" xr:uid="{B9673D89-056D-264A-A89F-E8C57A8B71A9}"/>
    <hyperlink ref="A8" r:id="rId54" xr:uid="{3C84B1D5-C0A1-F34D-907F-633B6CC1979C}"/>
    <hyperlink ref="A12" r:id="rId55" xr:uid="{C763D442-240D-944E-A396-D5304B4CF527}"/>
    <hyperlink ref="A15" r:id="rId56" xr:uid="{5ED3DAB0-B50B-F44E-97CB-5FD0B9AF02F0}"/>
    <hyperlink ref="A19" r:id="rId57" xr:uid="{6C54A376-1129-904F-9996-EA59794D7C4A}"/>
    <hyperlink ref="A20" r:id="rId58" xr:uid="{5306A7AD-9829-714D-ADBB-EC904F3D4A88}"/>
    <hyperlink ref="A23" r:id="rId59" xr:uid="{DF38461A-6010-0444-88CF-2C86A5440DDF}"/>
    <hyperlink ref="A26" r:id="rId60" xr:uid="{E1B2A655-2C66-A448-9875-3E4D665C7A0F}"/>
    <hyperlink ref="A31" r:id="rId61" xr:uid="{442D89A1-0A7E-3943-B6B7-0EC3F5C9EAB5}"/>
    <hyperlink ref="A34" r:id="rId62" xr:uid="{06312E80-E66B-644B-8D11-D9FDB1765ECB}"/>
    <hyperlink ref="A36" r:id="rId63" xr:uid="{706AC706-8366-DC4D-81D1-B71991FB42AB}"/>
    <hyperlink ref="A40" r:id="rId64" xr:uid="{2936EA98-7432-AC42-B12D-B8CFAB9F429D}"/>
    <hyperlink ref="A42" r:id="rId65" xr:uid="{02B2E63C-DB5F-FC40-BF46-C85CC712009A}"/>
    <hyperlink ref="A45" r:id="rId66" xr:uid="{E4B68314-9380-744C-B3C0-52B7DAE41401}"/>
    <hyperlink ref="A48" r:id="rId67" xr:uid="{BC16FE76-1AA8-B448-BCD4-F0EE85C2AFC6}"/>
    <hyperlink ref="A51" r:id="rId68" xr:uid="{8B56EF84-21E4-F241-881D-6AD41C89EA09}"/>
    <hyperlink ref="A55" r:id="rId69" xr:uid="{A65C8510-55AE-8B41-93C2-3A2512305CB0}"/>
    <hyperlink ref="A57" r:id="rId70" xr:uid="{63D1693C-0FA8-CA4D-B704-0355D0AB0585}"/>
    <hyperlink ref="A60" r:id="rId71" xr:uid="{C061A9F0-3870-A84C-BD4B-5EBFC4BD676C}"/>
    <hyperlink ref="A63" r:id="rId72" xr:uid="{987AD435-B8D2-6943-8CD2-879C527FB6E7}"/>
    <hyperlink ref="A65" r:id="rId73" xr:uid="{1FD85847-4A75-E843-8CAE-ED144274BE88}"/>
    <hyperlink ref="A69" r:id="rId74" xr:uid="{44982683-F119-EC48-854E-2CCB9915D03D}"/>
    <hyperlink ref="A72" r:id="rId75" xr:uid="{91FC11D5-A9CE-754D-9554-4B3BF7D6E640}"/>
    <hyperlink ref="A76" r:id="rId76" xr:uid="{6BA05724-0D17-854D-BEEE-DBDBA020A353}"/>
    <hyperlink ref="A78" r:id="rId77" xr:uid="{008452D3-606A-E14E-A5B3-3226FF5DA94C}"/>
    <hyperlink ref="A81" r:id="rId78" xr:uid="{F915E265-AFB6-1144-AEB5-A352EBDA6C96}"/>
    <hyperlink ref="A84" r:id="rId79" xr:uid="{15C80BA7-AE45-4442-BE77-138C8D20BF41}"/>
    <hyperlink ref="A87" r:id="rId80" xr:uid="{FA2E94BD-A2DC-474D-916C-63D0CBA328CB}"/>
    <hyperlink ref="A89" r:id="rId81" xr:uid="{72341DE7-DD2C-5C4D-AF46-96907E3EDB69}"/>
    <hyperlink ref="A94" r:id="rId82" xr:uid="{D3EC081C-B201-CA42-A40E-9B46A4924F53}"/>
    <hyperlink ref="A97" r:id="rId83" xr:uid="{1E04F1E0-7FAA-0942-9DA8-9B2D23ADB2F3}"/>
    <hyperlink ref="A98" r:id="rId84" xr:uid="{5B184D61-FC72-6C41-B20A-B0AA549FFC61}"/>
    <hyperlink ref="A103" r:id="rId85" xr:uid="{03F2BABE-6914-154C-A663-BEF0EAAB184A}"/>
    <hyperlink ref="A104" r:id="rId86" xr:uid="{6C185D7F-26D3-7D4E-BE15-33C6F135A52D}"/>
    <hyperlink ref="A109" r:id="rId87" xr:uid="{28DF7F9C-E478-674A-92B8-0062F785E59B}"/>
    <hyperlink ref="A110" r:id="rId88" xr:uid="{9D5E8F00-5EA2-0940-9F61-BE06DED2BBFD}"/>
    <hyperlink ref="A113" r:id="rId89" xr:uid="{4E79E1A3-923D-9F45-930D-2494379F5CE7}"/>
    <hyperlink ref="A118" r:id="rId90" xr:uid="{1EC44DCA-9146-7948-8422-09B64327ED5B}"/>
    <hyperlink ref="A121" r:id="rId91" xr:uid="{DF9B6B74-50B7-8647-9711-030BE1D34D21}"/>
    <hyperlink ref="A124" r:id="rId92" xr:uid="{82A3A2D0-1431-144C-B603-C60F44206F94}"/>
    <hyperlink ref="A125" r:id="rId93" xr:uid="{1E48AC72-060A-E64F-93C7-46EA9A9461CF}"/>
    <hyperlink ref="A129" r:id="rId94" xr:uid="{F7A28E94-E18D-B847-85B9-B50D24900108}"/>
    <hyperlink ref="A131" r:id="rId95" xr:uid="{03108934-E6CC-6D42-BA7A-26B7509FE114}"/>
    <hyperlink ref="A135" r:id="rId96" xr:uid="{A831352E-EEA2-1A4E-90AC-870BFEF8C45E}"/>
    <hyperlink ref="A138" r:id="rId97" xr:uid="{C861B582-13F8-F446-BC21-ADC0560A7C4F}"/>
    <hyperlink ref="A141" r:id="rId98" xr:uid="{0B142102-6C7E-B341-95CA-8E42A3F88222}"/>
    <hyperlink ref="A144" r:id="rId99" xr:uid="{01767194-6190-C147-9AF5-76BEE6A81305}"/>
    <hyperlink ref="A147" r:id="rId100" xr:uid="{DF07F294-816B-CE48-A2A2-F8C4363847A1}"/>
    <hyperlink ref="A150" r:id="rId101" xr:uid="{0CD71C54-5CA5-3745-8DB3-98E86DDE47A1}"/>
    <hyperlink ref="A152" r:id="rId102" xr:uid="{4548D9AB-8852-284C-82F8-151275E26084}"/>
    <hyperlink ref="A4" r:id="rId103" xr:uid="{1D1259BE-94D6-334C-B444-51FF4C3D5523}"/>
    <hyperlink ref="A5" r:id="rId104" xr:uid="{B163F98B-F9D2-9942-A6AE-B3B8DC249DB4}"/>
    <hyperlink ref="A9" r:id="rId105" xr:uid="{010799E2-DEE7-2640-9FF8-7FFBAAD2231F}"/>
    <hyperlink ref="A13" r:id="rId106" xr:uid="{D780DB4C-CE49-D549-B913-3C4B37F66064}"/>
    <hyperlink ref="A16" r:id="rId107" xr:uid="{EC70AA38-D025-A54C-8F00-772D566F0324}"/>
    <hyperlink ref="A18" r:id="rId108" xr:uid="{549E95AE-2F0C-FC4E-93A7-267D6D47F4D2}"/>
    <hyperlink ref="A22" r:id="rId109" xr:uid="{528ED4AA-7F06-0A4D-B703-8AAC40D0A850}"/>
    <hyperlink ref="A24" r:id="rId110" xr:uid="{70C8644B-A7BF-FA4E-9489-FDF8272B2582}"/>
    <hyperlink ref="A28" r:id="rId111" xr:uid="{00ECEF5D-B5BA-A947-8EEB-40B50DE99740}"/>
    <hyperlink ref="A30" r:id="rId112" xr:uid="{63F0EBD9-6124-DF40-B407-15AC2247BC12}"/>
    <hyperlink ref="A33" r:id="rId113" xr:uid="{5E0285CB-996E-154F-B51E-D28387202CF6}"/>
    <hyperlink ref="A37" r:id="rId114" xr:uid="{165FDEE5-58DF-7D4C-8060-E531852B2281}"/>
    <hyperlink ref="A39" r:id="rId115" xr:uid="{F9358485-290C-3543-A389-9D144C479B25}"/>
    <hyperlink ref="A43" r:id="rId116" xr:uid="{EFA81154-060C-194A-B590-F74BB3CA623A}"/>
    <hyperlink ref="A46" r:id="rId117" xr:uid="{0D958817-4293-D44D-A766-C6F0EFBE71DD}"/>
    <hyperlink ref="A47" r:id="rId118" xr:uid="{D6BAA221-70A0-2E45-9439-1AE4FFE817C6}"/>
    <hyperlink ref="A52" r:id="rId119" xr:uid="{DB776C9E-27CB-C844-88D6-1C2E9E648A6F}"/>
    <hyperlink ref="A54" r:id="rId120" xr:uid="{BEC53A07-ADD4-714F-AA01-898FE141EBF7}"/>
    <hyperlink ref="A58" r:id="rId121" xr:uid="{7EAF8EDF-D840-6945-AECA-357C38A81E74}"/>
    <hyperlink ref="A59" r:id="rId122" xr:uid="{65FF5D0F-0C12-1B4A-8ED8-17F938754DB1}"/>
    <hyperlink ref="A64" r:id="rId123" xr:uid="{B3FE68D9-7B5E-7944-BA82-B559F4589657}"/>
    <hyperlink ref="A67" r:id="rId124" xr:uid="{052C77EC-2EBB-6C49-8A49-249F2A0EB09C}"/>
    <hyperlink ref="A70" r:id="rId125" xr:uid="{DA5CEC50-ABC1-A14A-8859-83D96422707F}"/>
    <hyperlink ref="A73" r:id="rId126" xr:uid="{55C5AC40-DB2B-0146-B244-75984ABB2FE4}"/>
    <hyperlink ref="A75" r:id="rId127" xr:uid="{3346E6E0-BA03-6B43-8FA2-D6DCC55765F8}"/>
    <hyperlink ref="A77" r:id="rId128" xr:uid="{E8869E93-A63F-374E-9770-FBDE01340EAA}"/>
    <hyperlink ref="A82" r:id="rId129" xr:uid="{36073A53-55B0-914D-B464-A48D51107F9A}"/>
    <hyperlink ref="A85" r:id="rId130" xr:uid="{15D5F4A8-84BF-7D49-9A05-8AEE9921AFDE}"/>
    <hyperlink ref="A88" r:id="rId131" xr:uid="{7AA24529-ABE9-D046-8873-0020B61A4621}"/>
    <hyperlink ref="A91" r:id="rId132" xr:uid="{B0E5F2B8-9659-FE4A-ACB4-7C57807BD86D}"/>
    <hyperlink ref="A92" r:id="rId133" xr:uid="{121628DD-FBAB-624D-BCE1-3BD708C18CEB}"/>
    <hyperlink ref="A95" r:id="rId134" xr:uid="{FE11370B-E93E-3349-825C-B3AAC000ACF6}"/>
    <hyperlink ref="A99" r:id="rId135" xr:uid="{3DAB4037-2F41-8747-B080-B107BFA11926}"/>
    <hyperlink ref="A101" r:id="rId136" xr:uid="{CB880360-1679-4043-8EE0-DDFFFF3FBCAB}"/>
    <hyperlink ref="A105" r:id="rId137" xr:uid="{23AB272E-D8B2-8640-9DA4-7BFF6CC05574}"/>
    <hyperlink ref="A107" r:id="rId138" xr:uid="{4964FF72-44B2-C140-BB7A-20A511EAE11E}"/>
    <hyperlink ref="A112" r:id="rId139" xr:uid="{A6822E05-9666-B04C-938B-E8E001570F92}"/>
    <hyperlink ref="A115" r:id="rId140" xr:uid="{E910D2C3-DE65-D04A-A8B4-B787BA5372CB}"/>
    <hyperlink ref="A116" r:id="rId141" xr:uid="{C2A104DE-CF89-984A-9ED8-C2E72FC7EE62}"/>
    <hyperlink ref="A120" r:id="rId142" xr:uid="{D917E559-7A05-C44A-942F-11A32335256E}"/>
    <hyperlink ref="A122" r:id="rId143" xr:uid="{30BCBB85-D696-FA4B-9B9C-E7BFAA3B6CD4}"/>
    <hyperlink ref="A127" r:id="rId144" xr:uid="{E2AD5724-5830-F24A-B003-F3B741DA9106}"/>
    <hyperlink ref="A130" r:id="rId145" xr:uid="{CB62632A-2600-D742-8A6F-17A0DFD18400}"/>
    <hyperlink ref="A132" r:id="rId146" xr:uid="{B9529A3C-44DC-2046-8107-FFD7C79875C7}"/>
    <hyperlink ref="A136" r:id="rId147" xr:uid="{4E582C96-6B2C-1E44-9CE2-608C89FEA198}"/>
    <hyperlink ref="A139" r:id="rId148" xr:uid="{E35FFAFC-8F18-414B-A9D0-B4436B8870A0}"/>
    <hyperlink ref="A140" r:id="rId149" xr:uid="{A8538505-67B6-134F-A872-B3B509E38170}"/>
    <hyperlink ref="A145" r:id="rId150" xr:uid="{4207D7AB-C337-0640-9B50-556D339113CB}"/>
    <hyperlink ref="A148" r:id="rId151" xr:uid="{6A2332F8-6E55-AC4D-920C-396996E656E8}"/>
    <hyperlink ref="A151" r:id="rId152" xr:uid="{71DC558C-4E52-CA4A-8BBB-A88114C5AD2C}"/>
    <hyperlink ref="A153" r:id="rId153" xr:uid="{0467B1E6-7EAE-B84C-9302-A072DBB1E8DB}"/>
    <hyperlink ref="P2" r:id="rId154" xr:uid="{07678E8E-F46E-4E4F-AD50-1CECCE89351B}"/>
    <hyperlink ref="P7" r:id="rId155" xr:uid="{9DBA0650-A98B-A543-88E7-25FBF05EC59E}"/>
    <hyperlink ref="P10" r:id="rId156" xr:uid="{2CD6817B-1705-4E46-9F77-81FD60AF7B27}"/>
    <hyperlink ref="P11" r:id="rId157" xr:uid="{9B4C5147-DF3A-3D4F-84BC-F53861476C0C}"/>
    <hyperlink ref="P14" r:id="rId158" xr:uid="{05EFCB78-5D2E-BE43-B6BA-86053EF8C400}"/>
    <hyperlink ref="P17" r:id="rId159" xr:uid="{2A0901F5-9D72-844B-9C78-D7A6D6B93086}"/>
    <hyperlink ref="P21" r:id="rId160" xr:uid="{D2A7904F-F2AD-9C42-A4D4-7A4EFFBE54AC}"/>
    <hyperlink ref="P25" r:id="rId161" xr:uid="{C6B79116-9F8A-7D4C-81D7-F799A829729E}"/>
    <hyperlink ref="P27" r:id="rId162" xr:uid="{FC62C990-E3C3-F943-BF3A-E7C51BEE155A}"/>
    <hyperlink ref="P29" r:id="rId163" xr:uid="{06F9CAEC-F526-E141-A601-40A0CB6ABB87}"/>
    <hyperlink ref="P32" r:id="rId164" xr:uid="{64565C22-4BD7-E54E-8A8E-1225BDA59E9A}"/>
    <hyperlink ref="P35" r:id="rId165" xr:uid="{B617A906-732C-B943-831D-94615670A81F}"/>
    <hyperlink ref="P38" r:id="rId166" xr:uid="{566FE45C-66B4-0048-9BE2-B3F804264974}"/>
    <hyperlink ref="P41" r:id="rId167" xr:uid="{BE05252D-BECF-774D-A1D3-879BEBD406D2}"/>
    <hyperlink ref="P44" r:id="rId168" xr:uid="{00B84E92-9DD3-5943-A66D-4B7B88E612CE}"/>
    <hyperlink ref="P49" r:id="rId169" xr:uid="{4DA65664-CF16-9C48-8B54-6B1CA8C88720}"/>
    <hyperlink ref="P50" r:id="rId170" xr:uid="{477DEDBB-3186-CA45-99E2-9315F6A9F235}"/>
    <hyperlink ref="P53" r:id="rId171" xr:uid="{791B0B58-AE36-3745-A661-D99F29E68790}"/>
    <hyperlink ref="P56" r:id="rId172" xr:uid="{83C267E6-4977-3A4E-96A3-46038CC1106C}"/>
    <hyperlink ref="P61" r:id="rId173" xr:uid="{22CC7A99-4A54-4248-9F64-F4C238C75092}"/>
    <hyperlink ref="P62" r:id="rId174" xr:uid="{186057FB-B80F-CD45-AD65-F3FCA03A8B5B}"/>
    <hyperlink ref="P66" r:id="rId175" xr:uid="{54EB0808-5AAA-4148-88D0-2333375B08CA}"/>
    <hyperlink ref="P68" r:id="rId176" xr:uid="{01D34D53-2D46-4847-A54D-2F13464A7E5F}"/>
    <hyperlink ref="P71" r:id="rId177" xr:uid="{AF89A198-F7B5-674F-A119-0E8DFC61CD85}"/>
    <hyperlink ref="P74" r:id="rId178" xr:uid="{9C663050-1E6D-6748-BE54-4515F845BC41}"/>
    <hyperlink ref="P79" r:id="rId179" xr:uid="{70562941-E330-3249-881B-DE251A726B49}"/>
    <hyperlink ref="P80" r:id="rId180" xr:uid="{FAD78412-6726-FF43-BFF4-5DA3B76B7A04}"/>
    <hyperlink ref="P83" r:id="rId181" xr:uid="{AAB180E4-3691-784E-864D-AC7697B33FFC}"/>
    <hyperlink ref="P86" r:id="rId182" xr:uid="{D7A3C1B3-8AA5-3D49-A65A-B017CCA514F8}"/>
    <hyperlink ref="P90" r:id="rId183" xr:uid="{ACA7DB03-FCC8-FA46-A496-FEF9359F33EF}"/>
    <hyperlink ref="P93" r:id="rId184" xr:uid="{52233032-3EB4-B14C-8965-77035C17A3A6}"/>
    <hyperlink ref="P96" r:id="rId185" xr:uid="{ADB98D75-C429-2B42-91BF-8EC6CE0DA0DF}"/>
    <hyperlink ref="P100" r:id="rId186" xr:uid="{F6FFF39C-69B9-B648-90EB-720477A312A8}"/>
    <hyperlink ref="P102" r:id="rId187" xr:uid="{E71DBFB6-E823-5B45-8BA1-9940A441C0F7}"/>
    <hyperlink ref="P106" r:id="rId188" xr:uid="{3BB047BC-4AFE-224C-916C-F208DDF499B7}"/>
    <hyperlink ref="P108" r:id="rId189" xr:uid="{89CD87DA-E263-034D-A679-D5E9C77E0CAF}"/>
    <hyperlink ref="P111" r:id="rId190" xr:uid="{AA57C5DD-0C73-594B-8391-2554E1CD223B}"/>
    <hyperlink ref="P114" r:id="rId191" xr:uid="{CEADF9EA-11AB-CB4E-B7AA-667283157DA5}"/>
    <hyperlink ref="P117" r:id="rId192" xr:uid="{DEE4EDB5-4AAD-E347-B285-D13CA31B1DFE}"/>
    <hyperlink ref="P119" r:id="rId193" xr:uid="{AED0DF9E-340A-3248-AB78-B20170198425}"/>
    <hyperlink ref="P123" r:id="rId194" xr:uid="{9EA0B72B-4D64-7243-8D3F-F17AD0D8CB6D}"/>
    <hyperlink ref="P126" r:id="rId195" xr:uid="{5059FA7E-56D3-6749-8F02-1B428D2D8A59}"/>
    <hyperlink ref="P128" r:id="rId196" xr:uid="{CDE17D2A-54E6-5742-97DD-7F2ABBAF2AD8}"/>
    <hyperlink ref="P133" r:id="rId197" xr:uid="{5C5B9D9E-B8D8-B248-92FE-BFFDF291723C}"/>
    <hyperlink ref="P134" r:id="rId198" xr:uid="{0D421FC6-5D76-4345-BFA5-588265A1F227}"/>
    <hyperlink ref="P137" r:id="rId199" xr:uid="{C1271029-9F96-CC45-8A78-F6C8CC9E0805}"/>
    <hyperlink ref="P142" r:id="rId200" xr:uid="{4C57550D-215A-694B-9556-B5A3C9DD4CE3}"/>
    <hyperlink ref="P143" r:id="rId201" xr:uid="{137D5B2F-A493-9F40-A2EC-422F56827D89}"/>
    <hyperlink ref="P146" r:id="rId202" xr:uid="{DF20A567-71FF-2E41-A845-2941854F86A1}"/>
    <hyperlink ref="P149" r:id="rId203" xr:uid="{9B531808-6FD9-DD41-9C0B-B5929C099F21}"/>
    <hyperlink ref="P154" r:id="rId204" xr:uid="{A9925F2E-697D-544B-9F37-0A7EBBA0CF05}"/>
    <hyperlink ref="P3" r:id="rId205" xr:uid="{415A58CB-C890-E847-8BAD-C753FCE05476}"/>
    <hyperlink ref="P6" r:id="rId206" xr:uid="{80813638-B89C-7C4B-B32D-FD0FC0B03E01}"/>
    <hyperlink ref="P8" r:id="rId207" xr:uid="{C557E529-F538-7443-A225-21A6EC30CDA6}"/>
    <hyperlink ref="P12" r:id="rId208" xr:uid="{FA306464-755B-AD4E-A562-30E410848C6B}"/>
    <hyperlink ref="P15" r:id="rId209" xr:uid="{F10F9495-8331-4841-BC6A-02D922F6D814}"/>
    <hyperlink ref="P19" r:id="rId210" xr:uid="{52000B91-20D3-1E4C-9977-8FF0867D63F8}"/>
    <hyperlink ref="P20" r:id="rId211" xr:uid="{028DF621-E347-BC4E-B521-62EFCD6730A5}"/>
    <hyperlink ref="P23" r:id="rId212" xr:uid="{F6AF1D2F-1CD1-5A47-A559-6AC7FED87F59}"/>
    <hyperlink ref="P26" r:id="rId213" xr:uid="{854D8F77-5BDA-0C43-B84D-0A356741587B}"/>
    <hyperlink ref="P31" r:id="rId214" xr:uid="{71EBE278-402E-584D-9028-41DFC4DE89F8}"/>
    <hyperlink ref="P34" r:id="rId215" xr:uid="{974F3BF9-4D84-484B-AE35-52F42681D6F5}"/>
    <hyperlink ref="P36" r:id="rId216" xr:uid="{7DDBC2FD-175E-DA45-97F8-38C6A52D1E94}"/>
    <hyperlink ref="P40" r:id="rId217" xr:uid="{795B6968-5B72-1D42-9B97-54189C7D1F59}"/>
    <hyperlink ref="P42" r:id="rId218" xr:uid="{0AEA2652-3C2D-CD40-9917-D23F4E0C9ABE}"/>
    <hyperlink ref="P45" r:id="rId219" xr:uid="{D6F57C45-BD28-3344-9260-996C56831702}"/>
    <hyperlink ref="P48" r:id="rId220" xr:uid="{2CCFBF08-AA2F-6949-A479-76969B50C74A}"/>
    <hyperlink ref="P51" r:id="rId221" xr:uid="{E7EC3EE6-8494-E447-A488-7250D202BA13}"/>
    <hyperlink ref="P55" r:id="rId222" xr:uid="{146404C4-1D77-F044-BF13-E39AF72007D8}"/>
    <hyperlink ref="P57" r:id="rId223" xr:uid="{A8BCFB9A-9D8B-D447-91F4-7AE43E6D7C8E}"/>
    <hyperlink ref="P60" r:id="rId224" xr:uid="{E8CA8945-77B1-FE40-B419-54211C615DC6}"/>
    <hyperlink ref="P63" r:id="rId225" xr:uid="{880C4FB3-A893-274D-AA6C-AD77F4706C95}"/>
    <hyperlink ref="P65" r:id="rId226" xr:uid="{1082ABF9-1836-E244-963B-A400784E32AB}"/>
    <hyperlink ref="P69" r:id="rId227" xr:uid="{0E0D5A25-250C-E647-B931-E42B65F0592D}"/>
    <hyperlink ref="P72" r:id="rId228" xr:uid="{3A4C39BC-FAA5-D541-827F-C904A44FB002}"/>
    <hyperlink ref="P76" r:id="rId229" xr:uid="{E3238A3D-6E77-DC4F-8743-FDE5A20EB205}"/>
    <hyperlink ref="P78" r:id="rId230" xr:uid="{93C9CF22-A7D8-D749-8F7F-AC60C2DB64A7}"/>
    <hyperlink ref="P81" r:id="rId231" xr:uid="{1D7C1870-5424-824F-96AC-2B1CEB9B40CC}"/>
    <hyperlink ref="P84" r:id="rId232" xr:uid="{6E08C144-FD19-1242-AAF6-AC19F8DAD03D}"/>
    <hyperlink ref="P87" r:id="rId233" xr:uid="{6A260A7A-01AB-1641-A422-5F4FBD17A71D}"/>
    <hyperlink ref="P89" r:id="rId234" xr:uid="{52118DE4-FBB3-6E4A-9094-6EE090B2454D}"/>
    <hyperlink ref="P94" r:id="rId235" xr:uid="{253997BD-5A40-9F42-A110-22DDDA3887B3}"/>
    <hyperlink ref="P97" r:id="rId236" xr:uid="{4695477F-75F3-7042-A017-8AAFC8C6E50C}"/>
    <hyperlink ref="P98" r:id="rId237" xr:uid="{8DB0EA14-1703-9746-8AFE-5A47F725F105}"/>
    <hyperlink ref="P103" r:id="rId238" xr:uid="{B0824C5C-A495-D841-A661-C34B7C27F0C5}"/>
    <hyperlink ref="P104" r:id="rId239" xr:uid="{4E017B9C-B751-1543-98B8-6B9B0499C4F0}"/>
    <hyperlink ref="P109" r:id="rId240" xr:uid="{BE6A2BBA-E730-134E-A759-A1D0A70E0BED}"/>
    <hyperlink ref="P110" r:id="rId241" xr:uid="{DF4ACD7C-1C6A-504D-9E53-9ECD9511D6FE}"/>
    <hyperlink ref="P113" r:id="rId242" xr:uid="{187CA218-9818-BD4A-A89B-C97EE902B0AE}"/>
    <hyperlink ref="P118" r:id="rId243" xr:uid="{E63BDADC-6186-3A43-9EC6-F014E4065C3A}"/>
    <hyperlink ref="P121" r:id="rId244" xr:uid="{33106FC0-7AE8-904F-93C8-DE3B3A587C58}"/>
    <hyperlink ref="P124" r:id="rId245" xr:uid="{ADB90704-5B74-624E-B0C5-2965074289A0}"/>
    <hyperlink ref="P125" r:id="rId246" xr:uid="{0C162F8E-0FA7-8B41-AFB8-663677817A9E}"/>
    <hyperlink ref="P129" r:id="rId247" xr:uid="{798F68E3-960D-9040-B03C-EEB19638A372}"/>
    <hyperlink ref="P131" r:id="rId248" xr:uid="{FB367BB9-97DA-BC40-A7A0-A5EA5E84CDB2}"/>
    <hyperlink ref="P135" r:id="rId249" xr:uid="{9C442BD4-BAEE-3544-AC7D-789906C3165B}"/>
    <hyperlink ref="P138" r:id="rId250" xr:uid="{A2A78235-CAF5-6B48-BC20-33CC126FB80C}"/>
    <hyperlink ref="P141" r:id="rId251" xr:uid="{DA99CBC4-1863-1740-8101-846FB6261D17}"/>
    <hyperlink ref="P144" r:id="rId252" xr:uid="{F7BC37A9-76E7-7C4B-A5C3-918C1ACD7B6F}"/>
    <hyperlink ref="P147" r:id="rId253" xr:uid="{BCF8CC0E-7846-6B4E-BF15-A9CD4E096C84}"/>
    <hyperlink ref="P150" r:id="rId254" xr:uid="{B63CA440-49E3-A348-A75E-78A7B227B9F2}"/>
    <hyperlink ref="P152" r:id="rId255" xr:uid="{1B7FF326-A0BA-7C42-9B92-4D42374A5535}"/>
    <hyperlink ref="P4" r:id="rId256" xr:uid="{E113D7AB-EDE4-9F45-988C-C13857A66013}"/>
    <hyperlink ref="P5" r:id="rId257" xr:uid="{C5F31AB9-77C4-4A45-AE24-D680717664AF}"/>
    <hyperlink ref="P9" r:id="rId258" xr:uid="{D0F2D7E7-F3CD-4342-82CB-00B8231EE870}"/>
    <hyperlink ref="P13" r:id="rId259" xr:uid="{C6472788-4B9B-F94D-9A8C-442A41FA5512}"/>
    <hyperlink ref="P16" r:id="rId260" xr:uid="{E7AFDFB0-AC04-8E49-B256-AFD962E8DD31}"/>
    <hyperlink ref="P18" r:id="rId261" xr:uid="{69A634BC-0BCD-F042-BC70-B365FBD3892C}"/>
    <hyperlink ref="P22" r:id="rId262" xr:uid="{26979721-90A5-8D4E-8879-6431FB988C2A}"/>
    <hyperlink ref="P24" r:id="rId263" xr:uid="{C4169AF0-3BC9-B349-9DE4-E5A53198F9E7}"/>
    <hyperlink ref="P28" r:id="rId264" xr:uid="{4BCAAECE-AE57-B545-854E-C391FB0A0B15}"/>
    <hyperlink ref="P30" r:id="rId265" xr:uid="{AF61FA3C-713D-0643-AA10-56091B33D553}"/>
    <hyperlink ref="P33" r:id="rId266" xr:uid="{B73781D9-1778-6540-AF7B-5EE773C3F9D1}"/>
    <hyperlink ref="P37" r:id="rId267" xr:uid="{A5643EA7-E7C2-0E49-9D1D-BE8023640568}"/>
    <hyperlink ref="P39" r:id="rId268" xr:uid="{AA97FC23-71A6-D349-BA2B-C6B542E424D5}"/>
    <hyperlink ref="P43" r:id="rId269" xr:uid="{E0F9579D-638A-B74B-B8FA-97AED251532E}"/>
    <hyperlink ref="P46" r:id="rId270" xr:uid="{272705EF-51BF-674B-BE1B-79FC86AB2C1A}"/>
    <hyperlink ref="P47" r:id="rId271" xr:uid="{142020EE-13D7-AF44-9076-E4B832C82039}"/>
    <hyperlink ref="P52" r:id="rId272" xr:uid="{39B0860C-935C-1B4F-8CC7-6A5DBA7AE685}"/>
    <hyperlink ref="P54" r:id="rId273" xr:uid="{27D8A755-3478-0B40-84E5-AFA600B7DB32}"/>
    <hyperlink ref="P58" r:id="rId274" xr:uid="{319E6ACA-EB76-1948-B3B5-6EFEB129BBEC}"/>
    <hyperlink ref="P59" r:id="rId275" xr:uid="{4069A876-1E0A-8A47-9EAD-DEAF309CE632}"/>
    <hyperlink ref="P64" r:id="rId276" xr:uid="{8B559CFF-E08D-D343-A000-2E01DC02DFAF}"/>
    <hyperlink ref="P67" r:id="rId277" xr:uid="{7B8B69BF-9989-3F4F-8770-203475144543}"/>
    <hyperlink ref="P70" r:id="rId278" xr:uid="{442A9459-F490-4A46-AAF1-D41B687E6BE7}"/>
    <hyperlink ref="P73" r:id="rId279" xr:uid="{F55D9862-23B1-C941-BA0B-C9DA458B2BB3}"/>
    <hyperlink ref="P75" r:id="rId280" xr:uid="{8EADE88F-7514-EA42-A5EA-68655B063447}"/>
    <hyperlink ref="P77" r:id="rId281" xr:uid="{3E4CF4C6-C06A-C14A-B6D3-927950048BCA}"/>
    <hyperlink ref="P82" r:id="rId282" xr:uid="{EDA248B2-4357-E14D-B264-40FE54F6F1F5}"/>
    <hyperlink ref="P85" r:id="rId283" xr:uid="{C7F3C1E9-6208-1A42-9F30-917A1D9A77F8}"/>
    <hyperlink ref="P88" r:id="rId284" xr:uid="{40D75B0C-76DD-A941-8C9B-7C7353B04F72}"/>
    <hyperlink ref="P91" r:id="rId285" xr:uid="{CD291672-801F-4A45-BF23-3AA4BF1851B0}"/>
    <hyperlink ref="P92" r:id="rId286" xr:uid="{05B968FF-B9CB-EE49-84AD-3AC889082EEE}"/>
    <hyperlink ref="P95" r:id="rId287" xr:uid="{84E54642-72EE-2F46-A387-5553F608A1F4}"/>
    <hyperlink ref="P99" r:id="rId288" xr:uid="{62BF7E59-AB8A-AC48-9448-A1BF3912F125}"/>
    <hyperlink ref="P101" r:id="rId289" xr:uid="{22E9565F-53D0-E643-8487-2D0540EEED45}"/>
    <hyperlink ref="P105" r:id="rId290" xr:uid="{8A6F93BB-4BC5-DA47-9D03-D44C53D16BA7}"/>
    <hyperlink ref="P107" r:id="rId291" xr:uid="{45C24DEB-D682-1048-B53B-B7D420E2B21A}"/>
    <hyperlink ref="P112" r:id="rId292" xr:uid="{0F726E21-215C-5144-AF52-E066739FE17D}"/>
    <hyperlink ref="P115" r:id="rId293" xr:uid="{183386EC-E595-D941-A5E0-55F9CED3C276}"/>
    <hyperlink ref="P116" r:id="rId294" xr:uid="{BBF31754-756B-0B46-AA60-DCCDE2370557}"/>
    <hyperlink ref="P120" r:id="rId295" xr:uid="{6A446B5F-53E4-B94F-867D-71DBCBC4CBF3}"/>
    <hyperlink ref="P122" r:id="rId296" xr:uid="{9F2D38A6-2134-D248-A7E6-40DCC332BF40}"/>
    <hyperlink ref="P127" r:id="rId297" xr:uid="{A68A70A5-70B3-EC4A-8AD0-CCA2FE7E519F}"/>
    <hyperlink ref="P130" r:id="rId298" xr:uid="{48E693B5-0550-FE48-BFA0-82862D57E5E2}"/>
    <hyperlink ref="P132" r:id="rId299" xr:uid="{6BC14691-B724-7C47-A09D-008CA60A35B1}"/>
    <hyperlink ref="P136" r:id="rId300" xr:uid="{D1A0B17E-46A6-2A45-9CD8-F629C4374DE9}"/>
    <hyperlink ref="P139" r:id="rId301" xr:uid="{EA38601E-5DED-314E-ADC8-5952A5C5CADB}"/>
    <hyperlink ref="P140" r:id="rId302" xr:uid="{0B39BF21-96D1-7D48-AD28-42E1A0AC0F6F}"/>
    <hyperlink ref="P145" r:id="rId303" xr:uid="{EE7BA88F-5CC1-E14A-87EE-97A9CBBAB29F}"/>
    <hyperlink ref="P148" r:id="rId304" xr:uid="{58FC1EA4-CE94-0E4C-98BA-4713F7E567C1}"/>
    <hyperlink ref="P151" r:id="rId305" xr:uid="{875BC968-43A6-2A46-8AFE-9F363A776542}"/>
    <hyperlink ref="P153" r:id="rId306" xr:uid="{3613F4AD-FFE6-774B-BB9A-78305F882973}"/>
    <hyperlink ref="Y2" r:id="rId307" xr:uid="{B7E0E492-A512-914F-9E1B-5749C4129653}"/>
    <hyperlink ref="Y11" r:id="rId308" xr:uid="{77D8BDC9-72EA-C049-864E-12CDF11E716B}"/>
    <hyperlink ref="Y14" r:id="rId309" xr:uid="{0A676285-8735-F84D-B67F-D4A9C6FCF025}"/>
    <hyperlink ref="Y17" r:id="rId310" xr:uid="{72DA96E4-05A3-DF4B-93CA-F3F0A650F832}"/>
    <hyperlink ref="Y29" r:id="rId311" xr:uid="{80C1A6AB-EA6F-D54B-8C86-58DEDD30A3C5}"/>
    <hyperlink ref="Y32" r:id="rId312" xr:uid="{753845EF-0F0C-8849-8ED5-CE8CE3784730}"/>
    <hyperlink ref="Y35" r:id="rId313" xr:uid="{B27D8C2E-0B65-FC44-8D3D-B3BED4174153}"/>
    <hyperlink ref="Y38" r:id="rId314" xr:uid="{F6553497-6D3A-DE4A-A7FB-688AAFE0E38C}"/>
    <hyperlink ref="Y41" r:id="rId315" xr:uid="{B1032116-272A-DF4A-A002-420989D22B75}"/>
    <hyperlink ref="Y44" r:id="rId316" xr:uid="{20C53000-BC7A-7F41-B858-D2A9C291EA54}"/>
    <hyperlink ref="Y50" r:id="rId317" xr:uid="{ADFFE091-1722-AB41-ABD1-57483835D769}"/>
    <hyperlink ref="Y53" r:id="rId318" xr:uid="{126B8E60-224B-224D-927C-59B8A9100944}"/>
    <hyperlink ref="Y56" r:id="rId319" xr:uid="{B335A9E3-FEAF-7140-B04C-7AD45D3FDB3A}"/>
    <hyperlink ref="Y62" r:id="rId320" xr:uid="{D9112D4F-2DC3-9742-8072-C4D243EF39EC}"/>
    <hyperlink ref="Y68" r:id="rId321" xr:uid="{DCE2B666-3546-5848-8CEA-285EB4E4CCC4}"/>
    <hyperlink ref="Y71" r:id="rId322" xr:uid="{6674057C-24B4-7047-9978-9BFD7ED20544}"/>
    <hyperlink ref="Y74" r:id="rId323" xr:uid="{DAB1F2CD-4959-DE4A-8A20-B796080C7A12}"/>
    <hyperlink ref="Y80" r:id="rId324" xr:uid="{B9940B53-F539-A047-B5A2-471F6444B23A}"/>
    <hyperlink ref="Y83" r:id="rId325" xr:uid="{3FFE8AB4-5FD1-C441-BCF5-CBF772C584F2}"/>
    <hyperlink ref="Y86" r:id="rId326" xr:uid="{A26131BF-CEF8-2F42-AF4D-458B81BCC8E7}"/>
    <hyperlink ref="Y106" r:id="rId327" xr:uid="{38F61A11-C7BA-4A4E-B684-A72D6447B326}"/>
    <hyperlink ref="Y117" r:id="rId328" xr:uid="{67824E1E-F43A-1641-B6C3-7A253E5E8E41}"/>
    <hyperlink ref="Y119" r:id="rId329" xr:uid="{7E3788D0-536F-AD43-97DA-1E962689339C}"/>
    <hyperlink ref="Y128" r:id="rId330" xr:uid="{CF4329B2-296B-9F4A-BAD9-FE2D2EAEC432}"/>
    <hyperlink ref="Y134" r:id="rId331" xr:uid="{A4CD5F6A-66E6-E844-97A0-76F813BA3C1E}"/>
    <hyperlink ref="Y137" r:id="rId332" xr:uid="{436FD1B3-9744-6342-8D64-961CAD7680FD}"/>
    <hyperlink ref="Y143" r:id="rId333" xr:uid="{A05D7F29-FD34-214E-A7C2-8385AF74AE6A}"/>
    <hyperlink ref="Y146" r:id="rId334" xr:uid="{EFBF67B3-453A-614C-9B4C-5DD06FEAE107}"/>
    <hyperlink ref="Y149" r:id="rId335" xr:uid="{72DFD56E-591B-5B43-A6D8-E034312D0D5B}"/>
    <hyperlink ref="Y8" r:id="rId336" xr:uid="{EA9FFF2B-4872-0247-81A2-421164EE3066}"/>
    <hyperlink ref="Y15" r:id="rId337" xr:uid="{74D2A282-86E6-AC40-89E0-D9368092E123}"/>
    <hyperlink ref="Y20" r:id="rId338" xr:uid="{CEDED834-EFFC-184C-A80D-191C374B7C98}"/>
    <hyperlink ref="Y23" r:id="rId339" xr:uid="{4DE4B0A6-F5C7-F842-9F3C-2EE295B07EEC}"/>
    <hyperlink ref="Y26" r:id="rId340" xr:uid="{876A42EB-D03F-2C42-972B-6302DDC3E402}"/>
    <hyperlink ref="Y42" r:id="rId341" xr:uid="{751311F4-DE1D-B84C-8B66-35452B1919B1}"/>
    <hyperlink ref="Y57" r:id="rId342" xr:uid="{155D2785-673F-CD45-B554-6157EB98E6F6}"/>
    <hyperlink ref="Y65" r:id="rId343" xr:uid="{15142679-308D-1A4B-9C5C-56358AB73E96}"/>
    <hyperlink ref="Y69" r:id="rId344" xr:uid="{A07C7FE8-3DE0-2D4A-A0DA-D8E29F552035}"/>
    <hyperlink ref="Y72" r:id="rId345" xr:uid="{2F3CFEBC-0683-B04B-A7F8-DEFBD7FB2D5D}"/>
    <hyperlink ref="Y84" r:id="rId346" xr:uid="{07E942A6-738F-524B-A747-E7CB064CAAEB}"/>
    <hyperlink ref="Y87" r:id="rId347" xr:uid="{3F86BFB5-400F-0549-B29F-1F31CF8A4581}"/>
    <hyperlink ref="Y89" r:id="rId348" xr:uid="{1DEC3401-5781-9D44-8A9E-FE73C0B410C5}"/>
    <hyperlink ref="Y98" r:id="rId349" xr:uid="{7CFE7229-15F4-5A4D-A829-2463F4B72681}"/>
    <hyperlink ref="Y104" r:id="rId350" xr:uid="{4196EDF9-F486-4F42-85F3-018406961711}"/>
    <hyperlink ref="Y110" r:id="rId351" xr:uid="{425412F1-44B1-5444-97E4-D9C8567B4ED1}"/>
    <hyperlink ref="Y113" r:id="rId352" xr:uid="{E9B6BE23-39D4-1C42-8951-E6F41C033FFC}"/>
    <hyperlink ref="Y125" r:id="rId353" xr:uid="{8E9A2BB1-5028-FC44-869D-71ABB8EF12BB}"/>
    <hyperlink ref="Y131" r:id="rId354" xr:uid="{A3FE515A-0DEC-1F45-92A2-1B8A217E64D9}"/>
    <hyperlink ref="Y144" r:id="rId355" xr:uid="{33C2E0B7-523A-3048-82DF-3BE0264168F2}"/>
    <hyperlink ref="Y150" r:id="rId356" xr:uid="{09625279-41EF-454A-BC10-F814F5DEAF5A}"/>
    <hyperlink ref="Y152" r:id="rId357" xr:uid="{24831191-AAB5-9645-A021-3BAEE91B2A31}"/>
    <hyperlink ref="Y5" r:id="rId358" xr:uid="{BDBAFC26-6561-0441-A172-AE7B7796D408}"/>
    <hyperlink ref="Y9" r:id="rId359" xr:uid="{20635C59-BDDA-FD4C-A4F3-889F77915435}"/>
    <hyperlink ref="Y47" r:id="rId360" xr:uid="{16A26FEF-3F30-3340-A837-E0B9AE11FDC6}"/>
    <hyperlink ref="Y58" r:id="rId361" xr:uid="{D2FE93B5-7A06-9646-BD93-9806287B8077}"/>
    <hyperlink ref="Y59" r:id="rId362" xr:uid="{B94A3DE8-72D5-FA4F-8629-FD2DC07717F2}"/>
    <hyperlink ref="Y77" r:id="rId363" xr:uid="{716AE448-301F-0145-B725-81ADD2F57B23}"/>
    <hyperlink ref="Y92" r:id="rId364" xr:uid="{8E7694F0-41F9-5C4A-BC04-AFE0B8AE0F73}"/>
    <hyperlink ref="Y95" r:id="rId365" xr:uid="{BCEC5C5A-372C-4540-8936-E569D06CB5A9}"/>
    <hyperlink ref="Y101" r:id="rId366" xr:uid="{FBE93AAB-4BDE-3144-9325-673435551538}"/>
    <hyperlink ref="Y105" r:id="rId367" xr:uid="{995FF9E3-ED37-4A4B-BD6B-485164DD2875}"/>
    <hyperlink ref="Y107" r:id="rId368" xr:uid="{64B74A1B-5D95-D546-81E1-1ABEFE471F36}"/>
    <hyperlink ref="Y116" r:id="rId369" xr:uid="{AFC2211A-76BA-4049-8F85-A52FBFC9B707}"/>
    <hyperlink ref="Y122" r:id="rId370" xr:uid="{55FECFC3-A103-B346-A82E-14BA5C2FDE19}"/>
    <hyperlink ref="Y140" r:id="rId371" xr:uid="{ADE78AEB-47AD-7C41-A05A-9912942A92EF}"/>
    <hyperlink ref="AL2" r:id="rId372" xr:uid="{42DD19FE-5A98-7C44-8CB1-ABF3B14D7B90}"/>
    <hyperlink ref="AL5" r:id="rId373" xr:uid="{476C1B89-88D7-BE45-BC5D-9377731A9B65}"/>
    <hyperlink ref="AL6" r:id="rId374" xr:uid="{BE478D26-C47D-8745-AE8E-6B5E3CF394EC}"/>
    <hyperlink ref="AL7" r:id="rId375" xr:uid="{549BF9AD-FBFC-724C-9E9A-2BEAFBC36B30}"/>
    <hyperlink ref="AL11" r:id="rId376" xr:uid="{DB57722F-32D4-6049-BC91-6142AC0E910E}"/>
    <hyperlink ref="AL12" r:id="rId377" xr:uid="{F006F167-D40C-4442-941B-048C2E0D8327}"/>
    <hyperlink ref="AL13" r:id="rId378" xr:uid="{ECBC6409-FA04-FC43-B6A7-3294090311A0}"/>
    <hyperlink ref="AL14" r:id="rId379" xr:uid="{6DAF894C-13FD-8144-B48D-F92313EF353C}"/>
    <hyperlink ref="AL15" r:id="rId380" xr:uid="{BC36E9C1-E219-1549-BFD4-824ABA0DC36E}"/>
    <hyperlink ref="AL16" r:id="rId381" xr:uid="{2FBFD42F-F423-B94B-9C04-7F97A1547C4C}"/>
    <hyperlink ref="AL18" r:id="rId382" xr:uid="{248C358D-2CC0-0742-823E-D25C0AF0E28E}"/>
    <hyperlink ref="AL19" r:id="rId383" xr:uid="{E558C121-F015-CA4F-B1E9-B24D6793E295}"/>
    <hyperlink ref="AL20" r:id="rId384" xr:uid="{43617BE3-956F-7F46-AD23-F14CC442421E}"/>
    <hyperlink ref="AL22" r:id="rId385" xr:uid="{1DD2CB9D-DCF2-BF4E-8201-540F076C80A8}"/>
    <hyperlink ref="AL24" r:id="rId386" xr:uid="{65BD204D-2715-CE4E-B6F5-5CF51CCC1EBC}"/>
    <hyperlink ref="AL25" r:id="rId387" xr:uid="{8F0E7C9B-85A0-8D4B-BDA7-732C6D01685F}"/>
    <hyperlink ref="AL26" r:id="rId388" xr:uid="{A8BCE216-0A8A-474B-AC13-F17096D3B12B}"/>
    <hyperlink ref="AL28" r:id="rId389" xr:uid="{FC79725D-1E3A-CF4A-BB15-E2B1AB80D609}"/>
    <hyperlink ref="AL29" r:id="rId390" xr:uid="{E72323BE-2E38-164B-8F58-8EF0962A5F10}"/>
    <hyperlink ref="AL30" r:id="rId391" xr:uid="{6252E6B4-90CE-DD44-9EAF-88CB1ADCA137}"/>
    <hyperlink ref="AL41" r:id="rId392" xr:uid="{00FF31D4-61A3-BF46-B39E-70C0CCDBA64C}"/>
    <hyperlink ref="AL44" r:id="rId393" xr:uid="{B1C4C7AC-E47F-8343-8785-6F0DF982E1DC}"/>
    <hyperlink ref="AL46" r:id="rId394" xr:uid="{31E21C28-954F-744E-8E39-777F5E50B0D2}"/>
    <hyperlink ref="AL47" r:id="rId395" xr:uid="{F3CA9CA1-0C04-D548-883E-1E355DF6D4C8}"/>
    <hyperlink ref="AL49" r:id="rId396" xr:uid="{7B162ED7-30C4-E442-8D84-063D41CC474F}"/>
    <hyperlink ref="AL50" r:id="rId397" xr:uid="{E02B3FDE-FECE-074E-B026-C4C4058E2A8F}"/>
    <hyperlink ref="AL51" r:id="rId398" xr:uid="{6509C86B-93A7-BD41-BE1E-705B35E4B690}"/>
    <hyperlink ref="AL4" r:id="rId399" xr:uid="{70DE3BE8-3A19-3C43-930F-EF1F615DC425}"/>
    <hyperlink ref="AL8" r:id="rId400" xr:uid="{E44CBBF1-1D61-754C-8A9E-1B4DADE348E5}"/>
    <hyperlink ref="AL9" r:id="rId401" xr:uid="{45A92A2F-4D0C-4F4D-A500-5B5236B188FF}"/>
    <hyperlink ref="AL10" r:id="rId402" xr:uid="{CE4AADE4-ECB1-8747-9939-6A869B0FFDE0}"/>
    <hyperlink ref="AL23" r:id="rId403" xr:uid="{9EADF768-3389-1B4B-875F-E7460A77ABDE}"/>
    <hyperlink ref="AL31" r:id="rId404" xr:uid="{5A909EE0-FFA3-F541-BBAF-BB000DA1492C}"/>
    <hyperlink ref="AL34" r:id="rId405" xr:uid="{29A21B48-352A-DC40-9ABC-684CAC2CA328}"/>
    <hyperlink ref="AL36" r:id="rId406" xr:uid="{253788B7-A61E-3E4F-B2AC-CA9C5A2F972B}"/>
    <hyperlink ref="AL38" r:id="rId407" xr:uid="{75ABB291-BF40-6F4E-BA34-BF5F269D1434}"/>
    <hyperlink ref="AL39" r:id="rId408" xr:uid="{B292AA69-D4A9-514C-A80C-BE780A8037C7}"/>
    <hyperlink ref="AL43" r:id="rId409" xr:uid="{BD704A4F-A314-ED41-9F0C-AA73ACDFA4E5}"/>
    <hyperlink ref="AL45" r:id="rId410" xr:uid="{CFCE0D76-2A68-994F-AD45-D68EFA1A4649}"/>
    <hyperlink ref="AL52" r:id="rId411" xr:uid="{030C7D80-28E3-364D-84E7-42E556034F0B}"/>
    <hyperlink ref="AL3" r:id="rId412" xr:uid="{B2B1AC54-5DB7-8F41-BC18-5BEA4179B907}"/>
    <hyperlink ref="AL17" r:id="rId413" xr:uid="{425DE996-38FB-F141-9F2F-141777E5CD10}"/>
    <hyperlink ref="AL21" r:id="rId414" xr:uid="{C40BEFA9-E15F-5C4B-82C2-304AAE0B85E0}"/>
    <hyperlink ref="AL27" r:id="rId415" xr:uid="{0A1E2F09-D946-0244-8365-81AF28A3C45B}"/>
    <hyperlink ref="AL32" r:id="rId416" xr:uid="{152449BD-0CBC-764B-BFAE-9EC40BD1A065}"/>
    <hyperlink ref="AL33" r:id="rId417" xr:uid="{0738AB04-739C-204A-84C4-EA0696F23CB5}"/>
    <hyperlink ref="AL35" r:id="rId418" xr:uid="{7FEBC6D7-1988-E343-9786-47C7BB7E07C3}"/>
    <hyperlink ref="AL37" r:id="rId419" xr:uid="{7ED149F8-B821-2644-A0C0-799F3235EBB1}"/>
    <hyperlink ref="AL40" r:id="rId420" xr:uid="{BF080E2D-B813-AD4E-B098-B0F9D2D655E5}"/>
    <hyperlink ref="AL42" r:id="rId421" xr:uid="{8D76A23F-2BEE-9147-8BEC-B0DC1C51A6D4}"/>
    <hyperlink ref="AL48" r:id="rId422" xr:uid="{C84E67D2-09C2-094B-BE3D-087131D3E6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9A96-62E1-C346-A1B8-23C371BFA328}">
  <sheetPr codeName="Sheet4"/>
  <dimension ref="A1:L52"/>
  <sheetViews>
    <sheetView workbookViewId="0">
      <selection activeCell="G13" sqref="G13"/>
    </sheetView>
  </sheetViews>
  <sheetFormatPr baseColWidth="10" defaultRowHeight="16" x14ac:dyDescent="0.2"/>
  <sheetData>
    <row r="1" spans="1:12" ht="17" x14ac:dyDescent="0.2">
      <c r="A1" s="64" t="s">
        <v>0</v>
      </c>
    </row>
    <row r="2" spans="1:12" x14ac:dyDescent="0.2">
      <c r="A2" s="65" t="s">
        <v>57</v>
      </c>
      <c r="B2" t="s">
        <v>128</v>
      </c>
      <c r="D2" t="s">
        <v>131</v>
      </c>
      <c r="E2" t="s">
        <v>132</v>
      </c>
      <c r="F2" t="s">
        <v>130</v>
      </c>
      <c r="I2" t="s">
        <v>131</v>
      </c>
      <c r="J2" t="s">
        <v>133</v>
      </c>
      <c r="K2" t="s">
        <v>129</v>
      </c>
      <c r="L2" t="str">
        <f>_xlfn.CONCAT(B2:K2)</f>
        <v>intrastate natural gas and intrastate harzardous liquid pipelines</v>
      </c>
    </row>
    <row r="3" spans="1:12" x14ac:dyDescent="0.2">
      <c r="A3" s="66" t="s">
        <v>51</v>
      </c>
      <c r="B3" t="s">
        <v>128</v>
      </c>
      <c r="C3" t="s">
        <v>215</v>
      </c>
      <c r="D3" t="s">
        <v>131</v>
      </c>
      <c r="E3" t="s">
        <v>132</v>
      </c>
      <c r="F3" t="s">
        <v>130</v>
      </c>
      <c r="H3" t="s">
        <v>216</v>
      </c>
      <c r="I3" t="s">
        <v>131</v>
      </c>
      <c r="J3" t="s">
        <v>133</v>
      </c>
      <c r="K3" t="s">
        <v>129</v>
      </c>
      <c r="L3" t="str">
        <f t="shared" ref="L3:L52" si="0">_xlfn.CONCAT(B3:K3)</f>
        <v>intra &amp; interstate natural gas and intra &amp; inter state harzardous liquid pipelines</v>
      </c>
    </row>
    <row r="4" spans="1:12" x14ac:dyDescent="0.2">
      <c r="A4" s="65" t="s">
        <v>19</v>
      </c>
      <c r="B4" t="s">
        <v>128</v>
      </c>
      <c r="D4" t="s">
        <v>131</v>
      </c>
      <c r="E4" t="s">
        <v>132</v>
      </c>
      <c r="K4" t="s">
        <v>129</v>
      </c>
      <c r="L4" t="str">
        <f t="shared" si="0"/>
        <v>intrastate natural gas pipelines</v>
      </c>
    </row>
    <row r="5" spans="1:12" x14ac:dyDescent="0.2">
      <c r="A5" s="65" t="s">
        <v>45</v>
      </c>
      <c r="B5" t="s">
        <v>128</v>
      </c>
      <c r="D5" t="s">
        <v>131</v>
      </c>
      <c r="E5" t="s">
        <v>132</v>
      </c>
      <c r="K5" t="s">
        <v>129</v>
      </c>
      <c r="L5" t="str">
        <f t="shared" si="0"/>
        <v>intrastate natural gas pipelines</v>
      </c>
    </row>
    <row r="6" spans="1:12" x14ac:dyDescent="0.2">
      <c r="A6" s="68" t="s">
        <v>20</v>
      </c>
      <c r="B6" t="s">
        <v>128</v>
      </c>
      <c r="D6" t="s">
        <v>131</v>
      </c>
      <c r="E6" t="s">
        <v>132</v>
      </c>
      <c r="K6" t="s">
        <v>129</v>
      </c>
      <c r="L6" t="str">
        <f t="shared" si="0"/>
        <v>intrastate natural gas pipelines</v>
      </c>
    </row>
    <row r="7" spans="1:12" x14ac:dyDescent="0.2">
      <c r="A7" s="69" t="s">
        <v>35</v>
      </c>
      <c r="B7" t="s">
        <v>128</v>
      </c>
      <c r="D7" t="s">
        <v>131</v>
      </c>
      <c r="E7" t="s">
        <v>132</v>
      </c>
      <c r="F7" t="s">
        <v>130</v>
      </c>
      <c r="I7" t="s">
        <v>131</v>
      </c>
      <c r="J7" t="s">
        <v>133</v>
      </c>
      <c r="K7" t="s">
        <v>129</v>
      </c>
      <c r="L7" t="str">
        <f t="shared" si="0"/>
        <v>intrastate natural gas and intrastate harzardous liquid pipelines</v>
      </c>
    </row>
    <row r="8" spans="1:12" x14ac:dyDescent="0.2">
      <c r="A8" s="66" t="s">
        <v>58</v>
      </c>
      <c r="B8" t="s">
        <v>128</v>
      </c>
      <c r="D8" t="s">
        <v>131</v>
      </c>
      <c r="E8" t="s">
        <v>132</v>
      </c>
      <c r="K8" t="s">
        <v>129</v>
      </c>
      <c r="L8" t="str">
        <f t="shared" si="0"/>
        <v>intrastate natural gas pipelines</v>
      </c>
    </row>
    <row r="9" spans="1:12" x14ac:dyDescent="0.2">
      <c r="A9" s="65" t="s">
        <v>24</v>
      </c>
      <c r="B9" t="s">
        <v>128</v>
      </c>
      <c r="C9" t="s">
        <v>215</v>
      </c>
      <c r="D9" t="s">
        <v>131</v>
      </c>
      <c r="E9" t="s">
        <v>132</v>
      </c>
      <c r="K9" t="s">
        <v>129</v>
      </c>
      <c r="L9" t="str">
        <f t="shared" si="0"/>
        <v>intra &amp; interstate natural gas pipelines</v>
      </c>
    </row>
    <row r="10" spans="1:12" x14ac:dyDescent="0.2">
      <c r="A10" s="66" t="s">
        <v>62</v>
      </c>
      <c r="B10" t="s">
        <v>128</v>
      </c>
      <c r="D10" t="s">
        <v>131</v>
      </c>
      <c r="E10" t="s">
        <v>132</v>
      </c>
      <c r="K10" t="s">
        <v>129</v>
      </c>
      <c r="L10" t="str">
        <f t="shared" si="0"/>
        <v>intrastate natural gas pipelines</v>
      </c>
    </row>
    <row r="11" spans="1:12" x14ac:dyDescent="0.2">
      <c r="A11" s="65" t="s">
        <v>50</v>
      </c>
      <c r="B11" t="s">
        <v>128</v>
      </c>
      <c r="D11" t="s">
        <v>131</v>
      </c>
      <c r="E11" t="s">
        <v>132</v>
      </c>
      <c r="K11" t="s">
        <v>129</v>
      </c>
      <c r="L11" t="str">
        <f t="shared" si="0"/>
        <v>intrastate natural gas pipelines</v>
      </c>
    </row>
    <row r="12" spans="1:12" x14ac:dyDescent="0.2">
      <c r="A12" s="65" t="s">
        <v>65</v>
      </c>
      <c r="B12" t="s">
        <v>128</v>
      </c>
      <c r="D12" t="s">
        <v>131</v>
      </c>
      <c r="E12" t="s">
        <v>132</v>
      </c>
      <c r="K12" t="s">
        <v>129</v>
      </c>
      <c r="L12" t="str">
        <f t="shared" si="0"/>
        <v>intrastate natural gas pipelines</v>
      </c>
    </row>
    <row r="13" spans="1:12" x14ac:dyDescent="0.2">
      <c r="A13" s="66" t="s">
        <v>54</v>
      </c>
      <c r="B13" t="s">
        <v>128</v>
      </c>
      <c r="D13" t="s">
        <v>131</v>
      </c>
      <c r="E13" t="s">
        <v>132</v>
      </c>
      <c r="K13" t="s">
        <v>129</v>
      </c>
      <c r="L13" t="str">
        <f t="shared" si="0"/>
        <v>intrastate natural gas pipelines</v>
      </c>
    </row>
    <row r="14" spans="1:12" x14ac:dyDescent="0.2">
      <c r="A14" s="66" t="s">
        <v>32</v>
      </c>
      <c r="B14" t="s">
        <v>128</v>
      </c>
      <c r="D14" t="s">
        <v>131</v>
      </c>
      <c r="E14" t="s">
        <v>132</v>
      </c>
      <c r="K14" t="s">
        <v>129</v>
      </c>
      <c r="L14" t="str">
        <f t="shared" si="0"/>
        <v>intrastate natural gas pipelines</v>
      </c>
    </row>
    <row r="15" spans="1:12" x14ac:dyDescent="0.2">
      <c r="A15" s="65" t="s">
        <v>15</v>
      </c>
      <c r="B15" t="s">
        <v>128</v>
      </c>
      <c r="D15" t="s">
        <v>131</v>
      </c>
      <c r="E15" t="s">
        <v>132</v>
      </c>
      <c r="K15" t="s">
        <v>129</v>
      </c>
      <c r="L15" t="str">
        <f t="shared" si="0"/>
        <v>intrastate natural gas pipelines</v>
      </c>
    </row>
    <row r="16" spans="1:12" x14ac:dyDescent="0.2">
      <c r="A16" s="66" t="s">
        <v>25</v>
      </c>
      <c r="B16" t="s">
        <v>128</v>
      </c>
      <c r="D16" t="s">
        <v>131</v>
      </c>
      <c r="E16" t="s">
        <v>132</v>
      </c>
      <c r="F16" t="s">
        <v>130</v>
      </c>
      <c r="I16" t="s">
        <v>131</v>
      </c>
      <c r="J16" t="s">
        <v>133</v>
      </c>
      <c r="K16" t="s">
        <v>129</v>
      </c>
      <c r="L16" t="str">
        <f t="shared" si="0"/>
        <v>intrastate natural gas and intrastate harzardous liquid pipelines</v>
      </c>
    </row>
    <row r="17" spans="1:12" x14ac:dyDescent="0.2">
      <c r="A17" s="65" t="s">
        <v>28</v>
      </c>
      <c r="B17" t="s">
        <v>128</v>
      </c>
      <c r="C17" t="s">
        <v>215</v>
      </c>
      <c r="D17" t="s">
        <v>131</v>
      </c>
      <c r="E17" t="s">
        <v>132</v>
      </c>
      <c r="K17" t="s">
        <v>129</v>
      </c>
      <c r="L17" t="str">
        <f t="shared" si="0"/>
        <v>intra &amp; interstate natural gas pipelines</v>
      </c>
    </row>
    <row r="18" spans="1:12" x14ac:dyDescent="0.2">
      <c r="A18" s="65" t="s">
        <v>55</v>
      </c>
      <c r="B18" t="s">
        <v>128</v>
      </c>
      <c r="D18" t="s">
        <v>131</v>
      </c>
      <c r="E18" t="s">
        <v>132</v>
      </c>
      <c r="K18" t="s">
        <v>129</v>
      </c>
      <c r="L18" t="str">
        <f t="shared" si="0"/>
        <v>intrastate natural gas pipelines</v>
      </c>
    </row>
    <row r="19" spans="1:12" x14ac:dyDescent="0.2">
      <c r="A19" s="65" t="s">
        <v>48</v>
      </c>
      <c r="B19" t="s">
        <v>128</v>
      </c>
      <c r="D19" t="s">
        <v>131</v>
      </c>
      <c r="E19" t="s">
        <v>132</v>
      </c>
      <c r="K19" t="s">
        <v>129</v>
      </c>
      <c r="L19" t="str">
        <f t="shared" si="0"/>
        <v>intrastate natural gas pipelines</v>
      </c>
    </row>
    <row r="20" spans="1:12" x14ac:dyDescent="0.2">
      <c r="A20" s="65" t="s">
        <v>21</v>
      </c>
      <c r="B20" t="s">
        <v>128</v>
      </c>
      <c r="D20" t="s">
        <v>131</v>
      </c>
      <c r="E20" t="s">
        <v>132</v>
      </c>
      <c r="F20" t="s">
        <v>130</v>
      </c>
      <c r="I20" t="s">
        <v>131</v>
      </c>
      <c r="J20" t="s">
        <v>133</v>
      </c>
      <c r="K20" t="s">
        <v>129</v>
      </c>
      <c r="L20" t="str">
        <f t="shared" si="0"/>
        <v>intrastate natural gas and intrastate harzardous liquid pipelines</v>
      </c>
    </row>
    <row r="21" spans="1:12" x14ac:dyDescent="0.2">
      <c r="A21" s="66" t="s">
        <v>29</v>
      </c>
      <c r="B21" t="s">
        <v>128</v>
      </c>
      <c r="D21" t="s">
        <v>131</v>
      </c>
      <c r="E21" t="s">
        <v>132</v>
      </c>
      <c r="K21" t="s">
        <v>129</v>
      </c>
      <c r="L21" t="str">
        <f t="shared" si="0"/>
        <v>intrastate natural gas pipelines</v>
      </c>
    </row>
    <row r="22" spans="1:12" x14ac:dyDescent="0.2">
      <c r="A22" s="65" t="s">
        <v>59</v>
      </c>
      <c r="B22" t="s">
        <v>128</v>
      </c>
      <c r="D22" t="s">
        <v>131</v>
      </c>
      <c r="E22" t="s">
        <v>132</v>
      </c>
      <c r="F22" t="s">
        <v>130</v>
      </c>
      <c r="I22" t="s">
        <v>131</v>
      </c>
      <c r="J22" t="s">
        <v>133</v>
      </c>
      <c r="K22" t="s">
        <v>129</v>
      </c>
      <c r="L22" t="str">
        <f t="shared" si="0"/>
        <v>intrastate natural gas and intrastate harzardous liquid pipelines</v>
      </c>
    </row>
    <row r="23" spans="1:12" x14ac:dyDescent="0.2">
      <c r="A23" s="68" t="s">
        <v>33</v>
      </c>
      <c r="B23" t="s">
        <v>128</v>
      </c>
      <c r="D23" t="s">
        <v>131</v>
      </c>
      <c r="E23" t="s">
        <v>132</v>
      </c>
      <c r="K23" t="s">
        <v>129</v>
      </c>
      <c r="L23" t="str">
        <f t="shared" si="0"/>
        <v>intrastate natural gas pipelines</v>
      </c>
    </row>
    <row r="24" spans="1:12" x14ac:dyDescent="0.2">
      <c r="A24" s="70" t="s">
        <v>46</v>
      </c>
      <c r="B24" t="s">
        <v>128</v>
      </c>
      <c r="C24" t="s">
        <v>215</v>
      </c>
      <c r="D24" t="s">
        <v>131</v>
      </c>
      <c r="E24" t="s">
        <v>132</v>
      </c>
      <c r="K24" t="s">
        <v>129</v>
      </c>
      <c r="L24" t="str">
        <f t="shared" si="0"/>
        <v>intra &amp; interstate natural gas pipelines</v>
      </c>
    </row>
    <row r="25" spans="1:12" x14ac:dyDescent="0.2">
      <c r="A25" s="66" t="s">
        <v>22</v>
      </c>
      <c r="B25" t="s">
        <v>128</v>
      </c>
      <c r="C25" t="s">
        <v>215</v>
      </c>
      <c r="D25" t="s">
        <v>131</v>
      </c>
      <c r="E25" t="s">
        <v>132</v>
      </c>
      <c r="F25" t="s">
        <v>130</v>
      </c>
      <c r="H25" t="s">
        <v>216</v>
      </c>
      <c r="I25" t="s">
        <v>131</v>
      </c>
      <c r="J25" t="s">
        <v>133</v>
      </c>
      <c r="K25" t="s">
        <v>129</v>
      </c>
      <c r="L25" t="str">
        <f t="shared" si="0"/>
        <v>intra &amp; interstate natural gas and intra &amp; inter state harzardous liquid pipelines</v>
      </c>
    </row>
    <row r="26" spans="1:12" x14ac:dyDescent="0.2">
      <c r="A26" s="65" t="s">
        <v>39</v>
      </c>
      <c r="B26" t="s">
        <v>128</v>
      </c>
      <c r="D26" t="s">
        <v>131</v>
      </c>
      <c r="E26" t="s">
        <v>132</v>
      </c>
      <c r="K26" t="s">
        <v>129</v>
      </c>
      <c r="L26" t="str">
        <f t="shared" si="0"/>
        <v>intrastate natural gas pipelines</v>
      </c>
    </row>
    <row r="27" spans="1:12" x14ac:dyDescent="0.2">
      <c r="A27" s="66" t="s">
        <v>40</v>
      </c>
      <c r="B27" t="s">
        <v>128</v>
      </c>
      <c r="D27" t="s">
        <v>131</v>
      </c>
      <c r="E27" t="s">
        <v>132</v>
      </c>
      <c r="K27" t="s">
        <v>129</v>
      </c>
      <c r="L27" t="str">
        <f t="shared" si="0"/>
        <v>intrastate natural gas pipelines</v>
      </c>
    </row>
    <row r="28" spans="1:12" x14ac:dyDescent="0.2">
      <c r="A28" s="85" t="s">
        <v>26</v>
      </c>
      <c r="B28" t="s">
        <v>128</v>
      </c>
      <c r="D28" t="s">
        <v>131</v>
      </c>
      <c r="E28" t="s">
        <v>132</v>
      </c>
      <c r="K28" t="s">
        <v>129</v>
      </c>
      <c r="L28" t="str">
        <f t="shared" si="0"/>
        <v>intrastate natural gas pipelines</v>
      </c>
    </row>
    <row r="29" spans="1:12" x14ac:dyDescent="0.2">
      <c r="A29" s="68" t="s">
        <v>23</v>
      </c>
      <c r="B29" t="s">
        <v>128</v>
      </c>
      <c r="D29" t="s">
        <v>131</v>
      </c>
      <c r="E29" t="s">
        <v>132</v>
      </c>
      <c r="K29" t="s">
        <v>129</v>
      </c>
      <c r="L29" t="str">
        <f t="shared" si="0"/>
        <v>intrastate natural gas pipelines</v>
      </c>
    </row>
    <row r="30" spans="1:12" x14ac:dyDescent="0.2">
      <c r="A30" s="66" t="s">
        <v>16</v>
      </c>
      <c r="B30" t="s">
        <v>128</v>
      </c>
      <c r="D30" t="s">
        <v>131</v>
      </c>
      <c r="E30" t="s">
        <v>132</v>
      </c>
      <c r="K30" t="s">
        <v>129</v>
      </c>
      <c r="L30" t="str">
        <f t="shared" si="0"/>
        <v>intrastate natural gas pipelines</v>
      </c>
    </row>
    <row r="31" spans="1:12" x14ac:dyDescent="0.2">
      <c r="A31" s="66" t="s">
        <v>31</v>
      </c>
      <c r="B31" t="s">
        <v>128</v>
      </c>
      <c r="D31" t="s">
        <v>131</v>
      </c>
      <c r="E31" t="s">
        <v>132</v>
      </c>
      <c r="K31" t="s">
        <v>129</v>
      </c>
      <c r="L31" t="str">
        <f t="shared" si="0"/>
        <v>intrastate natural gas pipelines</v>
      </c>
    </row>
    <row r="32" spans="1:12" x14ac:dyDescent="0.2">
      <c r="A32" s="65" t="s">
        <v>41</v>
      </c>
      <c r="B32" t="s">
        <v>128</v>
      </c>
      <c r="D32" t="s">
        <v>131</v>
      </c>
      <c r="E32" t="s">
        <v>132</v>
      </c>
      <c r="K32" t="s">
        <v>129</v>
      </c>
      <c r="L32" t="str">
        <f t="shared" si="0"/>
        <v>intrastate natural gas pipelines</v>
      </c>
    </row>
    <row r="33" spans="1:12" x14ac:dyDescent="0.2">
      <c r="A33" s="68" t="s">
        <v>47</v>
      </c>
      <c r="B33" t="s">
        <v>128</v>
      </c>
      <c r="D33" t="s">
        <v>131</v>
      </c>
      <c r="E33" t="s">
        <v>132</v>
      </c>
      <c r="F33" t="s">
        <v>130</v>
      </c>
      <c r="I33" t="s">
        <v>131</v>
      </c>
      <c r="J33" t="s">
        <v>133</v>
      </c>
      <c r="K33" t="s">
        <v>129</v>
      </c>
      <c r="L33" t="str">
        <f t="shared" si="0"/>
        <v>intrastate natural gas and intrastate harzardous liquid pipelines</v>
      </c>
    </row>
    <row r="34" spans="1:12" x14ac:dyDescent="0.2">
      <c r="A34" s="65" t="s">
        <v>30</v>
      </c>
      <c r="B34" t="s">
        <v>128</v>
      </c>
      <c r="C34" t="s">
        <v>215</v>
      </c>
      <c r="D34" t="s">
        <v>131</v>
      </c>
      <c r="E34" t="s">
        <v>132</v>
      </c>
      <c r="F34" t="s">
        <v>130</v>
      </c>
      <c r="H34" t="s">
        <v>216</v>
      </c>
      <c r="I34" t="s">
        <v>131</v>
      </c>
      <c r="J34" t="s">
        <v>133</v>
      </c>
      <c r="K34" t="s">
        <v>129</v>
      </c>
      <c r="L34" t="str">
        <f t="shared" si="0"/>
        <v>intra &amp; interstate natural gas and intra &amp; inter state harzardous liquid pipelines</v>
      </c>
    </row>
    <row r="35" spans="1:12" x14ac:dyDescent="0.2">
      <c r="A35" s="66" t="s">
        <v>49</v>
      </c>
      <c r="B35" t="s">
        <v>128</v>
      </c>
      <c r="D35" t="s">
        <v>131</v>
      </c>
      <c r="E35" t="s">
        <v>132</v>
      </c>
      <c r="K35" t="s">
        <v>129</v>
      </c>
      <c r="L35" t="str">
        <f t="shared" si="0"/>
        <v>intrastate natural gas pipelines</v>
      </c>
    </row>
    <row r="36" spans="1:12" x14ac:dyDescent="0.2">
      <c r="A36" s="66" t="s">
        <v>42</v>
      </c>
      <c r="B36" t="s">
        <v>128</v>
      </c>
      <c r="D36" t="s">
        <v>131</v>
      </c>
      <c r="E36" t="s">
        <v>132</v>
      </c>
      <c r="K36" t="s">
        <v>129</v>
      </c>
      <c r="L36" t="str">
        <f t="shared" si="0"/>
        <v>intrastate natural gas pipelines</v>
      </c>
    </row>
    <row r="37" spans="1:12" x14ac:dyDescent="0.2">
      <c r="A37" s="66" t="s">
        <v>56</v>
      </c>
      <c r="B37" t="s">
        <v>128</v>
      </c>
      <c r="C37" t="s">
        <v>215</v>
      </c>
      <c r="D37" t="s">
        <v>131</v>
      </c>
      <c r="E37" t="s">
        <v>132</v>
      </c>
      <c r="K37" t="s">
        <v>129</v>
      </c>
      <c r="L37" t="str">
        <f t="shared" si="0"/>
        <v>intra &amp; interstate natural gas pipelines</v>
      </c>
    </row>
    <row r="38" spans="1:12" x14ac:dyDescent="0.2">
      <c r="A38" s="66" t="s">
        <v>60</v>
      </c>
      <c r="B38" t="s">
        <v>128</v>
      </c>
      <c r="D38" t="s">
        <v>131</v>
      </c>
      <c r="E38" t="s">
        <v>132</v>
      </c>
      <c r="F38" t="s">
        <v>130</v>
      </c>
      <c r="I38" t="s">
        <v>131</v>
      </c>
      <c r="J38" t="s">
        <v>133</v>
      </c>
      <c r="K38" t="s">
        <v>129</v>
      </c>
      <c r="L38" t="str">
        <f t="shared" si="0"/>
        <v>intrastate natural gas and intrastate harzardous liquid pipelines</v>
      </c>
    </row>
    <row r="39" spans="1:12" x14ac:dyDescent="0.2">
      <c r="A39" s="66" t="s">
        <v>64</v>
      </c>
      <c r="B39" t="s">
        <v>128</v>
      </c>
      <c r="D39" t="s">
        <v>131</v>
      </c>
      <c r="E39" t="s">
        <v>132</v>
      </c>
      <c r="K39" t="s">
        <v>129</v>
      </c>
      <c r="L39" t="str">
        <f t="shared" si="0"/>
        <v>intrastate natural gas pipelines</v>
      </c>
    </row>
    <row r="40" spans="1:12" x14ac:dyDescent="0.2">
      <c r="A40" s="65" t="s">
        <v>36</v>
      </c>
      <c r="B40" t="s">
        <v>128</v>
      </c>
      <c r="D40" t="s">
        <v>131</v>
      </c>
      <c r="E40" t="s">
        <v>132</v>
      </c>
      <c r="F40" t="s">
        <v>130</v>
      </c>
      <c r="I40" t="s">
        <v>131</v>
      </c>
      <c r="J40" t="s">
        <v>133</v>
      </c>
      <c r="K40" t="s">
        <v>129</v>
      </c>
      <c r="L40" t="str">
        <f t="shared" si="0"/>
        <v>intrastate natural gas and intrastate harzardous liquid pipelines</v>
      </c>
    </row>
    <row r="41" spans="1:12" x14ac:dyDescent="0.2">
      <c r="A41" s="66" t="s">
        <v>52</v>
      </c>
      <c r="B41" t="s">
        <v>128</v>
      </c>
      <c r="D41" t="s">
        <v>131</v>
      </c>
      <c r="E41" t="s">
        <v>132</v>
      </c>
      <c r="K41" t="s">
        <v>129</v>
      </c>
      <c r="L41" t="str">
        <f t="shared" si="0"/>
        <v>intrastate natural gas pipelines</v>
      </c>
    </row>
    <row r="42" spans="1:12" x14ac:dyDescent="0.2">
      <c r="A42" s="65" t="s">
        <v>43</v>
      </c>
      <c r="B42" t="s">
        <v>128</v>
      </c>
      <c r="D42" t="s">
        <v>131</v>
      </c>
      <c r="E42" t="s">
        <v>132</v>
      </c>
      <c r="K42" t="s">
        <v>129</v>
      </c>
      <c r="L42" t="str">
        <f t="shared" si="0"/>
        <v>intrastate natural gas pipelines</v>
      </c>
    </row>
    <row r="43" spans="1:12" x14ac:dyDescent="0.2">
      <c r="A43" s="33" t="s">
        <v>37</v>
      </c>
      <c r="B43" t="s">
        <v>128</v>
      </c>
      <c r="D43" t="s">
        <v>131</v>
      </c>
      <c r="E43" t="s">
        <v>132</v>
      </c>
      <c r="K43" t="s">
        <v>129</v>
      </c>
      <c r="L43" t="str">
        <f t="shared" si="0"/>
        <v>intrastate natural gas pipelines</v>
      </c>
    </row>
    <row r="44" spans="1:12" x14ac:dyDescent="0.2">
      <c r="A44" s="65" t="s">
        <v>61</v>
      </c>
      <c r="B44" t="s">
        <v>128</v>
      </c>
      <c r="D44" t="s">
        <v>131</v>
      </c>
      <c r="E44" t="s">
        <v>132</v>
      </c>
      <c r="K44" t="s">
        <v>129</v>
      </c>
      <c r="L44" t="str">
        <f t="shared" si="0"/>
        <v>intrastate natural gas pipelines</v>
      </c>
    </row>
    <row r="45" spans="1:12" x14ac:dyDescent="0.2">
      <c r="A45" s="68" t="s">
        <v>34</v>
      </c>
      <c r="B45" t="s">
        <v>128</v>
      </c>
      <c r="D45" t="s">
        <v>131</v>
      </c>
      <c r="E45" t="s">
        <v>132</v>
      </c>
      <c r="F45" t="s">
        <v>130</v>
      </c>
      <c r="I45" t="s">
        <v>131</v>
      </c>
      <c r="J45" t="s">
        <v>133</v>
      </c>
      <c r="K45" t="s">
        <v>129</v>
      </c>
      <c r="L45" t="str">
        <f t="shared" si="0"/>
        <v>intrastate natural gas and intrastate harzardous liquid pipelines</v>
      </c>
    </row>
    <row r="46" spans="1:12" x14ac:dyDescent="0.2">
      <c r="A46" s="33" t="s">
        <v>44</v>
      </c>
      <c r="B46" t="s">
        <v>128</v>
      </c>
      <c r="D46" t="s">
        <v>131</v>
      </c>
      <c r="E46" t="s">
        <v>132</v>
      </c>
      <c r="K46" t="s">
        <v>129</v>
      </c>
      <c r="L46" t="str">
        <f t="shared" si="0"/>
        <v>intrastate natural gas pipelines</v>
      </c>
    </row>
    <row r="47" spans="1:12" x14ac:dyDescent="0.2">
      <c r="A47" s="65" t="s">
        <v>63</v>
      </c>
      <c r="B47" t="s">
        <v>128</v>
      </c>
      <c r="D47" t="s">
        <v>131</v>
      </c>
      <c r="E47" t="s">
        <v>132</v>
      </c>
      <c r="K47" t="s">
        <v>129</v>
      </c>
      <c r="L47" t="str">
        <f t="shared" si="0"/>
        <v>intrastate natural gas pipelines</v>
      </c>
    </row>
    <row r="48" spans="1:12" x14ac:dyDescent="0.2">
      <c r="A48" s="65" t="s">
        <v>38</v>
      </c>
      <c r="B48" t="s">
        <v>128</v>
      </c>
      <c r="D48" t="s">
        <v>131</v>
      </c>
      <c r="E48" t="s">
        <v>132</v>
      </c>
      <c r="F48" t="s">
        <v>130</v>
      </c>
      <c r="H48" t="s">
        <v>216</v>
      </c>
      <c r="I48" t="s">
        <v>131</v>
      </c>
      <c r="J48" t="s">
        <v>133</v>
      </c>
      <c r="K48" t="s">
        <v>129</v>
      </c>
      <c r="L48" t="str">
        <f t="shared" si="0"/>
        <v>intrastate natural gas and intra &amp; inter state harzardous liquid pipelines</v>
      </c>
    </row>
    <row r="49" spans="1:12" x14ac:dyDescent="0.2">
      <c r="A49" s="65" t="s">
        <v>17</v>
      </c>
      <c r="B49" t="s">
        <v>128</v>
      </c>
      <c r="C49" t="s">
        <v>215</v>
      </c>
      <c r="D49" t="s">
        <v>131</v>
      </c>
      <c r="E49" t="s">
        <v>132</v>
      </c>
      <c r="F49" t="s">
        <v>130</v>
      </c>
      <c r="H49" t="s">
        <v>216</v>
      </c>
      <c r="I49" t="s">
        <v>131</v>
      </c>
      <c r="J49" t="s">
        <v>133</v>
      </c>
      <c r="K49" t="s">
        <v>129</v>
      </c>
      <c r="L49" t="str">
        <f t="shared" si="0"/>
        <v>intra &amp; interstate natural gas and intra &amp; inter state harzardous liquid pipelines</v>
      </c>
    </row>
    <row r="50" spans="1:12" x14ac:dyDescent="0.2">
      <c r="A50" s="33" t="s">
        <v>27</v>
      </c>
      <c r="B50" t="s">
        <v>128</v>
      </c>
      <c r="D50" t="s">
        <v>131</v>
      </c>
      <c r="E50" t="s">
        <v>132</v>
      </c>
      <c r="F50" t="s">
        <v>130</v>
      </c>
      <c r="I50" t="s">
        <v>131</v>
      </c>
      <c r="J50" t="s">
        <v>133</v>
      </c>
      <c r="K50" t="s">
        <v>129</v>
      </c>
      <c r="L50" t="str">
        <f t="shared" si="0"/>
        <v>intrastate natural gas and intrastate harzardous liquid pipelines</v>
      </c>
    </row>
    <row r="51" spans="1:12" x14ac:dyDescent="0.2">
      <c r="A51" s="67" t="s">
        <v>18</v>
      </c>
      <c r="B51" t="s">
        <v>128</v>
      </c>
      <c r="D51" t="s">
        <v>131</v>
      </c>
      <c r="E51" t="s">
        <v>132</v>
      </c>
      <c r="K51" t="s">
        <v>129</v>
      </c>
      <c r="L51" t="str">
        <f t="shared" si="0"/>
        <v>intrastate natural gas pipelines</v>
      </c>
    </row>
    <row r="52" spans="1:12" x14ac:dyDescent="0.2">
      <c r="A52" s="65" t="s">
        <v>53</v>
      </c>
      <c r="B52" t="s">
        <v>128</v>
      </c>
      <c r="D52" t="s">
        <v>131</v>
      </c>
      <c r="E52" t="s">
        <v>132</v>
      </c>
      <c r="K52" t="s">
        <v>129</v>
      </c>
      <c r="L52" t="str">
        <f t="shared" si="0"/>
        <v>intrastate natural gas pipelines</v>
      </c>
    </row>
  </sheetData>
  <autoFilter ref="A1:K52" xr:uid="{5A979A96-62E1-C346-A1B8-23C371BFA328}"/>
  <conditionalFormatting sqref="A1:A52">
    <cfRule type="containsText" dxfId="0" priority="1" operator="containsText" text="~?">
      <formula>NOT(ISERROR(SEARCH("~?",A1)))</formula>
    </cfRule>
  </conditionalFormatting>
  <hyperlinks>
    <hyperlink ref="A2" r:id="rId1" xr:uid="{9655E8E8-7DDE-A540-AB0E-807A0766F40C}"/>
    <hyperlink ref="A5" r:id="rId2" xr:uid="{52D4F511-A415-264D-BE61-E78CC903ED34}"/>
    <hyperlink ref="A6" r:id="rId3" xr:uid="{BF6A1C0D-C519-B245-BF15-17EE1151FC96}"/>
    <hyperlink ref="A7" r:id="rId4" xr:uid="{70354F16-D662-7146-9B69-DB87BB3151BA}"/>
    <hyperlink ref="A11" r:id="rId5" xr:uid="{8FACA038-E8AA-434B-BD40-44BFE5FE254C}"/>
    <hyperlink ref="A12" r:id="rId6" xr:uid="{07B75F3E-F60A-F949-BD31-18B926E2646F}"/>
    <hyperlink ref="A13" r:id="rId7" xr:uid="{7451E46A-4E8C-2746-8904-D1CC96F21A05}"/>
    <hyperlink ref="A14" r:id="rId8" xr:uid="{294BCBC2-1CB8-7C47-A6D6-0B99DB1A77A9}"/>
    <hyperlink ref="A15" r:id="rId9" xr:uid="{4D2C3B52-5258-5F4C-9F1B-7D3CD7687CB0}"/>
    <hyperlink ref="A16" r:id="rId10" xr:uid="{BBB124D1-3ECB-6D40-8C6C-79551973692E}"/>
    <hyperlink ref="A18" r:id="rId11" xr:uid="{868176CD-E0A7-1C48-B125-EA101F5143A6}"/>
    <hyperlink ref="A19" r:id="rId12" xr:uid="{51AB06D9-35F2-1241-8C61-2E59EB8BE993}"/>
    <hyperlink ref="A20" r:id="rId13" xr:uid="{0F92BA68-9AE3-0E4B-9808-1692B9A258AC}"/>
    <hyperlink ref="A22" r:id="rId14" xr:uid="{C0178EE5-C430-364E-A9ED-57EB8B009F14}"/>
    <hyperlink ref="A24" r:id="rId15" xr:uid="{77F78F78-2FEE-E443-8D91-229CDB1368EA}"/>
    <hyperlink ref="A25" r:id="rId16" xr:uid="{84AD5349-2859-C84B-9EF8-626A4EF3DE4F}"/>
    <hyperlink ref="A26" r:id="rId17" xr:uid="{F3D1C179-8732-AF47-A99B-D38401150BE8}"/>
    <hyperlink ref="A28" r:id="rId18" xr:uid="{609ECF07-B691-7D40-9331-7FECE22E8F39}"/>
    <hyperlink ref="A29" r:id="rId19" xr:uid="{F32B22F0-2424-DC48-A91B-B19BE269B577}"/>
    <hyperlink ref="A30" r:id="rId20" xr:uid="{DEE9B01B-C7F5-C142-8D92-CB6BA0E6BCCF}"/>
    <hyperlink ref="A41" r:id="rId21" xr:uid="{788BB310-F0EE-B845-AFD6-DA146655421B}"/>
    <hyperlink ref="A44" r:id="rId22" xr:uid="{95365BD7-26CA-4D45-9A45-68E0ABCFE624}"/>
    <hyperlink ref="A46" r:id="rId23" xr:uid="{E8725AA4-5191-9742-B6A2-6710BE946A10}"/>
    <hyperlink ref="A47" r:id="rId24" xr:uid="{6FFC5BCA-FB42-CA4B-AED5-0B53BCF96F5E}"/>
    <hyperlink ref="A49" r:id="rId25" xr:uid="{D790B3B2-187B-0A48-BF85-856463D36773}"/>
    <hyperlink ref="A50" r:id="rId26" xr:uid="{E50D873E-3E38-0340-897E-24ECEE9C8C08}"/>
    <hyperlink ref="A51" r:id="rId27" xr:uid="{099466CE-26CA-4F4A-B93D-72887D5ED987}"/>
    <hyperlink ref="A4" r:id="rId28" xr:uid="{A283DBAE-426B-3F4B-9D9E-1449E3580EDF}"/>
    <hyperlink ref="A8" r:id="rId29" xr:uid="{DBEC0AB7-ED6F-EB4C-ACF9-4D352BCEC4B8}"/>
    <hyperlink ref="A9" r:id="rId30" xr:uid="{E895F766-47F7-5148-828A-D7DF39702F2B}"/>
    <hyperlink ref="A10" r:id="rId31" xr:uid="{8D79FEE6-DCA8-F04A-B9FC-9C219C7C6F9F}"/>
    <hyperlink ref="A23" r:id="rId32" xr:uid="{F19517EB-F08E-4140-B077-B9EF5FF4153B}"/>
    <hyperlink ref="A31" r:id="rId33" xr:uid="{76D30B5C-1CD5-404A-B270-2363DA2231FD}"/>
    <hyperlink ref="A34" r:id="rId34" xr:uid="{99A67932-30F3-264B-B41E-6C1AD91F3CEB}"/>
    <hyperlink ref="A36" r:id="rId35" xr:uid="{DC4AD6E2-2CB9-FA46-AF2A-E1E491D61D15}"/>
    <hyperlink ref="A38" r:id="rId36" xr:uid="{EB440479-2311-ED4D-A39A-E88E29119338}"/>
    <hyperlink ref="A39" r:id="rId37" xr:uid="{FD377C0E-8CE1-A64F-83E6-8A23B4502991}"/>
    <hyperlink ref="A43" r:id="rId38" xr:uid="{0630B1AE-89B3-1F4D-8E5F-46050F3768AF}"/>
    <hyperlink ref="A45" r:id="rId39" xr:uid="{A6635179-A373-1440-8289-206A17B345F9}"/>
    <hyperlink ref="A52" r:id="rId40" xr:uid="{02F76007-3D78-C64A-9D29-88D643E88FC8}"/>
    <hyperlink ref="A3" r:id="rId41" xr:uid="{DCADE2CA-B5FC-C140-B8CA-C0B4AE0E40F3}"/>
    <hyperlink ref="A17" r:id="rId42" xr:uid="{12D37FB7-2B75-0042-93F2-EEF4271ACE9E}"/>
    <hyperlink ref="A21" r:id="rId43" xr:uid="{F8E5D9C8-276E-1342-B739-B21F9D486A10}"/>
    <hyperlink ref="A27" r:id="rId44" xr:uid="{74F28AF0-8178-A845-B49D-CD37AA93A8EE}"/>
    <hyperlink ref="A32" r:id="rId45" xr:uid="{0552828C-95A6-F04A-8210-27DA12D4C34B}"/>
    <hyperlink ref="A33" r:id="rId46" xr:uid="{DD6AA150-8B9D-E24D-9C5B-AF9721603C1F}"/>
    <hyperlink ref="A35" r:id="rId47" xr:uid="{506F0918-E348-EB46-B7D3-59ECF4AEB248}"/>
    <hyperlink ref="A37" r:id="rId48" xr:uid="{5376519A-0E8B-0548-B34A-CE9413C52A2E}"/>
    <hyperlink ref="A40" r:id="rId49" xr:uid="{4095A16B-9D18-6744-9C64-BFA0939D4F9D}"/>
    <hyperlink ref="A42" r:id="rId50" xr:uid="{3783ABF0-DAFA-F848-9416-06A9F6F568CE}"/>
    <hyperlink ref="A48" r:id="rId51" xr:uid="{60B58A13-982D-0244-B38C-422ED8C9B89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1902970A7D2E43A1E51558524A879C" ma:contentTypeVersion="18" ma:contentTypeDescription="Create a new document." ma:contentTypeScope="" ma:versionID="6710e1c31b6ade6dfb3ad8b2a3c085d3">
  <xsd:schema xmlns:xsd="http://www.w3.org/2001/XMLSchema" xmlns:xs="http://www.w3.org/2001/XMLSchema" xmlns:p="http://schemas.microsoft.com/office/2006/metadata/properties" xmlns:ns2="08989f3c-afdc-43ac-91ab-9f0d4d9a53fb" xmlns:ns3="ecd7862d-927c-496f-af70-9e87bb857cd9" targetNamespace="http://schemas.microsoft.com/office/2006/metadata/properties" ma:root="true" ma:fieldsID="299fc04a6d1162de18e67541d6bc2a59" ns2:_="" ns3:_="">
    <xsd:import namespace="08989f3c-afdc-43ac-91ab-9f0d4d9a53fb"/>
    <xsd:import namespace="ecd7862d-927c-496f-af70-9e87bb857c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989f3c-afdc-43ac-91ab-9f0d4d9a53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41e732e-9313-48d2-b8ed-f8aaf5fefb9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d7862d-927c-496f-af70-9e87bb857cd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59eb269-7213-4e96-8432-9ee840a40cae}" ma:internalName="TaxCatchAll" ma:showField="CatchAllData" ma:web="ecd7862d-927c-496f-af70-9e87bb857c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6283BB-30CD-4D31-9D18-10E2BDCB6D41}">
  <ds:schemaRefs>
    <ds:schemaRef ds:uri="http://schemas.microsoft.com/sharepoint/v3/contenttype/forms"/>
  </ds:schemaRefs>
</ds:datastoreItem>
</file>

<file path=customXml/itemProps2.xml><?xml version="1.0" encoding="utf-8"?>
<ds:datastoreItem xmlns:ds="http://schemas.openxmlformats.org/officeDocument/2006/customXml" ds:itemID="{9E18E4EB-C4C2-4F6E-8632-71653B2BDF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989f3c-afdc-43ac-91ab-9f0d4d9a53fb"/>
    <ds:schemaRef ds:uri="ecd7862d-927c-496f-af70-9e87bb857c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2023 Review</vt:lpstr>
      <vt:lpstr>2023 Analysis</vt:lpstr>
      <vt:lpstr>Audits</vt:lpstr>
      <vt:lpstr>categories</vt:lpstr>
      <vt:lpstr>jurisdiction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Virginia Wiltshire-Gordon</dc:creator>
  <cp:lastModifiedBy>Virginia Wiltshire-Gordon</cp:lastModifiedBy>
  <dcterms:created xsi:type="dcterms:W3CDTF">2024-01-22T16:50:39Z</dcterms:created>
  <dcterms:modified xsi:type="dcterms:W3CDTF">2024-02-09T18:00:04Z</dcterms:modified>
</cp:coreProperties>
</file>